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6 4. ABRIL\"/>
    </mc:Choice>
  </mc:AlternateContent>
  <xr:revisionPtr revIDLastSave="0" documentId="13_ncr:1_{6197487F-5FD3-4549-898A-18B342E8DD4D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dice" sheetId="1" r:id="rId1"/>
    <sheet name="Deflactores" sheetId="2" state="hidden" r:id="rId2"/>
    <sheet name="C1 Aprop Resumen 2000-2026" sheetId="3" r:id="rId3"/>
    <sheet name="C2 Ejecución 00-18" sheetId="4" r:id="rId4"/>
    <sheet name="C3 Ejecución Nación 00-18" sheetId="5" r:id="rId5"/>
    <sheet name="C4 Ejecución Propios 00-18" sheetId="6" r:id="rId6"/>
    <sheet name="C5 Ejecución PGN 2019-2026" sheetId="7" r:id="rId7"/>
    <sheet name="C6 Ejec. Nac 19-26" sheetId="8" r:id="rId8"/>
    <sheet name="C7 Ejec. Prop 19-26" sheetId="9" r:id="rId9"/>
    <sheet name="C8 A Ejec. Sect. PGN 00-18" sheetId="10" r:id="rId10"/>
    <sheet name="C8 B Ejec. Sect. PGN 19-26" sheetId="11" r:id="rId11"/>
    <sheet name="C9 A Ejec. Sect. Nac 00-18" sheetId="12" r:id="rId12"/>
    <sheet name="C9 B Ejec. Sect. Nac 19-26" sheetId="13" r:id="rId13"/>
    <sheet name="C10 A Ejec. Sect Prop 00-18" sheetId="14" r:id="rId14"/>
    <sheet name="C10 B Ejec. Sect Prop 19-26" sheetId="15" r:id="rId15"/>
    <sheet name="C11 A Sec. Fto 00-18" sheetId="16" r:id="rId16"/>
    <sheet name="C11 B Sec. Fto 19-26" sheetId="17" r:id="rId17"/>
    <sheet name="C12 A Sec. Fto. Nac 00-18" sheetId="18" r:id="rId18"/>
    <sheet name="C12 B Sec. Fto. Nac 19-26" sheetId="19" r:id="rId19"/>
    <sheet name="C13 A Sec. Fto. Prop 00-18" sheetId="20" r:id="rId20"/>
    <sheet name="C13 B Sec. Fto. Prop 19-26" sheetId="21" r:id="rId21"/>
    <sheet name="C14 A Sec. Invsión 00-18" sheetId="22" r:id="rId22"/>
    <sheet name="C14 B Sec. Invsión 19-26" sheetId="23" r:id="rId23"/>
    <sheet name="C15 A Sec. Invsión Nac 00-18" sheetId="24" r:id="rId24"/>
    <sheet name="C15 B Sec. Invsión Nac 19-26" sheetId="25" r:id="rId25"/>
    <sheet name="C16 A Sec. Invsión Prop 00-18" sheetId="26" r:id="rId26"/>
    <sheet name="C16 B Sec. Invsión Prop 19-26" sheetId="27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9" l="1"/>
  <c r="C47" i="17"/>
  <c r="C47" i="13"/>
  <c r="C299" i="27"/>
  <c r="F295" i="27"/>
  <c r="I293" i="27"/>
  <c r="H293" i="27"/>
  <c r="F293" i="27"/>
  <c r="E293" i="27"/>
  <c r="F291" i="27"/>
  <c r="D291" i="27"/>
  <c r="I289" i="27"/>
  <c r="H289" i="27"/>
  <c r="F289" i="27"/>
  <c r="J288" i="27"/>
  <c r="I288" i="27"/>
  <c r="F287" i="27"/>
  <c r="G286" i="27"/>
  <c r="F286" i="27"/>
  <c r="D286" i="27"/>
  <c r="F285" i="27"/>
  <c r="K283" i="27"/>
  <c r="J283" i="27"/>
  <c r="I283" i="27"/>
  <c r="H283" i="27"/>
  <c r="G283" i="27"/>
  <c r="F283" i="27"/>
  <c r="D282" i="27"/>
  <c r="F281" i="27"/>
  <c r="H279" i="27"/>
  <c r="G279" i="27"/>
  <c r="F279" i="27"/>
  <c r="F277" i="27"/>
  <c r="F275" i="27"/>
  <c r="D275" i="27"/>
  <c r="K274" i="27"/>
  <c r="F273" i="27"/>
  <c r="K271" i="27"/>
  <c r="I271" i="27"/>
  <c r="F271" i="27"/>
  <c r="G270" i="27"/>
  <c r="K269" i="27"/>
  <c r="J269" i="27"/>
  <c r="I269" i="27"/>
  <c r="F269" i="27"/>
  <c r="F267" i="27"/>
  <c r="C257" i="27"/>
  <c r="K255" i="27"/>
  <c r="K297" i="27" s="1"/>
  <c r="J255" i="27"/>
  <c r="J297" i="27" s="1"/>
  <c r="I255" i="27"/>
  <c r="I297" i="27" s="1"/>
  <c r="H255" i="27"/>
  <c r="H297" i="27" s="1"/>
  <c r="G255" i="27"/>
  <c r="G297" i="27" s="1"/>
  <c r="F255" i="27"/>
  <c r="F297" i="27" s="1"/>
  <c r="E255" i="27"/>
  <c r="E297" i="27" s="1"/>
  <c r="D255" i="27"/>
  <c r="D297" i="27" s="1"/>
  <c r="K254" i="27"/>
  <c r="K296" i="27" s="1"/>
  <c r="J254" i="27"/>
  <c r="J296" i="27" s="1"/>
  <c r="I254" i="27"/>
  <c r="H254" i="27"/>
  <c r="G254" i="27"/>
  <c r="G296" i="27" s="1"/>
  <c r="F254" i="27"/>
  <c r="E254" i="27"/>
  <c r="D254" i="27"/>
  <c r="K253" i="27"/>
  <c r="J253" i="27"/>
  <c r="I253" i="27"/>
  <c r="H253" i="27"/>
  <c r="G253" i="27"/>
  <c r="F253" i="27"/>
  <c r="E253" i="27"/>
  <c r="D253" i="27"/>
  <c r="D295" i="27" s="1"/>
  <c r="K252" i="27"/>
  <c r="K294" i="27" s="1"/>
  <c r="J252" i="27"/>
  <c r="J294" i="27" s="1"/>
  <c r="I252" i="27"/>
  <c r="H252" i="27"/>
  <c r="G252" i="27"/>
  <c r="G294" i="27" s="1"/>
  <c r="F252" i="27"/>
  <c r="E252" i="27"/>
  <c r="D252" i="27"/>
  <c r="K251" i="27"/>
  <c r="K293" i="27" s="1"/>
  <c r="J251" i="27"/>
  <c r="J293" i="27" s="1"/>
  <c r="I251" i="27"/>
  <c r="H251" i="27"/>
  <c r="G251" i="27"/>
  <c r="G293" i="27" s="1"/>
  <c r="F251" i="27"/>
  <c r="E251" i="27"/>
  <c r="D251" i="27"/>
  <c r="D293" i="27" s="1"/>
  <c r="K250" i="27"/>
  <c r="K292" i="27" s="1"/>
  <c r="J250" i="27"/>
  <c r="J292" i="27" s="1"/>
  <c r="I250" i="27"/>
  <c r="H250" i="27"/>
  <c r="G250" i="27"/>
  <c r="G292" i="27" s="1"/>
  <c r="F250" i="27"/>
  <c r="E250" i="27"/>
  <c r="D250" i="27"/>
  <c r="K249" i="27"/>
  <c r="J249" i="27"/>
  <c r="I249" i="27"/>
  <c r="H249" i="27"/>
  <c r="G249" i="27"/>
  <c r="F249" i="27"/>
  <c r="E249" i="27"/>
  <c r="D249" i="27"/>
  <c r="K248" i="27"/>
  <c r="K290" i="27" s="1"/>
  <c r="J248" i="27"/>
  <c r="J290" i="27" s="1"/>
  <c r="I248" i="27"/>
  <c r="H248" i="27"/>
  <c r="G248" i="27"/>
  <c r="G290" i="27" s="1"/>
  <c r="F248" i="27"/>
  <c r="E248" i="27"/>
  <c r="D248" i="27"/>
  <c r="K247" i="27"/>
  <c r="K289" i="27" s="1"/>
  <c r="J247" i="27"/>
  <c r="J289" i="27" s="1"/>
  <c r="I247" i="27"/>
  <c r="H247" i="27"/>
  <c r="G247" i="27"/>
  <c r="G289" i="27" s="1"/>
  <c r="F247" i="27"/>
  <c r="E247" i="27"/>
  <c r="E289" i="27" s="1"/>
  <c r="D247" i="27"/>
  <c r="D289" i="27" s="1"/>
  <c r="K246" i="27"/>
  <c r="K288" i="27" s="1"/>
  <c r="J246" i="27"/>
  <c r="I246" i="27"/>
  <c r="H246" i="27"/>
  <c r="G246" i="27"/>
  <c r="G288" i="27" s="1"/>
  <c r="F246" i="27"/>
  <c r="E246" i="27"/>
  <c r="D246" i="27"/>
  <c r="K245" i="27"/>
  <c r="J245" i="27"/>
  <c r="I245" i="27"/>
  <c r="H245" i="27"/>
  <c r="G245" i="27"/>
  <c r="F245" i="27"/>
  <c r="E245" i="27"/>
  <c r="D245" i="27"/>
  <c r="D287" i="27" s="1"/>
  <c r="K244" i="27"/>
  <c r="K286" i="27" s="1"/>
  <c r="J244" i="27"/>
  <c r="J286" i="27" s="1"/>
  <c r="I244" i="27"/>
  <c r="I286" i="27" s="1"/>
  <c r="H244" i="27"/>
  <c r="H286" i="27" s="1"/>
  <c r="G244" i="27"/>
  <c r="F244" i="27"/>
  <c r="E244" i="27"/>
  <c r="E286" i="27" s="1"/>
  <c r="D244" i="27"/>
  <c r="K243" i="27"/>
  <c r="J243" i="27"/>
  <c r="I243" i="27"/>
  <c r="H243" i="27"/>
  <c r="G243" i="27"/>
  <c r="F243" i="27"/>
  <c r="E243" i="27"/>
  <c r="D243" i="27"/>
  <c r="D285" i="27" s="1"/>
  <c r="K242" i="27"/>
  <c r="K284" i="27" s="1"/>
  <c r="J242" i="27"/>
  <c r="J284" i="27" s="1"/>
  <c r="I242" i="27"/>
  <c r="H242" i="27"/>
  <c r="G242" i="27"/>
  <c r="G284" i="27" s="1"/>
  <c r="F242" i="27"/>
  <c r="E242" i="27"/>
  <c r="D242" i="27"/>
  <c r="K241" i="27"/>
  <c r="J241" i="27"/>
  <c r="I241" i="27"/>
  <c r="H241" i="27"/>
  <c r="G241" i="27"/>
  <c r="F241" i="27"/>
  <c r="E241" i="27"/>
  <c r="E283" i="27" s="1"/>
  <c r="D241" i="27"/>
  <c r="D283" i="27" s="1"/>
  <c r="K240" i="27"/>
  <c r="K282" i="27" s="1"/>
  <c r="J240" i="27"/>
  <c r="J282" i="27" s="1"/>
  <c r="I240" i="27"/>
  <c r="I282" i="27" s="1"/>
  <c r="H240" i="27"/>
  <c r="H282" i="27" s="1"/>
  <c r="G240" i="27"/>
  <c r="G282" i="27" s="1"/>
  <c r="F240" i="27"/>
  <c r="F282" i="27" s="1"/>
  <c r="E240" i="27"/>
  <c r="E282" i="27" s="1"/>
  <c r="D240" i="27"/>
  <c r="K239" i="27"/>
  <c r="J239" i="27"/>
  <c r="I239" i="27"/>
  <c r="H239" i="27"/>
  <c r="G239" i="27"/>
  <c r="F239" i="27"/>
  <c r="E239" i="27"/>
  <c r="D239" i="27"/>
  <c r="D281" i="27" s="1"/>
  <c r="K238" i="27"/>
  <c r="K280" i="27" s="1"/>
  <c r="J238" i="27"/>
  <c r="J280" i="27" s="1"/>
  <c r="I238" i="27"/>
  <c r="I280" i="27" s="1"/>
  <c r="H238" i="27"/>
  <c r="G238" i="27"/>
  <c r="G280" i="27" s="1"/>
  <c r="F238" i="27"/>
  <c r="E238" i="27"/>
  <c r="D238" i="27"/>
  <c r="K237" i="27"/>
  <c r="J237" i="27"/>
  <c r="I237" i="27"/>
  <c r="H237" i="27"/>
  <c r="G237" i="27"/>
  <c r="F237" i="27"/>
  <c r="E237" i="27"/>
  <c r="E279" i="27" s="1"/>
  <c r="D237" i="27"/>
  <c r="D279" i="27" s="1"/>
  <c r="K236" i="27"/>
  <c r="K278" i="27" s="1"/>
  <c r="J236" i="27"/>
  <c r="J278" i="27" s="1"/>
  <c r="I236" i="27"/>
  <c r="H236" i="27"/>
  <c r="G236" i="27"/>
  <c r="G278" i="27" s="1"/>
  <c r="F236" i="27"/>
  <c r="E236" i="27"/>
  <c r="D236" i="27"/>
  <c r="K235" i="27"/>
  <c r="J235" i="27"/>
  <c r="I235" i="27"/>
  <c r="H235" i="27"/>
  <c r="G235" i="27"/>
  <c r="F235" i="27"/>
  <c r="E235" i="27"/>
  <c r="D235" i="27"/>
  <c r="D277" i="27" s="1"/>
  <c r="K234" i="27"/>
  <c r="K276" i="27" s="1"/>
  <c r="J234" i="27"/>
  <c r="I234" i="27"/>
  <c r="H234" i="27"/>
  <c r="G234" i="27"/>
  <c r="G276" i="27" s="1"/>
  <c r="F234" i="27"/>
  <c r="E234" i="27"/>
  <c r="D234" i="27"/>
  <c r="K233" i="27"/>
  <c r="J233" i="27"/>
  <c r="I233" i="27"/>
  <c r="H233" i="27"/>
  <c r="G233" i="27"/>
  <c r="F233" i="27"/>
  <c r="E233" i="27"/>
  <c r="D233" i="27"/>
  <c r="K232" i="27"/>
  <c r="J232" i="27"/>
  <c r="J274" i="27" s="1"/>
  <c r="I232" i="27"/>
  <c r="I274" i="27" s="1"/>
  <c r="H232" i="27"/>
  <c r="H274" i="27" s="1"/>
  <c r="G232" i="27"/>
  <c r="G274" i="27" s="1"/>
  <c r="F232" i="27"/>
  <c r="F274" i="27" s="1"/>
  <c r="E232" i="27"/>
  <c r="E274" i="27" s="1"/>
  <c r="D232" i="27"/>
  <c r="D274" i="27" s="1"/>
  <c r="K231" i="27"/>
  <c r="J231" i="27"/>
  <c r="I231" i="27"/>
  <c r="H231" i="27"/>
  <c r="G231" i="27"/>
  <c r="F231" i="27"/>
  <c r="E231" i="27"/>
  <c r="D231" i="27"/>
  <c r="D273" i="27" s="1"/>
  <c r="K230" i="27"/>
  <c r="K272" i="27" s="1"/>
  <c r="J230" i="27"/>
  <c r="J272" i="27" s="1"/>
  <c r="I230" i="27"/>
  <c r="H230" i="27"/>
  <c r="G230" i="27"/>
  <c r="G272" i="27" s="1"/>
  <c r="F230" i="27"/>
  <c r="E230" i="27"/>
  <c r="D230" i="27"/>
  <c r="K229" i="27"/>
  <c r="J229" i="27"/>
  <c r="J271" i="27" s="1"/>
  <c r="I229" i="27"/>
  <c r="H229" i="27"/>
  <c r="H271" i="27" s="1"/>
  <c r="G229" i="27"/>
  <c r="G271" i="27" s="1"/>
  <c r="F229" i="27"/>
  <c r="E229" i="27"/>
  <c r="E271" i="27" s="1"/>
  <c r="D229" i="27"/>
  <c r="D271" i="27" s="1"/>
  <c r="K228" i="27"/>
  <c r="K270" i="27" s="1"/>
  <c r="J228" i="27"/>
  <c r="I228" i="27"/>
  <c r="H228" i="27"/>
  <c r="G228" i="27"/>
  <c r="F228" i="27"/>
  <c r="E228" i="27"/>
  <c r="D228" i="27"/>
  <c r="K227" i="27"/>
  <c r="J227" i="27"/>
  <c r="I227" i="27"/>
  <c r="H227" i="27"/>
  <c r="H269" i="27" s="1"/>
  <c r="G227" i="27"/>
  <c r="G269" i="27" s="1"/>
  <c r="F227" i="27"/>
  <c r="E227" i="27"/>
  <c r="E269" i="27" s="1"/>
  <c r="D227" i="27"/>
  <c r="D269" i="27" s="1"/>
  <c r="K226" i="27"/>
  <c r="K268" i="27" s="1"/>
  <c r="J226" i="27"/>
  <c r="J256" i="27" s="1"/>
  <c r="I226" i="27"/>
  <c r="H226" i="27"/>
  <c r="G226" i="27"/>
  <c r="G268" i="27" s="1"/>
  <c r="F226" i="27"/>
  <c r="E226" i="27"/>
  <c r="D226" i="27"/>
  <c r="K225" i="27"/>
  <c r="J225" i="27"/>
  <c r="I225" i="27"/>
  <c r="H225" i="27"/>
  <c r="G225" i="27"/>
  <c r="F225" i="27"/>
  <c r="E225" i="27"/>
  <c r="E256" i="27" s="1"/>
  <c r="D225" i="27"/>
  <c r="D256" i="27" s="1"/>
  <c r="C216" i="27"/>
  <c r="E214" i="27"/>
  <c r="D214" i="27"/>
  <c r="K213" i="27"/>
  <c r="J213" i="27"/>
  <c r="G213" i="27"/>
  <c r="E213" i="27"/>
  <c r="K211" i="27"/>
  <c r="H211" i="27"/>
  <c r="G211" i="27"/>
  <c r="E210" i="27"/>
  <c r="D210" i="27"/>
  <c r="K209" i="27"/>
  <c r="E209" i="27"/>
  <c r="K207" i="27"/>
  <c r="E206" i="27"/>
  <c r="K205" i="27"/>
  <c r="D204" i="27"/>
  <c r="K203" i="27"/>
  <c r="H203" i="27"/>
  <c r="G203" i="27"/>
  <c r="F202" i="27"/>
  <c r="D202" i="27"/>
  <c r="K201" i="27"/>
  <c r="E200" i="27"/>
  <c r="D200" i="27"/>
  <c r="K199" i="27"/>
  <c r="I199" i="27"/>
  <c r="H199" i="27"/>
  <c r="G199" i="27"/>
  <c r="K197" i="27"/>
  <c r="J197" i="27"/>
  <c r="I197" i="27"/>
  <c r="E197" i="27"/>
  <c r="E196" i="27"/>
  <c r="D196" i="27"/>
  <c r="K195" i="27"/>
  <c r="G195" i="27"/>
  <c r="K193" i="27"/>
  <c r="K191" i="27"/>
  <c r="H191" i="27"/>
  <c r="F191" i="27"/>
  <c r="D191" i="27"/>
  <c r="E190" i="27"/>
  <c r="K189" i="27"/>
  <c r="I188" i="27"/>
  <c r="E188" i="27"/>
  <c r="D188" i="27"/>
  <c r="K187" i="27"/>
  <c r="E186" i="27"/>
  <c r="D186" i="27"/>
  <c r="K185" i="27"/>
  <c r="D184" i="27"/>
  <c r="C174" i="27"/>
  <c r="K172" i="27"/>
  <c r="K214" i="27" s="1"/>
  <c r="J172" i="27"/>
  <c r="J214" i="27" s="1"/>
  <c r="I172" i="27"/>
  <c r="I214" i="27" s="1"/>
  <c r="H172" i="27"/>
  <c r="H214" i="27" s="1"/>
  <c r="G172" i="27"/>
  <c r="G214" i="27" s="1"/>
  <c r="F172" i="27"/>
  <c r="F214" i="27" s="1"/>
  <c r="E172" i="27"/>
  <c r="D172" i="27"/>
  <c r="K171" i="27"/>
  <c r="J171" i="27"/>
  <c r="I171" i="27"/>
  <c r="H171" i="27"/>
  <c r="G171" i="27"/>
  <c r="F171" i="27"/>
  <c r="E171" i="27"/>
  <c r="D171" i="27"/>
  <c r="K170" i="27"/>
  <c r="K212" i="27" s="1"/>
  <c r="J170" i="27"/>
  <c r="I170" i="27"/>
  <c r="H170" i="27"/>
  <c r="G170" i="27"/>
  <c r="F170" i="27"/>
  <c r="F212" i="27" s="1"/>
  <c r="E170" i="27"/>
  <c r="D170" i="27"/>
  <c r="K169" i="27"/>
  <c r="J169" i="27"/>
  <c r="J211" i="27" s="1"/>
  <c r="I169" i="27"/>
  <c r="H169" i="27"/>
  <c r="G169" i="27"/>
  <c r="F169" i="27"/>
  <c r="E169" i="27"/>
  <c r="D169" i="27"/>
  <c r="K168" i="27"/>
  <c r="K210" i="27" s="1"/>
  <c r="J168" i="27"/>
  <c r="J210" i="27" s="1"/>
  <c r="I168" i="27"/>
  <c r="I210" i="27" s="1"/>
  <c r="H168" i="27"/>
  <c r="H210" i="27" s="1"/>
  <c r="G168" i="27"/>
  <c r="G210" i="27" s="1"/>
  <c r="F168" i="27"/>
  <c r="F210" i="27" s="1"/>
  <c r="E168" i="27"/>
  <c r="D168" i="27"/>
  <c r="K167" i="27"/>
  <c r="J167" i="27"/>
  <c r="J209" i="27" s="1"/>
  <c r="I167" i="27"/>
  <c r="H167" i="27"/>
  <c r="G167" i="27"/>
  <c r="G209" i="27" s="1"/>
  <c r="F167" i="27"/>
  <c r="E167" i="27"/>
  <c r="D167" i="27"/>
  <c r="K166" i="27"/>
  <c r="K208" i="27" s="1"/>
  <c r="J166" i="27"/>
  <c r="I166" i="27"/>
  <c r="H166" i="27"/>
  <c r="H208" i="27" s="1"/>
  <c r="G166" i="27"/>
  <c r="F166" i="27"/>
  <c r="F208" i="27" s="1"/>
  <c r="E166" i="27"/>
  <c r="D166" i="27"/>
  <c r="K165" i="27"/>
  <c r="J165" i="27"/>
  <c r="J207" i="27" s="1"/>
  <c r="I165" i="27"/>
  <c r="H165" i="27"/>
  <c r="G165" i="27"/>
  <c r="G207" i="27" s="1"/>
  <c r="F165" i="27"/>
  <c r="E165" i="27"/>
  <c r="E207" i="27" s="1"/>
  <c r="D165" i="27"/>
  <c r="K164" i="27"/>
  <c r="K206" i="27" s="1"/>
  <c r="J164" i="27"/>
  <c r="J206" i="27" s="1"/>
  <c r="I164" i="27"/>
  <c r="I206" i="27" s="1"/>
  <c r="H164" i="27"/>
  <c r="H206" i="27" s="1"/>
  <c r="G164" i="27"/>
  <c r="G206" i="27" s="1"/>
  <c r="F164" i="27"/>
  <c r="F206" i="27" s="1"/>
  <c r="E164" i="27"/>
  <c r="D164" i="27"/>
  <c r="D206" i="27" s="1"/>
  <c r="K163" i="27"/>
  <c r="J163" i="27"/>
  <c r="J205" i="27" s="1"/>
  <c r="I163" i="27"/>
  <c r="H163" i="27"/>
  <c r="G163" i="27"/>
  <c r="G205" i="27" s="1"/>
  <c r="F163" i="27"/>
  <c r="E163" i="27"/>
  <c r="E205" i="27" s="1"/>
  <c r="D163" i="27"/>
  <c r="K162" i="27"/>
  <c r="K204" i="27" s="1"/>
  <c r="J162" i="27"/>
  <c r="I162" i="27"/>
  <c r="H162" i="27"/>
  <c r="H204" i="27" s="1"/>
  <c r="G162" i="27"/>
  <c r="F162" i="27"/>
  <c r="F204" i="27" s="1"/>
  <c r="E162" i="27"/>
  <c r="D162" i="27"/>
  <c r="K161" i="27"/>
  <c r="J161" i="27"/>
  <c r="J203" i="27" s="1"/>
  <c r="I161" i="27"/>
  <c r="I203" i="27" s="1"/>
  <c r="H161" i="27"/>
  <c r="G161" i="27"/>
  <c r="F161" i="27"/>
  <c r="F203" i="27" s="1"/>
  <c r="E161" i="27"/>
  <c r="E203" i="27" s="1"/>
  <c r="D161" i="27"/>
  <c r="D203" i="27" s="1"/>
  <c r="K160" i="27"/>
  <c r="K202" i="27" s="1"/>
  <c r="J160" i="27"/>
  <c r="I160" i="27"/>
  <c r="H160" i="27"/>
  <c r="G160" i="27"/>
  <c r="F160" i="27"/>
  <c r="E160" i="27"/>
  <c r="D160" i="27"/>
  <c r="K159" i="27"/>
  <c r="J159" i="27"/>
  <c r="J201" i="27" s="1"/>
  <c r="I159" i="27"/>
  <c r="H159" i="27"/>
  <c r="G159" i="27"/>
  <c r="G201" i="27" s="1"/>
  <c r="F159" i="27"/>
  <c r="E159" i="27"/>
  <c r="E201" i="27" s="1"/>
  <c r="D159" i="27"/>
  <c r="K158" i="27"/>
  <c r="K200" i="27" s="1"/>
  <c r="J158" i="27"/>
  <c r="J200" i="27" s="1"/>
  <c r="I158" i="27"/>
  <c r="I200" i="27" s="1"/>
  <c r="H158" i="27"/>
  <c r="H200" i="27" s="1"/>
  <c r="G158" i="27"/>
  <c r="G200" i="27" s="1"/>
  <c r="F158" i="27"/>
  <c r="F200" i="27" s="1"/>
  <c r="E158" i="27"/>
  <c r="D158" i="27"/>
  <c r="K157" i="27"/>
  <c r="J157" i="27"/>
  <c r="J199" i="27" s="1"/>
  <c r="I157" i="27"/>
  <c r="H157" i="27"/>
  <c r="G157" i="27"/>
  <c r="F157" i="27"/>
  <c r="F199" i="27" s="1"/>
  <c r="E157" i="27"/>
  <c r="E199" i="27" s="1"/>
  <c r="D157" i="27"/>
  <c r="D199" i="27" s="1"/>
  <c r="K156" i="27"/>
  <c r="K198" i="27" s="1"/>
  <c r="J156" i="27"/>
  <c r="I156" i="27"/>
  <c r="H156" i="27"/>
  <c r="G156" i="27"/>
  <c r="F156" i="27"/>
  <c r="F198" i="27" s="1"/>
  <c r="E156" i="27"/>
  <c r="D156" i="27"/>
  <c r="K155" i="27"/>
  <c r="J155" i="27"/>
  <c r="I155" i="27"/>
  <c r="H155" i="27"/>
  <c r="G155" i="27"/>
  <c r="F155" i="27"/>
  <c r="E155" i="27"/>
  <c r="D155" i="27"/>
  <c r="K154" i="27"/>
  <c r="K196" i="27" s="1"/>
  <c r="J154" i="27"/>
  <c r="I154" i="27"/>
  <c r="H154" i="27"/>
  <c r="H196" i="27" s="1"/>
  <c r="G154" i="27"/>
  <c r="G196" i="27" s="1"/>
  <c r="F154" i="27"/>
  <c r="F196" i="27" s="1"/>
  <c r="E154" i="27"/>
  <c r="D154" i="27"/>
  <c r="K153" i="27"/>
  <c r="J153" i="27"/>
  <c r="J195" i="27" s="1"/>
  <c r="I153" i="27"/>
  <c r="H153" i="27"/>
  <c r="G153" i="27"/>
  <c r="F153" i="27"/>
  <c r="E153" i="27"/>
  <c r="D153" i="27"/>
  <c r="K152" i="27"/>
  <c r="K194" i="27" s="1"/>
  <c r="J152" i="27"/>
  <c r="I152" i="27"/>
  <c r="H152" i="27"/>
  <c r="G152" i="27"/>
  <c r="F152" i="27"/>
  <c r="F194" i="27" s="1"/>
  <c r="E152" i="27"/>
  <c r="D152" i="27"/>
  <c r="K151" i="27"/>
  <c r="J151" i="27"/>
  <c r="I151" i="27"/>
  <c r="H151" i="27"/>
  <c r="G151" i="27"/>
  <c r="G193" i="27" s="1"/>
  <c r="F151" i="27"/>
  <c r="E151" i="27"/>
  <c r="D151" i="27"/>
  <c r="K150" i="27"/>
  <c r="K192" i="27" s="1"/>
  <c r="J150" i="27"/>
  <c r="I150" i="27"/>
  <c r="H150" i="27"/>
  <c r="H192" i="27" s="1"/>
  <c r="G150" i="27"/>
  <c r="F150" i="27"/>
  <c r="F192" i="27" s="1"/>
  <c r="E150" i="27"/>
  <c r="D150" i="27"/>
  <c r="K149" i="27"/>
  <c r="J149" i="27"/>
  <c r="J191" i="27" s="1"/>
  <c r="I149" i="27"/>
  <c r="I191" i="27" s="1"/>
  <c r="H149" i="27"/>
  <c r="G149" i="27"/>
  <c r="G191" i="27" s="1"/>
  <c r="F149" i="27"/>
  <c r="E149" i="27"/>
  <c r="E191" i="27" s="1"/>
  <c r="D149" i="27"/>
  <c r="K148" i="27"/>
  <c r="K190" i="27" s="1"/>
  <c r="J148" i="27"/>
  <c r="I148" i="27"/>
  <c r="H148" i="27"/>
  <c r="G148" i="27"/>
  <c r="F148" i="27"/>
  <c r="F190" i="27" s="1"/>
  <c r="E148" i="27"/>
  <c r="D148" i="27"/>
  <c r="D190" i="27" s="1"/>
  <c r="K147" i="27"/>
  <c r="J147" i="27"/>
  <c r="I147" i="27"/>
  <c r="H147" i="27"/>
  <c r="G147" i="27"/>
  <c r="G189" i="27" s="1"/>
  <c r="F147" i="27"/>
  <c r="E147" i="27"/>
  <c r="D147" i="27"/>
  <c r="K146" i="27"/>
  <c r="K188" i="27" s="1"/>
  <c r="J146" i="27"/>
  <c r="J188" i="27" s="1"/>
  <c r="I146" i="27"/>
  <c r="H146" i="27"/>
  <c r="H188" i="27" s="1"/>
  <c r="G146" i="27"/>
  <c r="G188" i="27" s="1"/>
  <c r="F146" i="27"/>
  <c r="F188" i="27" s="1"/>
  <c r="E146" i="27"/>
  <c r="D146" i="27"/>
  <c r="K145" i="27"/>
  <c r="J145" i="27"/>
  <c r="I145" i="27"/>
  <c r="H145" i="27"/>
  <c r="G145" i="27"/>
  <c r="F145" i="27"/>
  <c r="E145" i="27"/>
  <c r="D145" i="27"/>
  <c r="K144" i="27"/>
  <c r="K186" i="27" s="1"/>
  <c r="J144" i="27"/>
  <c r="J186" i="27" s="1"/>
  <c r="I144" i="27"/>
  <c r="I186" i="27" s="1"/>
  <c r="H144" i="27"/>
  <c r="H186" i="27" s="1"/>
  <c r="G144" i="27"/>
  <c r="G186" i="27" s="1"/>
  <c r="F144" i="27"/>
  <c r="F186" i="27" s="1"/>
  <c r="E144" i="27"/>
  <c r="D144" i="27"/>
  <c r="K143" i="27"/>
  <c r="J143" i="27"/>
  <c r="I143" i="27"/>
  <c r="H143" i="27"/>
  <c r="G143" i="27"/>
  <c r="G185" i="27" s="1"/>
  <c r="F143" i="27"/>
  <c r="E143" i="27"/>
  <c r="D143" i="27"/>
  <c r="K142" i="27"/>
  <c r="J142" i="27"/>
  <c r="I142" i="27"/>
  <c r="H142" i="27"/>
  <c r="G142" i="27"/>
  <c r="F142" i="27"/>
  <c r="E142" i="27"/>
  <c r="D142" i="27"/>
  <c r="C132" i="27"/>
  <c r="K130" i="27"/>
  <c r="J130" i="27"/>
  <c r="I130" i="27"/>
  <c r="H130" i="27"/>
  <c r="G130" i="27"/>
  <c r="F130" i="27"/>
  <c r="H129" i="27"/>
  <c r="H128" i="27"/>
  <c r="F128" i="27"/>
  <c r="K126" i="27"/>
  <c r="J126" i="27"/>
  <c r="I126" i="27"/>
  <c r="H126" i="27"/>
  <c r="G126" i="27"/>
  <c r="F126" i="27"/>
  <c r="E126" i="27"/>
  <c r="K125" i="27"/>
  <c r="J125" i="27"/>
  <c r="H125" i="27"/>
  <c r="F124" i="27"/>
  <c r="K123" i="27"/>
  <c r="G123" i="27"/>
  <c r="J122" i="27"/>
  <c r="E121" i="27"/>
  <c r="D121" i="27"/>
  <c r="H120" i="27"/>
  <c r="G119" i="27"/>
  <c r="E119" i="27"/>
  <c r="D119" i="27"/>
  <c r="F118" i="27"/>
  <c r="E117" i="27"/>
  <c r="K116" i="27"/>
  <c r="J116" i="27"/>
  <c r="I116" i="27"/>
  <c r="H116" i="27"/>
  <c r="K115" i="27"/>
  <c r="E115" i="27"/>
  <c r="D115" i="27"/>
  <c r="F114" i="27"/>
  <c r="H112" i="27"/>
  <c r="F112" i="27"/>
  <c r="G110" i="27"/>
  <c r="F110" i="27"/>
  <c r="K109" i="27"/>
  <c r="F108" i="27"/>
  <c r="E107" i="27"/>
  <c r="K105" i="27"/>
  <c r="J105" i="27"/>
  <c r="J104" i="27"/>
  <c r="H104" i="27"/>
  <c r="K102" i="27"/>
  <c r="J102" i="27"/>
  <c r="H102" i="27"/>
  <c r="F102" i="27"/>
  <c r="C90" i="27"/>
  <c r="G89" i="27"/>
  <c r="K88" i="27"/>
  <c r="J88" i="27"/>
  <c r="I88" i="27"/>
  <c r="H88" i="27"/>
  <c r="G88" i="27"/>
  <c r="F88" i="27"/>
  <c r="E88" i="27"/>
  <c r="E130" i="27" s="1"/>
  <c r="D88" i="27"/>
  <c r="D130" i="27" s="1"/>
  <c r="K87" i="27"/>
  <c r="K129" i="27" s="1"/>
  <c r="J87" i="27"/>
  <c r="J129" i="27" s="1"/>
  <c r="I87" i="27"/>
  <c r="H87" i="27"/>
  <c r="G87" i="27"/>
  <c r="G129" i="27" s="1"/>
  <c r="F87" i="27"/>
  <c r="E87" i="27"/>
  <c r="D87" i="27"/>
  <c r="D129" i="27" s="1"/>
  <c r="K86" i="27"/>
  <c r="J86" i="27"/>
  <c r="I86" i="27"/>
  <c r="H86" i="27"/>
  <c r="G86" i="27"/>
  <c r="F86" i="27"/>
  <c r="E86" i="27"/>
  <c r="D86" i="27"/>
  <c r="D128" i="27" s="1"/>
  <c r="K85" i="27"/>
  <c r="K127" i="27" s="1"/>
  <c r="J85" i="27"/>
  <c r="J127" i="27" s="1"/>
  <c r="I85" i="27"/>
  <c r="H85" i="27"/>
  <c r="H127" i="27" s="1"/>
  <c r="G85" i="27"/>
  <c r="G127" i="27" s="1"/>
  <c r="F85" i="27"/>
  <c r="F127" i="27" s="1"/>
  <c r="E85" i="27"/>
  <c r="D85" i="27"/>
  <c r="D127" i="27" s="1"/>
  <c r="K84" i="27"/>
  <c r="J84" i="27"/>
  <c r="I84" i="27"/>
  <c r="H84" i="27"/>
  <c r="G84" i="27"/>
  <c r="F84" i="27"/>
  <c r="E84" i="27"/>
  <c r="D84" i="27"/>
  <c r="D126" i="27" s="1"/>
  <c r="K83" i="27"/>
  <c r="J83" i="27"/>
  <c r="I83" i="27"/>
  <c r="H83" i="27"/>
  <c r="G83" i="27"/>
  <c r="G125" i="27" s="1"/>
  <c r="F83" i="27"/>
  <c r="E83" i="27"/>
  <c r="D83" i="27"/>
  <c r="K82" i="27"/>
  <c r="J82" i="27"/>
  <c r="I82" i="27"/>
  <c r="H82" i="27"/>
  <c r="G82" i="27"/>
  <c r="F82" i="27"/>
  <c r="E82" i="27"/>
  <c r="D82" i="27"/>
  <c r="D124" i="27" s="1"/>
  <c r="K81" i="27"/>
  <c r="J81" i="27"/>
  <c r="J123" i="27" s="1"/>
  <c r="I81" i="27"/>
  <c r="H81" i="27"/>
  <c r="H123" i="27" s="1"/>
  <c r="G81" i="27"/>
  <c r="F81" i="27"/>
  <c r="F123" i="27" s="1"/>
  <c r="E81" i="27"/>
  <c r="D81" i="27"/>
  <c r="D123" i="27" s="1"/>
  <c r="K80" i="27"/>
  <c r="K122" i="27" s="1"/>
  <c r="J80" i="27"/>
  <c r="I80" i="27"/>
  <c r="I122" i="27" s="1"/>
  <c r="H80" i="27"/>
  <c r="H122" i="27" s="1"/>
  <c r="G80" i="27"/>
  <c r="G122" i="27" s="1"/>
  <c r="F80" i="27"/>
  <c r="F122" i="27" s="1"/>
  <c r="E80" i="27"/>
  <c r="E122" i="27" s="1"/>
  <c r="D80" i="27"/>
  <c r="D122" i="27" s="1"/>
  <c r="K79" i="27"/>
  <c r="K121" i="27" s="1"/>
  <c r="J79" i="27"/>
  <c r="J121" i="27" s="1"/>
  <c r="I79" i="27"/>
  <c r="H79" i="27"/>
  <c r="H121" i="27" s="1"/>
  <c r="G79" i="27"/>
  <c r="G121" i="27" s="1"/>
  <c r="F79" i="27"/>
  <c r="F121" i="27" s="1"/>
  <c r="E79" i="27"/>
  <c r="D79" i="27"/>
  <c r="K78" i="27"/>
  <c r="K120" i="27" s="1"/>
  <c r="J78" i="27"/>
  <c r="I78" i="27"/>
  <c r="H78" i="27"/>
  <c r="G78" i="27"/>
  <c r="F78" i="27"/>
  <c r="F120" i="27" s="1"/>
  <c r="E78" i="27"/>
  <c r="D78" i="27"/>
  <c r="D120" i="27" s="1"/>
  <c r="K77" i="27"/>
  <c r="K119" i="27" s="1"/>
  <c r="J77" i="27"/>
  <c r="J119" i="27" s="1"/>
  <c r="I77" i="27"/>
  <c r="I119" i="27" s="1"/>
  <c r="H77" i="27"/>
  <c r="H119" i="27" s="1"/>
  <c r="G77" i="27"/>
  <c r="F77" i="27"/>
  <c r="F119" i="27" s="1"/>
  <c r="E77" i="27"/>
  <c r="D77" i="27"/>
  <c r="K76" i="27"/>
  <c r="J76" i="27"/>
  <c r="I76" i="27"/>
  <c r="H76" i="27"/>
  <c r="G76" i="27"/>
  <c r="F76" i="27"/>
  <c r="E76" i="27"/>
  <c r="D76" i="27"/>
  <c r="D118" i="27" s="1"/>
  <c r="K75" i="27"/>
  <c r="K117" i="27" s="1"/>
  <c r="J75" i="27"/>
  <c r="J117" i="27" s="1"/>
  <c r="I75" i="27"/>
  <c r="H75" i="27"/>
  <c r="G75" i="27"/>
  <c r="G117" i="27" s="1"/>
  <c r="F75" i="27"/>
  <c r="E75" i="27"/>
  <c r="D75" i="27"/>
  <c r="K74" i="27"/>
  <c r="J74" i="27"/>
  <c r="I74" i="27"/>
  <c r="H74" i="27"/>
  <c r="G74" i="27"/>
  <c r="G116" i="27" s="1"/>
  <c r="F74" i="27"/>
  <c r="F116" i="27" s="1"/>
  <c r="E74" i="27"/>
  <c r="E116" i="27" s="1"/>
  <c r="D74" i="27"/>
  <c r="D116" i="27" s="1"/>
  <c r="K73" i="27"/>
  <c r="J73" i="27"/>
  <c r="J115" i="27" s="1"/>
  <c r="I73" i="27"/>
  <c r="I115" i="27" s="1"/>
  <c r="H73" i="27"/>
  <c r="H115" i="27" s="1"/>
  <c r="G73" i="27"/>
  <c r="G115" i="27" s="1"/>
  <c r="F73" i="27"/>
  <c r="F115" i="27" s="1"/>
  <c r="E73" i="27"/>
  <c r="D73" i="27"/>
  <c r="K72" i="27"/>
  <c r="J72" i="27"/>
  <c r="I72" i="27"/>
  <c r="H72" i="27"/>
  <c r="G72" i="27"/>
  <c r="G114" i="27" s="1"/>
  <c r="F72" i="27"/>
  <c r="E72" i="27"/>
  <c r="D72" i="27"/>
  <c r="D114" i="27" s="1"/>
  <c r="K71" i="27"/>
  <c r="K113" i="27" s="1"/>
  <c r="J71" i="27"/>
  <c r="J113" i="27" s="1"/>
  <c r="I71" i="27"/>
  <c r="I113" i="27" s="1"/>
  <c r="H71" i="27"/>
  <c r="H113" i="27" s="1"/>
  <c r="G71" i="27"/>
  <c r="G113" i="27" s="1"/>
  <c r="F71" i="27"/>
  <c r="E71" i="27"/>
  <c r="D71" i="27"/>
  <c r="D113" i="27" s="1"/>
  <c r="K70" i="27"/>
  <c r="J70" i="27"/>
  <c r="I70" i="27"/>
  <c r="H70" i="27"/>
  <c r="G70" i="27"/>
  <c r="G112" i="27" s="1"/>
  <c r="F70" i="27"/>
  <c r="E70" i="27"/>
  <c r="E112" i="27" s="1"/>
  <c r="D70" i="27"/>
  <c r="D112" i="27" s="1"/>
  <c r="K69" i="27"/>
  <c r="K111" i="27" s="1"/>
  <c r="J69" i="27"/>
  <c r="J111" i="27" s="1"/>
  <c r="I69" i="27"/>
  <c r="H69" i="27"/>
  <c r="G69" i="27"/>
  <c r="G111" i="27" s="1"/>
  <c r="F69" i="27"/>
  <c r="E69" i="27"/>
  <c r="D69" i="27"/>
  <c r="D111" i="27" s="1"/>
  <c r="K68" i="27"/>
  <c r="J68" i="27"/>
  <c r="I68" i="27"/>
  <c r="H68" i="27"/>
  <c r="G68" i="27"/>
  <c r="F68" i="27"/>
  <c r="E68" i="27"/>
  <c r="D68" i="27"/>
  <c r="D110" i="27" s="1"/>
  <c r="K67" i="27"/>
  <c r="J67" i="27"/>
  <c r="J109" i="27" s="1"/>
  <c r="I67" i="27"/>
  <c r="H67" i="27"/>
  <c r="H109" i="27" s="1"/>
  <c r="G67" i="27"/>
  <c r="G109" i="27" s="1"/>
  <c r="F67" i="27"/>
  <c r="E67" i="27"/>
  <c r="D67" i="27"/>
  <c r="D109" i="27" s="1"/>
  <c r="K66" i="27"/>
  <c r="K108" i="27" s="1"/>
  <c r="J66" i="27"/>
  <c r="I66" i="27"/>
  <c r="H66" i="27"/>
  <c r="G66" i="27"/>
  <c r="F66" i="27"/>
  <c r="E66" i="27"/>
  <c r="D66" i="27"/>
  <c r="D108" i="27" s="1"/>
  <c r="K65" i="27"/>
  <c r="K107" i="27" s="1"/>
  <c r="J65" i="27"/>
  <c r="J107" i="27" s="1"/>
  <c r="I65" i="27"/>
  <c r="I107" i="27" s="1"/>
  <c r="H65" i="27"/>
  <c r="H107" i="27" s="1"/>
  <c r="G65" i="27"/>
  <c r="G107" i="27" s="1"/>
  <c r="F65" i="27"/>
  <c r="F107" i="27" s="1"/>
  <c r="E65" i="27"/>
  <c r="D65" i="27"/>
  <c r="D107" i="27" s="1"/>
  <c r="K64" i="27"/>
  <c r="K106" i="27" s="1"/>
  <c r="J64" i="27"/>
  <c r="I64" i="27"/>
  <c r="H64" i="27"/>
  <c r="G64" i="27"/>
  <c r="F64" i="27"/>
  <c r="F106" i="27" s="1"/>
  <c r="E64" i="27"/>
  <c r="D64" i="27"/>
  <c r="D106" i="27" s="1"/>
  <c r="K63" i="27"/>
  <c r="J63" i="27"/>
  <c r="I63" i="27"/>
  <c r="H63" i="27"/>
  <c r="G63" i="27"/>
  <c r="G105" i="27" s="1"/>
  <c r="F63" i="27"/>
  <c r="E63" i="27"/>
  <c r="D63" i="27"/>
  <c r="D105" i="27" s="1"/>
  <c r="K62" i="27"/>
  <c r="K104" i="27" s="1"/>
  <c r="J62" i="27"/>
  <c r="I62" i="27"/>
  <c r="I104" i="27" s="1"/>
  <c r="H62" i="27"/>
  <c r="G62" i="27"/>
  <c r="G104" i="27" s="1"/>
  <c r="F62" i="27"/>
  <c r="F104" i="27" s="1"/>
  <c r="E62" i="27"/>
  <c r="E104" i="27" s="1"/>
  <c r="D62" i="27"/>
  <c r="D104" i="27" s="1"/>
  <c r="K61" i="27"/>
  <c r="K103" i="27" s="1"/>
  <c r="J61" i="27"/>
  <c r="I61" i="27"/>
  <c r="H61" i="27"/>
  <c r="H103" i="27" s="1"/>
  <c r="G61" i="27"/>
  <c r="G103" i="27" s="1"/>
  <c r="F61" i="27"/>
  <c r="E61" i="27"/>
  <c r="D61" i="27"/>
  <c r="D103" i="27" s="1"/>
  <c r="K60" i="27"/>
  <c r="J60" i="27"/>
  <c r="I60" i="27"/>
  <c r="I102" i="27" s="1"/>
  <c r="H60" i="27"/>
  <c r="G60" i="27"/>
  <c r="G102" i="27" s="1"/>
  <c r="F60" i="27"/>
  <c r="E60" i="27"/>
  <c r="E102" i="27" s="1"/>
  <c r="D60" i="27"/>
  <c r="D102" i="27" s="1"/>
  <c r="K59" i="27"/>
  <c r="K101" i="27" s="1"/>
  <c r="J59" i="27"/>
  <c r="J89" i="27" s="1"/>
  <c r="I59" i="27"/>
  <c r="I89" i="27" s="1"/>
  <c r="H59" i="27"/>
  <c r="H89" i="27" s="1"/>
  <c r="G59" i="27"/>
  <c r="G101" i="27" s="1"/>
  <c r="F59" i="27"/>
  <c r="E59" i="27"/>
  <c r="D59" i="27"/>
  <c r="D101" i="27" s="1"/>
  <c r="K58" i="27"/>
  <c r="J58" i="27"/>
  <c r="I58" i="27"/>
  <c r="H58" i="27"/>
  <c r="G58" i="27"/>
  <c r="F58" i="27"/>
  <c r="E58" i="27"/>
  <c r="D58" i="27"/>
  <c r="C47" i="27"/>
  <c r="I46" i="27"/>
  <c r="K45" i="27"/>
  <c r="J45" i="27"/>
  <c r="I45" i="27"/>
  <c r="H45" i="27"/>
  <c r="G45" i="27"/>
  <c r="F45" i="27"/>
  <c r="E45" i="27"/>
  <c r="D45" i="27"/>
  <c r="K44" i="27"/>
  <c r="J44" i="27"/>
  <c r="I44" i="27"/>
  <c r="I213" i="27" s="1"/>
  <c r="H44" i="27"/>
  <c r="H213" i="27" s="1"/>
  <c r="G44" i="27"/>
  <c r="F44" i="27"/>
  <c r="F213" i="27" s="1"/>
  <c r="E44" i="27"/>
  <c r="E129" i="27" s="1"/>
  <c r="D44" i="27"/>
  <c r="D296" i="27" s="1"/>
  <c r="K43" i="27"/>
  <c r="K128" i="27" s="1"/>
  <c r="J43" i="27"/>
  <c r="J128" i="27" s="1"/>
  <c r="I43" i="27"/>
  <c r="I295" i="27" s="1"/>
  <c r="H43" i="27"/>
  <c r="H295" i="27" s="1"/>
  <c r="G43" i="27"/>
  <c r="G295" i="27" s="1"/>
  <c r="F43" i="27"/>
  <c r="E43" i="27"/>
  <c r="E212" i="27" s="1"/>
  <c r="D43" i="27"/>
  <c r="D212" i="27" s="1"/>
  <c r="K42" i="27"/>
  <c r="J42" i="27"/>
  <c r="I42" i="27"/>
  <c r="I211" i="27" s="1"/>
  <c r="H42" i="27"/>
  <c r="G42" i="27"/>
  <c r="F42" i="27"/>
  <c r="F211" i="27" s="1"/>
  <c r="E42" i="27"/>
  <c r="E127" i="27" s="1"/>
  <c r="D42" i="27"/>
  <c r="K41" i="27"/>
  <c r="J41" i="27"/>
  <c r="I41" i="27"/>
  <c r="H41" i="27"/>
  <c r="G41" i="27"/>
  <c r="F41" i="27"/>
  <c r="E41" i="27"/>
  <c r="D41" i="27"/>
  <c r="K40" i="27"/>
  <c r="J40" i="27"/>
  <c r="I40" i="27"/>
  <c r="H40" i="27"/>
  <c r="H209" i="27" s="1"/>
  <c r="G40" i="27"/>
  <c r="F40" i="27"/>
  <c r="F209" i="27" s="1"/>
  <c r="E40" i="27"/>
  <c r="E125" i="27" s="1"/>
  <c r="D40" i="27"/>
  <c r="D125" i="27" s="1"/>
  <c r="K39" i="27"/>
  <c r="K124" i="27" s="1"/>
  <c r="J39" i="27"/>
  <c r="J124" i="27" s="1"/>
  <c r="I39" i="27"/>
  <c r="H39" i="27"/>
  <c r="H124" i="27" s="1"/>
  <c r="G39" i="27"/>
  <c r="F39" i="27"/>
  <c r="E39" i="27"/>
  <c r="E124" i="27" s="1"/>
  <c r="D39" i="27"/>
  <c r="D208" i="27" s="1"/>
  <c r="K38" i="27"/>
  <c r="J38" i="27"/>
  <c r="I38" i="27"/>
  <c r="H38" i="27"/>
  <c r="H207" i="27" s="1"/>
  <c r="G38" i="27"/>
  <c r="F38" i="27"/>
  <c r="F207" i="27" s="1"/>
  <c r="E38" i="27"/>
  <c r="E123" i="27" s="1"/>
  <c r="D38" i="27"/>
  <c r="D207" i="27" s="1"/>
  <c r="K37" i="27"/>
  <c r="J37" i="27"/>
  <c r="I37" i="27"/>
  <c r="H37" i="27"/>
  <c r="G37" i="27"/>
  <c r="F37" i="27"/>
  <c r="E37" i="27"/>
  <c r="D37" i="27"/>
  <c r="K36" i="27"/>
  <c r="J36" i="27"/>
  <c r="I36" i="27"/>
  <c r="I205" i="27" s="1"/>
  <c r="H36" i="27"/>
  <c r="H205" i="27" s="1"/>
  <c r="G36" i="27"/>
  <c r="F36" i="27"/>
  <c r="F205" i="27" s="1"/>
  <c r="E36" i="27"/>
  <c r="D36" i="27"/>
  <c r="D288" i="27" s="1"/>
  <c r="K35" i="27"/>
  <c r="K287" i="27" s="1"/>
  <c r="J35" i="27"/>
  <c r="J120" i="27" s="1"/>
  <c r="I35" i="27"/>
  <c r="I287" i="27" s="1"/>
  <c r="H35" i="27"/>
  <c r="G35" i="27"/>
  <c r="F35" i="27"/>
  <c r="E35" i="27"/>
  <c r="E204" i="27" s="1"/>
  <c r="D35" i="27"/>
  <c r="K34" i="27"/>
  <c r="J34" i="27"/>
  <c r="I34" i="27"/>
  <c r="H34" i="27"/>
  <c r="G34" i="27"/>
  <c r="F34" i="27"/>
  <c r="E34" i="27"/>
  <c r="D34" i="27"/>
  <c r="K33" i="27"/>
  <c r="K285" i="27" s="1"/>
  <c r="J33" i="27"/>
  <c r="J285" i="27" s="1"/>
  <c r="I33" i="27"/>
  <c r="I285" i="27" s="1"/>
  <c r="H33" i="27"/>
  <c r="G33" i="27"/>
  <c r="F33" i="27"/>
  <c r="E33" i="27"/>
  <c r="E202" i="27" s="1"/>
  <c r="D33" i="27"/>
  <c r="K32" i="27"/>
  <c r="J32" i="27"/>
  <c r="I32" i="27"/>
  <c r="I201" i="27" s="1"/>
  <c r="H32" i="27"/>
  <c r="H201" i="27" s="1"/>
  <c r="G32" i="27"/>
  <c r="F32" i="27"/>
  <c r="E32" i="27"/>
  <c r="D32" i="27"/>
  <c r="D284" i="27" s="1"/>
  <c r="K31" i="27"/>
  <c r="J31" i="27"/>
  <c r="I31" i="27"/>
  <c r="H31" i="27"/>
  <c r="G31" i="27"/>
  <c r="F31" i="27"/>
  <c r="E31" i="27"/>
  <c r="D31" i="27"/>
  <c r="K30" i="27"/>
  <c r="J30" i="27"/>
  <c r="I30" i="27"/>
  <c r="H30" i="27"/>
  <c r="G30" i="27"/>
  <c r="F30" i="27"/>
  <c r="E30" i="27"/>
  <c r="D30" i="27"/>
  <c r="K29" i="27"/>
  <c r="K281" i="27" s="1"/>
  <c r="J29" i="27"/>
  <c r="J114" i="27" s="1"/>
  <c r="I29" i="27"/>
  <c r="I114" i="27" s="1"/>
  <c r="H29" i="27"/>
  <c r="H281" i="27" s="1"/>
  <c r="G29" i="27"/>
  <c r="G281" i="27" s="1"/>
  <c r="F29" i="27"/>
  <c r="E29" i="27"/>
  <c r="E281" i="27" s="1"/>
  <c r="D29" i="27"/>
  <c r="D198" i="27" s="1"/>
  <c r="K28" i="27"/>
  <c r="J28" i="27"/>
  <c r="I28" i="27"/>
  <c r="H28" i="27"/>
  <c r="H197" i="27" s="1"/>
  <c r="G28" i="27"/>
  <c r="G197" i="27" s="1"/>
  <c r="F28" i="27"/>
  <c r="F197" i="27" s="1"/>
  <c r="E28" i="27"/>
  <c r="E113" i="27" s="1"/>
  <c r="D28" i="27"/>
  <c r="D280" i="27" s="1"/>
  <c r="K27" i="27"/>
  <c r="K112" i="27" s="1"/>
  <c r="J27" i="27"/>
  <c r="J112" i="27" s="1"/>
  <c r="I27" i="27"/>
  <c r="I279" i="27" s="1"/>
  <c r="H27" i="27"/>
  <c r="G27" i="27"/>
  <c r="F27" i="27"/>
  <c r="E27" i="27"/>
  <c r="D27" i="27"/>
  <c r="K26" i="27"/>
  <c r="J26" i="27"/>
  <c r="I26" i="27"/>
  <c r="I195" i="27" s="1"/>
  <c r="H26" i="27"/>
  <c r="H195" i="27" s="1"/>
  <c r="G26" i="27"/>
  <c r="F26" i="27"/>
  <c r="F195" i="27" s="1"/>
  <c r="E26" i="27"/>
  <c r="D26" i="27"/>
  <c r="D278" i="27" s="1"/>
  <c r="K25" i="27"/>
  <c r="K110" i="27" s="1"/>
  <c r="J25" i="27"/>
  <c r="J110" i="27" s="1"/>
  <c r="I25" i="27"/>
  <c r="H25" i="27"/>
  <c r="G25" i="27"/>
  <c r="F25" i="27"/>
  <c r="E25" i="27"/>
  <c r="E194" i="27" s="1"/>
  <c r="D25" i="27"/>
  <c r="D194" i="27" s="1"/>
  <c r="K24" i="27"/>
  <c r="J24" i="27"/>
  <c r="I24" i="27"/>
  <c r="H24" i="27"/>
  <c r="H193" i="27" s="1"/>
  <c r="G24" i="27"/>
  <c r="F24" i="27"/>
  <c r="F193" i="27" s="1"/>
  <c r="E24" i="27"/>
  <c r="E109" i="27" s="1"/>
  <c r="D24" i="27"/>
  <c r="K23" i="27"/>
  <c r="J23" i="27"/>
  <c r="J108" i="27" s="1"/>
  <c r="I23" i="27"/>
  <c r="I275" i="27" s="1"/>
  <c r="H23" i="27"/>
  <c r="G23" i="27"/>
  <c r="F23" i="27"/>
  <c r="E23" i="27"/>
  <c r="E108" i="27" s="1"/>
  <c r="D23" i="27"/>
  <c r="D192" i="27" s="1"/>
  <c r="K22" i="27"/>
  <c r="J22" i="27"/>
  <c r="I22" i="27"/>
  <c r="H22" i="27"/>
  <c r="G22" i="27"/>
  <c r="F22" i="27"/>
  <c r="E22" i="27"/>
  <c r="D22" i="27"/>
  <c r="K21" i="27"/>
  <c r="J21" i="27"/>
  <c r="J106" i="27" s="1"/>
  <c r="I21" i="27"/>
  <c r="I273" i="27" s="1"/>
  <c r="H21" i="27"/>
  <c r="H273" i="27" s="1"/>
  <c r="G21" i="27"/>
  <c r="F21" i="27"/>
  <c r="E21" i="27"/>
  <c r="D21" i="27"/>
  <c r="K20" i="27"/>
  <c r="J20" i="27"/>
  <c r="I20" i="27"/>
  <c r="I189" i="27" s="1"/>
  <c r="H20" i="27"/>
  <c r="H189" i="27" s="1"/>
  <c r="G20" i="27"/>
  <c r="F20" i="27"/>
  <c r="F189" i="27" s="1"/>
  <c r="E20" i="27"/>
  <c r="E105" i="27" s="1"/>
  <c r="D20" i="27"/>
  <c r="D272" i="27" s="1"/>
  <c r="K19" i="27"/>
  <c r="J19" i="27"/>
  <c r="I19" i="27"/>
  <c r="H19" i="27"/>
  <c r="G19" i="27"/>
  <c r="F19" i="27"/>
  <c r="E19" i="27"/>
  <c r="D19" i="27"/>
  <c r="K18" i="27"/>
  <c r="J18" i="27"/>
  <c r="I18" i="27"/>
  <c r="H18" i="27"/>
  <c r="H187" i="27" s="1"/>
  <c r="G18" i="27"/>
  <c r="G187" i="27" s="1"/>
  <c r="F18" i="27"/>
  <c r="F270" i="27" s="1"/>
  <c r="E18" i="27"/>
  <c r="E103" i="27" s="1"/>
  <c r="D18" i="27"/>
  <c r="D270" i="27" s="1"/>
  <c r="K17" i="27"/>
  <c r="J17" i="27"/>
  <c r="I17" i="27"/>
  <c r="H17" i="27"/>
  <c r="G17" i="27"/>
  <c r="F17" i="27"/>
  <c r="E17" i="27"/>
  <c r="D17" i="27"/>
  <c r="K16" i="27"/>
  <c r="J16" i="27"/>
  <c r="I16" i="27"/>
  <c r="I185" i="27" s="1"/>
  <c r="H16" i="27"/>
  <c r="H185" i="27" s="1"/>
  <c r="G16" i="27"/>
  <c r="F16" i="27"/>
  <c r="E16" i="27"/>
  <c r="E101" i="27" s="1"/>
  <c r="D16" i="27"/>
  <c r="D268" i="27" s="1"/>
  <c r="K15" i="27"/>
  <c r="K46" i="27" s="1"/>
  <c r="J15" i="27"/>
  <c r="J100" i="27" s="1"/>
  <c r="I15" i="27"/>
  <c r="I267" i="27" s="1"/>
  <c r="H15" i="27"/>
  <c r="H100" i="27" s="1"/>
  <c r="G15" i="27"/>
  <c r="F15" i="27"/>
  <c r="E15" i="27"/>
  <c r="D15" i="27"/>
  <c r="S275" i="26"/>
  <c r="H275" i="26"/>
  <c r="G275" i="26"/>
  <c r="P272" i="26"/>
  <c r="L272" i="26"/>
  <c r="M268" i="26"/>
  <c r="K268" i="26"/>
  <c r="H268" i="26"/>
  <c r="O267" i="26"/>
  <c r="J267" i="26"/>
  <c r="V265" i="26"/>
  <c r="U265" i="26"/>
  <c r="F265" i="26"/>
  <c r="E265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F257" i="26"/>
  <c r="T254" i="26"/>
  <c r="S254" i="26"/>
  <c r="M251" i="26"/>
  <c r="L251" i="26"/>
  <c r="H251" i="26"/>
  <c r="E251" i="26"/>
  <c r="S249" i="26"/>
  <c r="R249" i="26"/>
  <c r="N249" i="26"/>
  <c r="V236" i="26"/>
  <c r="V275" i="26" s="1"/>
  <c r="U236" i="26"/>
  <c r="U275" i="26" s="1"/>
  <c r="T236" i="26"/>
  <c r="T275" i="26" s="1"/>
  <c r="S236" i="26"/>
  <c r="R236" i="26"/>
  <c r="R275" i="26" s="1"/>
  <c r="Q236" i="26"/>
  <c r="Q275" i="26" s="1"/>
  <c r="P236" i="26"/>
  <c r="P275" i="26" s="1"/>
  <c r="O236" i="26"/>
  <c r="O275" i="26" s="1"/>
  <c r="N236" i="26"/>
  <c r="N275" i="26" s="1"/>
  <c r="M236" i="26"/>
  <c r="M275" i="26" s="1"/>
  <c r="L236" i="26"/>
  <c r="L275" i="26" s="1"/>
  <c r="K236" i="26"/>
  <c r="K275" i="26" s="1"/>
  <c r="J236" i="26"/>
  <c r="J275" i="26" s="1"/>
  <c r="I236" i="26"/>
  <c r="I275" i="26" s="1"/>
  <c r="H236" i="26"/>
  <c r="G236" i="26"/>
  <c r="F236" i="26"/>
  <c r="E236" i="26"/>
  <c r="D236" i="26"/>
  <c r="V235" i="26"/>
  <c r="U235" i="26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V234" i="26"/>
  <c r="U234" i="26"/>
  <c r="T234" i="26"/>
  <c r="S234" i="26"/>
  <c r="R234" i="26"/>
  <c r="Q234" i="26"/>
  <c r="P234" i="26"/>
  <c r="O234" i="26"/>
  <c r="N234" i="26"/>
  <c r="M234" i="26"/>
  <c r="L234" i="26"/>
  <c r="K234" i="26"/>
  <c r="J234" i="26"/>
  <c r="I234" i="26"/>
  <c r="H234" i="26"/>
  <c r="G234" i="26"/>
  <c r="F234" i="26"/>
  <c r="E234" i="26"/>
  <c r="D234" i="26"/>
  <c r="V233" i="26"/>
  <c r="V272" i="26" s="1"/>
  <c r="U233" i="26"/>
  <c r="U272" i="26" s="1"/>
  <c r="T233" i="26"/>
  <c r="T272" i="26" s="1"/>
  <c r="S233" i="26"/>
  <c r="S272" i="26" s="1"/>
  <c r="R233" i="26"/>
  <c r="R272" i="26" s="1"/>
  <c r="Q233" i="26"/>
  <c r="Q272" i="26" s="1"/>
  <c r="P233" i="26"/>
  <c r="O233" i="26"/>
  <c r="O272" i="26" s="1"/>
  <c r="N233" i="26"/>
  <c r="N272" i="26" s="1"/>
  <c r="M233" i="26"/>
  <c r="M272" i="26" s="1"/>
  <c r="L233" i="26"/>
  <c r="K233" i="26"/>
  <c r="K272" i="26" s="1"/>
  <c r="J233" i="26"/>
  <c r="J272" i="26" s="1"/>
  <c r="I233" i="26"/>
  <c r="I272" i="26" s="1"/>
  <c r="H233" i="26"/>
  <c r="H272" i="26" s="1"/>
  <c r="G233" i="26"/>
  <c r="G272" i="26" s="1"/>
  <c r="F233" i="26"/>
  <c r="F272" i="26" s="1"/>
  <c r="E233" i="26"/>
  <c r="E272" i="26" s="1"/>
  <c r="D233" i="26"/>
  <c r="D272" i="26" s="1"/>
  <c r="V232" i="26"/>
  <c r="U232" i="26"/>
  <c r="T232" i="26"/>
  <c r="S232" i="26"/>
  <c r="R232" i="26"/>
  <c r="Q232" i="26"/>
  <c r="P232" i="26"/>
  <c r="O232" i="26"/>
  <c r="N232" i="26"/>
  <c r="M232" i="26"/>
  <c r="L232" i="26"/>
  <c r="K232" i="26"/>
  <c r="J232" i="26"/>
  <c r="I232" i="26"/>
  <c r="H232" i="26"/>
  <c r="G232" i="26"/>
  <c r="F232" i="26"/>
  <c r="E232" i="26"/>
  <c r="D232" i="26"/>
  <c r="V231" i="26"/>
  <c r="U231" i="26"/>
  <c r="T231" i="26"/>
  <c r="S231" i="26"/>
  <c r="R231" i="26"/>
  <c r="Q231" i="26"/>
  <c r="P231" i="26"/>
  <c r="O231" i="26"/>
  <c r="N231" i="26"/>
  <c r="M231" i="26"/>
  <c r="L231" i="26"/>
  <c r="K231" i="26"/>
  <c r="J231" i="26"/>
  <c r="I231" i="26"/>
  <c r="H231" i="26"/>
  <c r="G231" i="26"/>
  <c r="F231" i="26"/>
  <c r="E231" i="26"/>
  <c r="D231" i="26"/>
  <c r="V230" i="26"/>
  <c r="U230" i="26"/>
  <c r="T230" i="26"/>
  <c r="S230" i="26"/>
  <c r="R230" i="26"/>
  <c r="Q230" i="26"/>
  <c r="P230" i="26"/>
  <c r="O230" i="26"/>
  <c r="N230" i="26"/>
  <c r="M230" i="26"/>
  <c r="L230" i="26"/>
  <c r="K230" i="26"/>
  <c r="J230" i="26"/>
  <c r="I230" i="26"/>
  <c r="H230" i="26"/>
  <c r="G230" i="26"/>
  <c r="F230" i="26"/>
  <c r="E230" i="26"/>
  <c r="D230" i="26"/>
  <c r="V229" i="26"/>
  <c r="V268" i="26" s="1"/>
  <c r="U229" i="26"/>
  <c r="U268" i="26" s="1"/>
  <c r="T229" i="26"/>
  <c r="T268" i="26" s="1"/>
  <c r="S229" i="26"/>
  <c r="S268" i="26" s="1"/>
  <c r="R229" i="26"/>
  <c r="R268" i="26" s="1"/>
  <c r="Q229" i="26"/>
  <c r="Q268" i="26" s="1"/>
  <c r="P229" i="26"/>
  <c r="P268" i="26" s="1"/>
  <c r="O229" i="26"/>
  <c r="O268" i="26" s="1"/>
  <c r="N229" i="26"/>
  <c r="N268" i="26" s="1"/>
  <c r="M229" i="26"/>
  <c r="L229" i="26"/>
  <c r="L268" i="26" s="1"/>
  <c r="K229" i="26"/>
  <c r="J229" i="26"/>
  <c r="J268" i="26" s="1"/>
  <c r="I229" i="26"/>
  <c r="I268" i="26" s="1"/>
  <c r="H229" i="26"/>
  <c r="G229" i="26"/>
  <c r="G268" i="26" s="1"/>
  <c r="F229" i="26"/>
  <c r="F268" i="26" s="1"/>
  <c r="E229" i="26"/>
  <c r="E268" i="26" s="1"/>
  <c r="D229" i="26"/>
  <c r="D268" i="26" s="1"/>
  <c r="V228" i="26"/>
  <c r="U228" i="26"/>
  <c r="T228" i="26"/>
  <c r="S228" i="26"/>
  <c r="R228" i="26"/>
  <c r="Q228" i="26"/>
  <c r="P228" i="26"/>
  <c r="O228" i="26"/>
  <c r="N228" i="26"/>
  <c r="N267" i="26" s="1"/>
  <c r="M228" i="26"/>
  <c r="M267" i="26" s="1"/>
  <c r="L228" i="26"/>
  <c r="L267" i="26" s="1"/>
  <c r="K228" i="26"/>
  <c r="K267" i="26" s="1"/>
  <c r="J228" i="26"/>
  <c r="I228" i="26"/>
  <c r="H228" i="26"/>
  <c r="G228" i="26"/>
  <c r="G267" i="26" s="1"/>
  <c r="F228" i="26"/>
  <c r="F267" i="26" s="1"/>
  <c r="E228" i="26"/>
  <c r="E267" i="26" s="1"/>
  <c r="D228" i="26"/>
  <c r="V227" i="26"/>
  <c r="U227" i="26"/>
  <c r="T227" i="26"/>
  <c r="S227" i="26"/>
  <c r="R227" i="26"/>
  <c r="Q227" i="26"/>
  <c r="P227" i="26"/>
  <c r="O227" i="26"/>
  <c r="N227" i="26"/>
  <c r="M227" i="26"/>
  <c r="L227" i="26"/>
  <c r="K227" i="26"/>
  <c r="J227" i="26"/>
  <c r="I227" i="26"/>
  <c r="H227" i="26"/>
  <c r="G227" i="26"/>
  <c r="F227" i="26"/>
  <c r="E227" i="26"/>
  <c r="D227" i="26"/>
  <c r="V226" i="26"/>
  <c r="U226" i="26"/>
  <c r="T226" i="26"/>
  <c r="S226" i="26"/>
  <c r="S265" i="26" s="1"/>
  <c r="R226" i="26"/>
  <c r="Q226" i="26"/>
  <c r="P226" i="26"/>
  <c r="O226" i="26"/>
  <c r="N226" i="26"/>
  <c r="M226" i="26"/>
  <c r="L226" i="26"/>
  <c r="K226" i="26"/>
  <c r="J226" i="26"/>
  <c r="J265" i="26" s="1"/>
  <c r="I226" i="26"/>
  <c r="I265" i="26" s="1"/>
  <c r="H226" i="26"/>
  <c r="H265" i="26" s="1"/>
  <c r="G226" i="26"/>
  <c r="G265" i="26" s="1"/>
  <c r="F226" i="26"/>
  <c r="E226" i="26"/>
  <c r="D226" i="26"/>
  <c r="D265" i="26" s="1"/>
  <c r="V225" i="26"/>
  <c r="U225" i="26"/>
  <c r="T225" i="26"/>
  <c r="S225" i="26"/>
  <c r="R225" i="26"/>
  <c r="Q225" i="26"/>
  <c r="P225" i="26"/>
  <c r="O225" i="26"/>
  <c r="N225" i="26"/>
  <c r="M225" i="26"/>
  <c r="L225" i="26"/>
  <c r="K225" i="26"/>
  <c r="J225" i="26"/>
  <c r="I225" i="26"/>
  <c r="H225" i="26"/>
  <c r="G225" i="26"/>
  <c r="F225" i="26"/>
  <c r="E225" i="26"/>
  <c r="D225" i="26"/>
  <c r="V224" i="26"/>
  <c r="U224" i="26"/>
  <c r="T224" i="26"/>
  <c r="S224" i="26"/>
  <c r="R224" i="26"/>
  <c r="Q224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V223" i="26"/>
  <c r="V262" i="26" s="1"/>
  <c r="U223" i="26"/>
  <c r="U262" i="26" s="1"/>
  <c r="T223" i="26"/>
  <c r="T262" i="26" s="1"/>
  <c r="S223" i="26"/>
  <c r="S262" i="26" s="1"/>
  <c r="R223" i="26"/>
  <c r="R262" i="26" s="1"/>
  <c r="Q223" i="26"/>
  <c r="P223" i="26"/>
  <c r="O223" i="26"/>
  <c r="N223" i="26"/>
  <c r="M223" i="26"/>
  <c r="L223" i="26"/>
  <c r="K223" i="26"/>
  <c r="J223" i="26"/>
  <c r="I223" i="26"/>
  <c r="H223" i="26"/>
  <c r="G223" i="26"/>
  <c r="F223" i="26"/>
  <c r="E223" i="26"/>
  <c r="D223" i="26"/>
  <c r="V222" i="26"/>
  <c r="U222" i="26"/>
  <c r="T222" i="26"/>
  <c r="S222" i="26"/>
  <c r="R222" i="26"/>
  <c r="Q222" i="26"/>
  <c r="P222" i="26"/>
  <c r="O222" i="26"/>
  <c r="N222" i="26"/>
  <c r="M222" i="26"/>
  <c r="L222" i="26"/>
  <c r="K222" i="26"/>
  <c r="J222" i="26"/>
  <c r="I222" i="26"/>
  <c r="H222" i="26"/>
  <c r="G222" i="26"/>
  <c r="F222" i="26"/>
  <c r="E222" i="26"/>
  <c r="D222" i="26"/>
  <c r="V221" i="26"/>
  <c r="U221" i="26"/>
  <c r="T221" i="26"/>
  <c r="S221" i="26"/>
  <c r="R221" i="26"/>
  <c r="Q221" i="26"/>
  <c r="P221" i="26"/>
  <c r="O221" i="26"/>
  <c r="N221" i="26"/>
  <c r="M221" i="26"/>
  <c r="L221" i="26"/>
  <c r="K221" i="26"/>
  <c r="J221" i="26"/>
  <c r="I221" i="26"/>
  <c r="H221" i="26"/>
  <c r="G221" i="26"/>
  <c r="F221" i="26"/>
  <c r="E221" i="26"/>
  <c r="D221" i="26"/>
  <c r="V219" i="26"/>
  <c r="U219" i="26"/>
  <c r="T219" i="26"/>
  <c r="S219" i="26"/>
  <c r="R219" i="26"/>
  <c r="Q219" i="26"/>
  <c r="P219" i="26"/>
  <c r="O219" i="26"/>
  <c r="N219" i="26"/>
  <c r="M219" i="26"/>
  <c r="L219" i="26"/>
  <c r="K219" i="26"/>
  <c r="J219" i="26"/>
  <c r="I219" i="26"/>
  <c r="H219" i="26"/>
  <c r="G219" i="26"/>
  <c r="F219" i="26"/>
  <c r="E219" i="26"/>
  <c r="D219" i="26"/>
  <c r="V218" i="26"/>
  <c r="U218" i="26"/>
  <c r="T218" i="26"/>
  <c r="S218" i="26"/>
  <c r="R218" i="26"/>
  <c r="Q218" i="26"/>
  <c r="P218" i="26"/>
  <c r="O218" i="26"/>
  <c r="N218" i="26"/>
  <c r="M218" i="26"/>
  <c r="L218" i="26"/>
  <c r="K218" i="26"/>
  <c r="J218" i="26"/>
  <c r="I218" i="26"/>
  <c r="H218" i="26"/>
  <c r="G218" i="26"/>
  <c r="G257" i="26" s="1"/>
  <c r="F218" i="26"/>
  <c r="E218" i="26"/>
  <c r="E257" i="26" s="1"/>
  <c r="D218" i="26"/>
  <c r="D257" i="26" s="1"/>
  <c r="V217" i="26"/>
  <c r="U217" i="26"/>
  <c r="T217" i="26"/>
  <c r="S217" i="26"/>
  <c r="R217" i="26"/>
  <c r="Q217" i="26"/>
  <c r="P217" i="26"/>
  <c r="O217" i="26"/>
  <c r="N217" i="26"/>
  <c r="M217" i="26"/>
  <c r="L217" i="26"/>
  <c r="K217" i="26"/>
  <c r="J217" i="26"/>
  <c r="I217" i="26"/>
  <c r="H217" i="26"/>
  <c r="G217" i="26"/>
  <c r="F217" i="26"/>
  <c r="E217" i="26"/>
  <c r="D217" i="26"/>
  <c r="V216" i="26"/>
  <c r="U216" i="26"/>
  <c r="T216" i="26"/>
  <c r="S216" i="26"/>
  <c r="R216" i="26"/>
  <c r="Q216" i="26"/>
  <c r="P216" i="26"/>
  <c r="O216" i="26"/>
  <c r="N216" i="26"/>
  <c r="M216" i="26"/>
  <c r="L216" i="26"/>
  <c r="K216" i="26"/>
  <c r="J216" i="26"/>
  <c r="I216" i="26"/>
  <c r="H216" i="26"/>
  <c r="G216" i="26"/>
  <c r="F216" i="26"/>
  <c r="E216" i="26"/>
  <c r="D216" i="26"/>
  <c r="V215" i="26"/>
  <c r="V254" i="26" s="1"/>
  <c r="U215" i="26"/>
  <c r="U254" i="26" s="1"/>
  <c r="T215" i="26"/>
  <c r="S215" i="26"/>
  <c r="R215" i="26"/>
  <c r="R254" i="26" s="1"/>
  <c r="Q215" i="26"/>
  <c r="Q254" i="26" s="1"/>
  <c r="P215" i="26"/>
  <c r="P254" i="26" s="1"/>
  <c r="O215" i="26"/>
  <c r="N215" i="26"/>
  <c r="N254" i="26" s="1"/>
  <c r="M215" i="26"/>
  <c r="L215" i="26"/>
  <c r="K215" i="26"/>
  <c r="J215" i="26"/>
  <c r="I215" i="26"/>
  <c r="H215" i="26"/>
  <c r="G215" i="26"/>
  <c r="F215" i="26"/>
  <c r="E215" i="26"/>
  <c r="D215" i="26"/>
  <c r="V214" i="26"/>
  <c r="U214" i="26"/>
  <c r="T214" i="26"/>
  <c r="S214" i="26"/>
  <c r="R214" i="26"/>
  <c r="Q214" i="26"/>
  <c r="P214" i="26"/>
  <c r="O214" i="26"/>
  <c r="N214" i="26"/>
  <c r="M214" i="26"/>
  <c r="L214" i="26"/>
  <c r="K214" i="26"/>
  <c r="J214" i="26"/>
  <c r="I214" i="26"/>
  <c r="H214" i="26"/>
  <c r="G214" i="26"/>
  <c r="F214" i="26"/>
  <c r="E214" i="26"/>
  <c r="D214" i="26"/>
  <c r="V213" i="26"/>
  <c r="U213" i="26"/>
  <c r="T213" i="26"/>
  <c r="S213" i="26"/>
  <c r="R213" i="26"/>
  <c r="Q213" i="26"/>
  <c r="P213" i="26"/>
  <c r="O213" i="26"/>
  <c r="N213" i="26"/>
  <c r="M213" i="26"/>
  <c r="L213" i="26"/>
  <c r="K213" i="26"/>
  <c r="J213" i="26"/>
  <c r="I213" i="26"/>
  <c r="H213" i="26"/>
  <c r="G213" i="26"/>
  <c r="F213" i="26"/>
  <c r="E213" i="26"/>
  <c r="D213" i="26"/>
  <c r="V212" i="26"/>
  <c r="V251" i="26" s="1"/>
  <c r="U212" i="26"/>
  <c r="U251" i="26" s="1"/>
  <c r="T212" i="26"/>
  <c r="T251" i="26" s="1"/>
  <c r="S212" i="26"/>
  <c r="S251" i="26" s="1"/>
  <c r="R212" i="26"/>
  <c r="R251" i="26" s="1"/>
  <c r="Q212" i="26"/>
  <c r="Q251" i="26" s="1"/>
  <c r="P212" i="26"/>
  <c r="P251" i="26" s="1"/>
  <c r="O212" i="26"/>
  <c r="O251" i="26" s="1"/>
  <c r="N212" i="26"/>
  <c r="N251" i="26" s="1"/>
  <c r="M212" i="26"/>
  <c r="L212" i="26"/>
  <c r="K212" i="26"/>
  <c r="K251" i="26" s="1"/>
  <c r="J212" i="26"/>
  <c r="J251" i="26" s="1"/>
  <c r="I212" i="26"/>
  <c r="I251" i="26" s="1"/>
  <c r="H212" i="26"/>
  <c r="G212" i="26"/>
  <c r="G251" i="26" s="1"/>
  <c r="F212" i="26"/>
  <c r="F251" i="26" s="1"/>
  <c r="E212" i="26"/>
  <c r="D212" i="26"/>
  <c r="D251" i="26" s="1"/>
  <c r="V211" i="26"/>
  <c r="U211" i="26"/>
  <c r="T211" i="26"/>
  <c r="S211" i="26"/>
  <c r="R211" i="26"/>
  <c r="Q211" i="26"/>
  <c r="P211" i="26"/>
  <c r="O211" i="26"/>
  <c r="N211" i="26"/>
  <c r="M211" i="26"/>
  <c r="L211" i="26"/>
  <c r="K211" i="26"/>
  <c r="J211" i="26"/>
  <c r="I211" i="26"/>
  <c r="H211" i="26"/>
  <c r="G211" i="26"/>
  <c r="F211" i="26"/>
  <c r="E211" i="26"/>
  <c r="E250" i="26" s="1"/>
  <c r="D211" i="26"/>
  <c r="V210" i="26"/>
  <c r="V249" i="26" s="1"/>
  <c r="U210" i="26"/>
  <c r="U249" i="26" s="1"/>
  <c r="T210" i="26"/>
  <c r="T249" i="26" s="1"/>
  <c r="S210" i="26"/>
  <c r="R210" i="26"/>
  <c r="Q210" i="26"/>
  <c r="Q249" i="26" s="1"/>
  <c r="P210" i="26"/>
  <c r="P249" i="26" s="1"/>
  <c r="O210" i="26"/>
  <c r="O249" i="26" s="1"/>
  <c r="N210" i="26"/>
  <c r="M210" i="26"/>
  <c r="L210" i="26"/>
  <c r="K210" i="26"/>
  <c r="J210" i="26"/>
  <c r="I210" i="26"/>
  <c r="H210" i="26"/>
  <c r="G210" i="26"/>
  <c r="F210" i="26"/>
  <c r="E210" i="26"/>
  <c r="D210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J248" i="26" s="1"/>
  <c r="I209" i="26"/>
  <c r="H209" i="26"/>
  <c r="G209" i="26"/>
  <c r="F209" i="26"/>
  <c r="E209" i="26"/>
  <c r="D209" i="26"/>
  <c r="V208" i="26"/>
  <c r="U208" i="26"/>
  <c r="T208" i="26"/>
  <c r="S208" i="26"/>
  <c r="R208" i="26"/>
  <c r="Q208" i="26"/>
  <c r="P208" i="26"/>
  <c r="O208" i="26"/>
  <c r="N208" i="26"/>
  <c r="M208" i="26"/>
  <c r="M237" i="26" s="1"/>
  <c r="L208" i="26"/>
  <c r="K208" i="26"/>
  <c r="J208" i="26"/>
  <c r="I208" i="26"/>
  <c r="H208" i="26"/>
  <c r="G208" i="26"/>
  <c r="F208" i="26"/>
  <c r="E208" i="26"/>
  <c r="D208" i="26"/>
  <c r="V198" i="26"/>
  <c r="M198" i="26"/>
  <c r="L198" i="26"/>
  <c r="K198" i="26"/>
  <c r="V195" i="26"/>
  <c r="T195" i="26"/>
  <c r="R195" i="26"/>
  <c r="K195" i="26"/>
  <c r="Q191" i="26"/>
  <c r="P191" i="26"/>
  <c r="N191" i="26"/>
  <c r="G191" i="26"/>
  <c r="O190" i="26"/>
  <c r="E190" i="26"/>
  <c r="J188" i="26"/>
  <c r="I188" i="26"/>
  <c r="G188" i="26"/>
  <c r="F188" i="26"/>
  <c r="D186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F180" i="26"/>
  <c r="T177" i="26"/>
  <c r="K176" i="26"/>
  <c r="R174" i="26"/>
  <c r="Q174" i="26"/>
  <c r="P174" i="26"/>
  <c r="N174" i="26"/>
  <c r="I173" i="26"/>
  <c r="T172" i="26"/>
  <c r="V159" i="26"/>
  <c r="U159" i="26"/>
  <c r="U198" i="26" s="1"/>
  <c r="T159" i="26"/>
  <c r="T198" i="26" s="1"/>
  <c r="S159" i="26"/>
  <c r="S198" i="26" s="1"/>
  <c r="R159" i="26"/>
  <c r="R198" i="26" s="1"/>
  <c r="Q159" i="26"/>
  <c r="Q198" i="26" s="1"/>
  <c r="P159" i="26"/>
  <c r="P198" i="26" s="1"/>
  <c r="O159" i="26"/>
  <c r="O198" i="26" s="1"/>
  <c r="N159" i="26"/>
  <c r="N198" i="26" s="1"/>
  <c r="M159" i="26"/>
  <c r="L159" i="26"/>
  <c r="K159" i="26"/>
  <c r="J159" i="26"/>
  <c r="J198" i="26" s="1"/>
  <c r="I159" i="26"/>
  <c r="I198" i="26" s="1"/>
  <c r="H159" i="26"/>
  <c r="H198" i="26" s="1"/>
  <c r="G159" i="26"/>
  <c r="G198" i="26" s="1"/>
  <c r="F159" i="26"/>
  <c r="E159" i="26"/>
  <c r="E198" i="26" s="1"/>
  <c r="D159" i="26"/>
  <c r="V158" i="26"/>
  <c r="V197" i="26" s="1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H197" i="26" s="1"/>
  <c r="G158" i="26"/>
  <c r="F158" i="26"/>
  <c r="E158" i="26"/>
  <c r="D158" i="26"/>
  <c r="V157" i="26"/>
  <c r="V196" i="26" s="1"/>
  <c r="U157" i="26"/>
  <c r="T157" i="26"/>
  <c r="S157" i="26"/>
  <c r="R157" i="26"/>
  <c r="Q157" i="26"/>
  <c r="P157" i="26"/>
  <c r="O157" i="26"/>
  <c r="N157" i="26"/>
  <c r="M157" i="26"/>
  <c r="L157" i="26"/>
  <c r="K157" i="26"/>
  <c r="K196" i="26" s="1"/>
  <c r="J157" i="26"/>
  <c r="I157" i="26"/>
  <c r="H157" i="26"/>
  <c r="G157" i="26"/>
  <c r="F157" i="26"/>
  <c r="E157" i="26"/>
  <c r="D157" i="26"/>
  <c r="V156" i="26"/>
  <c r="U156" i="26"/>
  <c r="U195" i="26" s="1"/>
  <c r="T156" i="26"/>
  <c r="S156" i="26"/>
  <c r="S195" i="26" s="1"/>
  <c r="R156" i="26"/>
  <c r="Q156" i="26"/>
  <c r="Q195" i="26" s="1"/>
  <c r="P156" i="26"/>
  <c r="P195" i="26" s="1"/>
  <c r="O156" i="26"/>
  <c r="O195" i="26" s="1"/>
  <c r="N156" i="26"/>
  <c r="N195" i="26" s="1"/>
  <c r="M156" i="26"/>
  <c r="M195" i="26" s="1"/>
  <c r="L156" i="26"/>
  <c r="L195" i="26" s="1"/>
  <c r="K156" i="26"/>
  <c r="J156" i="26"/>
  <c r="J195" i="26" s="1"/>
  <c r="I156" i="26"/>
  <c r="I195" i="26" s="1"/>
  <c r="H156" i="26"/>
  <c r="H195" i="26" s="1"/>
  <c r="G156" i="26"/>
  <c r="G195" i="26" s="1"/>
  <c r="F156" i="26"/>
  <c r="F195" i="26" s="1"/>
  <c r="E156" i="26"/>
  <c r="E195" i="26" s="1"/>
  <c r="D156" i="26"/>
  <c r="D195" i="26" s="1"/>
  <c r="V155" i="26"/>
  <c r="U155" i="26"/>
  <c r="T155" i="26"/>
  <c r="S155" i="26"/>
  <c r="R155" i="26"/>
  <c r="Q155" i="26"/>
  <c r="Q194" i="26" s="1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V154" i="26"/>
  <c r="U154" i="26"/>
  <c r="T154" i="26"/>
  <c r="T193" i="26" s="1"/>
  <c r="S154" i="26"/>
  <c r="S193" i="26" s="1"/>
  <c r="R154" i="26"/>
  <c r="Q154" i="26"/>
  <c r="P154" i="26"/>
  <c r="O154" i="26"/>
  <c r="N154" i="26"/>
  <c r="M154" i="26"/>
  <c r="L154" i="26"/>
  <c r="K154" i="26"/>
  <c r="J154" i="26"/>
  <c r="I154" i="26"/>
  <c r="H154" i="26"/>
  <c r="G154" i="26"/>
  <c r="F154" i="26"/>
  <c r="E154" i="26"/>
  <c r="D154" i="26"/>
  <c r="D193" i="26" s="1"/>
  <c r="V153" i="26"/>
  <c r="U153" i="26"/>
  <c r="U192" i="26" s="1"/>
  <c r="T153" i="26"/>
  <c r="S153" i="26"/>
  <c r="S192" i="26" s="1"/>
  <c r="R153" i="26"/>
  <c r="Q153" i="26"/>
  <c r="P153" i="26"/>
  <c r="O153" i="26"/>
  <c r="N153" i="26"/>
  <c r="M153" i="26"/>
  <c r="L153" i="26"/>
  <c r="K153" i="26"/>
  <c r="J153" i="26"/>
  <c r="I153" i="26"/>
  <c r="H153" i="26"/>
  <c r="G153" i="26"/>
  <c r="G192" i="26" s="1"/>
  <c r="F153" i="26"/>
  <c r="E153" i="26"/>
  <c r="D153" i="26"/>
  <c r="V152" i="26"/>
  <c r="V191" i="26" s="1"/>
  <c r="U152" i="26"/>
  <c r="U191" i="26" s="1"/>
  <c r="T152" i="26"/>
  <c r="T191" i="26" s="1"/>
  <c r="S152" i="26"/>
  <c r="S191" i="26" s="1"/>
  <c r="R152" i="26"/>
  <c r="R191" i="26" s="1"/>
  <c r="Q152" i="26"/>
  <c r="P152" i="26"/>
  <c r="O152" i="26"/>
  <c r="O191" i="26" s="1"/>
  <c r="N152" i="26"/>
  <c r="M152" i="26"/>
  <c r="M191" i="26" s="1"/>
  <c r="L152" i="26"/>
  <c r="L191" i="26" s="1"/>
  <c r="K152" i="26"/>
  <c r="K191" i="26" s="1"/>
  <c r="J152" i="26"/>
  <c r="J191" i="26" s="1"/>
  <c r="I152" i="26"/>
  <c r="I191" i="26" s="1"/>
  <c r="H152" i="26"/>
  <c r="H191" i="26" s="1"/>
  <c r="G152" i="26"/>
  <c r="F152" i="26"/>
  <c r="F191" i="26" s="1"/>
  <c r="E152" i="26"/>
  <c r="E191" i="26" s="1"/>
  <c r="D152" i="26"/>
  <c r="D191" i="26" s="1"/>
  <c r="V151" i="26"/>
  <c r="U151" i="26"/>
  <c r="T151" i="26"/>
  <c r="S151" i="26"/>
  <c r="R151" i="26"/>
  <c r="Q151" i="26"/>
  <c r="P151" i="26"/>
  <c r="O151" i="26"/>
  <c r="N151" i="26"/>
  <c r="N190" i="26" s="1"/>
  <c r="M151" i="26"/>
  <c r="M190" i="26" s="1"/>
  <c r="L151" i="26"/>
  <c r="L190" i="26" s="1"/>
  <c r="K151" i="26"/>
  <c r="K190" i="26" s="1"/>
  <c r="J151" i="26"/>
  <c r="J190" i="26" s="1"/>
  <c r="I151" i="26"/>
  <c r="I190" i="26" s="1"/>
  <c r="H151" i="26"/>
  <c r="H190" i="26" s="1"/>
  <c r="G151" i="26"/>
  <c r="G190" i="26" s="1"/>
  <c r="F151" i="26"/>
  <c r="F190" i="26" s="1"/>
  <c r="E151" i="26"/>
  <c r="D151" i="26"/>
  <c r="V150" i="26"/>
  <c r="U150" i="26"/>
  <c r="T150" i="26"/>
  <c r="S150" i="26"/>
  <c r="R150" i="26"/>
  <c r="Q150" i="26"/>
  <c r="P150" i="26"/>
  <c r="P189" i="26" s="1"/>
  <c r="O150" i="26"/>
  <c r="O189" i="26" s="1"/>
  <c r="N150" i="26"/>
  <c r="M150" i="26"/>
  <c r="L150" i="26"/>
  <c r="K150" i="26"/>
  <c r="J150" i="26"/>
  <c r="I150" i="26"/>
  <c r="H150" i="26"/>
  <c r="G150" i="26"/>
  <c r="F150" i="26"/>
  <c r="E150" i="26"/>
  <c r="D150" i="26"/>
  <c r="V149" i="26"/>
  <c r="V188" i="26" s="1"/>
  <c r="U149" i="26"/>
  <c r="U188" i="26" s="1"/>
  <c r="T149" i="26"/>
  <c r="S149" i="26"/>
  <c r="S188" i="26" s="1"/>
  <c r="R149" i="26"/>
  <c r="R188" i="26" s="1"/>
  <c r="Q149" i="26"/>
  <c r="P149" i="26"/>
  <c r="O149" i="26"/>
  <c r="N149" i="26"/>
  <c r="M149" i="26"/>
  <c r="L149" i="26"/>
  <c r="K149" i="26"/>
  <c r="J149" i="26"/>
  <c r="I149" i="26"/>
  <c r="H149" i="26"/>
  <c r="H188" i="26" s="1"/>
  <c r="G149" i="26"/>
  <c r="F149" i="26"/>
  <c r="E149" i="26"/>
  <c r="E188" i="26" s="1"/>
  <c r="D149" i="26"/>
  <c r="D188" i="26" s="1"/>
  <c r="V148" i="26"/>
  <c r="V187" i="26" s="1"/>
  <c r="U148" i="26"/>
  <c r="T148" i="26"/>
  <c r="S148" i="26"/>
  <c r="R148" i="26"/>
  <c r="R187" i="26" s="1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F187" i="26" s="1"/>
  <c r="E148" i="26"/>
  <c r="E187" i="26" s="1"/>
  <c r="D148" i="26"/>
  <c r="D187" i="26" s="1"/>
  <c r="V147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I186" i="26" s="1"/>
  <c r="H147" i="26"/>
  <c r="G147" i="26"/>
  <c r="F147" i="26"/>
  <c r="E147" i="26"/>
  <c r="E186" i="26" s="1"/>
  <c r="D147" i="26"/>
  <c r="V146" i="26"/>
  <c r="V185" i="26" s="1"/>
  <c r="U146" i="26"/>
  <c r="U185" i="26" s="1"/>
  <c r="T146" i="26"/>
  <c r="T185" i="26" s="1"/>
  <c r="S146" i="26"/>
  <c r="S185" i="26" s="1"/>
  <c r="R146" i="26"/>
  <c r="R185" i="26" s="1"/>
  <c r="Q146" i="26"/>
  <c r="P146" i="26"/>
  <c r="O146" i="26"/>
  <c r="N146" i="26"/>
  <c r="M146" i="26"/>
  <c r="L146" i="26"/>
  <c r="L185" i="26" s="1"/>
  <c r="K146" i="26"/>
  <c r="J146" i="26"/>
  <c r="I146" i="26"/>
  <c r="H146" i="26"/>
  <c r="G146" i="26"/>
  <c r="F146" i="26"/>
  <c r="E146" i="26"/>
  <c r="D146" i="26"/>
  <c r="V145" i="26"/>
  <c r="U145" i="26"/>
  <c r="T145" i="26"/>
  <c r="S145" i="26"/>
  <c r="R145" i="26"/>
  <c r="Q145" i="26"/>
  <c r="P145" i="26"/>
  <c r="O145" i="26"/>
  <c r="O184" i="26" s="1"/>
  <c r="N145" i="26"/>
  <c r="M145" i="26"/>
  <c r="L145" i="26"/>
  <c r="K145" i="26"/>
  <c r="J145" i="26"/>
  <c r="I145" i="26"/>
  <c r="H145" i="26"/>
  <c r="G145" i="26"/>
  <c r="F145" i="26"/>
  <c r="E145" i="26"/>
  <c r="D145" i="26"/>
  <c r="V144" i="26"/>
  <c r="U144" i="26"/>
  <c r="T144" i="26"/>
  <c r="S144" i="26"/>
  <c r="R144" i="26"/>
  <c r="R183" i="26" s="1"/>
  <c r="Q144" i="26"/>
  <c r="P144" i="26"/>
  <c r="O144" i="26"/>
  <c r="N144" i="26"/>
  <c r="M144" i="26"/>
  <c r="M183" i="26" s="1"/>
  <c r="L144" i="26"/>
  <c r="K144" i="26"/>
  <c r="J144" i="26"/>
  <c r="I144" i="26"/>
  <c r="H144" i="26"/>
  <c r="G144" i="26"/>
  <c r="F144" i="26"/>
  <c r="E144" i="26"/>
  <c r="D144" i="26"/>
  <c r="V142" i="26"/>
  <c r="U142" i="26"/>
  <c r="U181" i="26" s="1"/>
  <c r="T142" i="26"/>
  <c r="S142" i="26"/>
  <c r="R142" i="26"/>
  <c r="Q142" i="26"/>
  <c r="P142" i="26"/>
  <c r="P181" i="26" s="1"/>
  <c r="O142" i="26"/>
  <c r="N142" i="26"/>
  <c r="M142" i="26"/>
  <c r="L142" i="26"/>
  <c r="K142" i="26"/>
  <c r="J142" i="26"/>
  <c r="I142" i="26"/>
  <c r="H142" i="26"/>
  <c r="G142" i="26"/>
  <c r="F142" i="26"/>
  <c r="E142" i="26"/>
  <c r="E181" i="26" s="1"/>
  <c r="D142" i="26"/>
  <c r="V141" i="26"/>
  <c r="U141" i="26"/>
  <c r="T141" i="26"/>
  <c r="S141" i="26"/>
  <c r="R141" i="26"/>
  <c r="Q141" i="26"/>
  <c r="P141" i="26"/>
  <c r="O141" i="26"/>
  <c r="N141" i="26"/>
  <c r="N180" i="26" s="1"/>
  <c r="M141" i="26"/>
  <c r="L141" i="26"/>
  <c r="K141" i="26"/>
  <c r="J141" i="26"/>
  <c r="I141" i="26"/>
  <c r="H141" i="26"/>
  <c r="H180" i="26" s="1"/>
  <c r="G141" i="26"/>
  <c r="G180" i="26" s="1"/>
  <c r="F141" i="26"/>
  <c r="E141" i="26"/>
  <c r="E180" i="26" s="1"/>
  <c r="D141" i="26"/>
  <c r="D180" i="26" s="1"/>
  <c r="V140" i="26"/>
  <c r="U140" i="26"/>
  <c r="T140" i="26"/>
  <c r="S140" i="26"/>
  <c r="R140" i="26"/>
  <c r="Q140" i="26"/>
  <c r="P140" i="26"/>
  <c r="O140" i="26"/>
  <c r="N140" i="26"/>
  <c r="M140" i="26"/>
  <c r="L140" i="26"/>
  <c r="K140" i="26"/>
  <c r="K179" i="26" s="1"/>
  <c r="J140" i="26"/>
  <c r="J179" i="26" s="1"/>
  <c r="I140" i="26"/>
  <c r="H140" i="26"/>
  <c r="G140" i="26"/>
  <c r="F140" i="26"/>
  <c r="F179" i="26" s="1"/>
  <c r="E140" i="26"/>
  <c r="E179" i="26" s="1"/>
  <c r="D140" i="26"/>
  <c r="V139" i="26"/>
  <c r="U139" i="26"/>
  <c r="T139" i="26"/>
  <c r="S139" i="26"/>
  <c r="R139" i="26"/>
  <c r="Q139" i="26"/>
  <c r="P139" i="26"/>
  <c r="O139" i="26"/>
  <c r="N139" i="26"/>
  <c r="N178" i="26" s="1"/>
  <c r="M139" i="26"/>
  <c r="M178" i="26" s="1"/>
  <c r="L139" i="26"/>
  <c r="K139" i="26"/>
  <c r="J139" i="26"/>
  <c r="I139" i="26"/>
  <c r="I178" i="26" s="1"/>
  <c r="H139" i="26"/>
  <c r="H178" i="26" s="1"/>
  <c r="G139" i="26"/>
  <c r="F139" i="26"/>
  <c r="E139" i="26"/>
  <c r="D139" i="26"/>
  <c r="V138" i="26"/>
  <c r="V177" i="26" s="1"/>
  <c r="U138" i="26"/>
  <c r="U177" i="26" s="1"/>
  <c r="T138" i="26"/>
  <c r="S138" i="26"/>
  <c r="S177" i="26" s="1"/>
  <c r="R138" i="26"/>
  <c r="R177" i="26" s="1"/>
  <c r="Q138" i="26"/>
  <c r="Q177" i="26" s="1"/>
  <c r="P138" i="26"/>
  <c r="P177" i="26" s="1"/>
  <c r="O138" i="26"/>
  <c r="N138" i="26"/>
  <c r="N177" i="26" s="1"/>
  <c r="M138" i="26"/>
  <c r="L138" i="26"/>
  <c r="L177" i="26" s="1"/>
  <c r="K138" i="26"/>
  <c r="K177" i="26" s="1"/>
  <c r="J138" i="26"/>
  <c r="I138" i="26"/>
  <c r="H138" i="26"/>
  <c r="G138" i="26"/>
  <c r="G177" i="26" s="1"/>
  <c r="F138" i="26"/>
  <c r="E138" i="26"/>
  <c r="D138" i="26"/>
  <c r="V137" i="26"/>
  <c r="U137" i="26"/>
  <c r="T137" i="26"/>
  <c r="T176" i="26" s="1"/>
  <c r="S137" i="26"/>
  <c r="R137" i="26"/>
  <c r="Q137" i="26"/>
  <c r="P137" i="26"/>
  <c r="O137" i="26"/>
  <c r="N137" i="26"/>
  <c r="M137" i="26"/>
  <c r="L137" i="26"/>
  <c r="K137" i="26"/>
  <c r="J137" i="26"/>
  <c r="J176" i="26" s="1"/>
  <c r="I137" i="26"/>
  <c r="H137" i="26"/>
  <c r="G137" i="26"/>
  <c r="F137" i="26"/>
  <c r="E137" i="26"/>
  <c r="D137" i="26"/>
  <c r="D176" i="26" s="1"/>
  <c r="V136" i="26"/>
  <c r="U136" i="26"/>
  <c r="T136" i="26"/>
  <c r="S136" i="26"/>
  <c r="S175" i="26" s="1"/>
  <c r="R136" i="26"/>
  <c r="R175" i="26" s="1"/>
  <c r="Q136" i="26"/>
  <c r="P136" i="26"/>
  <c r="O136" i="26"/>
  <c r="N136" i="26"/>
  <c r="M136" i="26"/>
  <c r="M175" i="26" s="1"/>
  <c r="L136" i="26"/>
  <c r="K136" i="26"/>
  <c r="J136" i="26"/>
  <c r="I136" i="26"/>
  <c r="H136" i="26"/>
  <c r="G136" i="26"/>
  <c r="G175" i="26" s="1"/>
  <c r="F136" i="26"/>
  <c r="E136" i="26"/>
  <c r="D136" i="26"/>
  <c r="V135" i="26"/>
  <c r="V174" i="26" s="1"/>
  <c r="U135" i="26"/>
  <c r="U174" i="26" s="1"/>
  <c r="T135" i="26"/>
  <c r="T174" i="26" s="1"/>
  <c r="S135" i="26"/>
  <c r="S174" i="26" s="1"/>
  <c r="R135" i="26"/>
  <c r="Q135" i="26"/>
  <c r="P135" i="26"/>
  <c r="O135" i="26"/>
  <c r="O174" i="26" s="1"/>
  <c r="N135" i="26"/>
  <c r="M135" i="26"/>
  <c r="M174" i="26" s="1"/>
  <c r="L135" i="26"/>
  <c r="L174" i="26" s="1"/>
  <c r="K135" i="26"/>
  <c r="K174" i="26" s="1"/>
  <c r="J135" i="26"/>
  <c r="J174" i="26" s="1"/>
  <c r="I135" i="26"/>
  <c r="I174" i="26" s="1"/>
  <c r="H135" i="26"/>
  <c r="H174" i="26" s="1"/>
  <c r="G135" i="26"/>
  <c r="G174" i="26" s="1"/>
  <c r="F135" i="26"/>
  <c r="F174" i="26" s="1"/>
  <c r="E135" i="26"/>
  <c r="E174" i="26" s="1"/>
  <c r="D135" i="26"/>
  <c r="D174" i="26" s="1"/>
  <c r="V134" i="26"/>
  <c r="U134" i="26"/>
  <c r="T134" i="26"/>
  <c r="S134" i="26"/>
  <c r="S173" i="26" s="1"/>
  <c r="R134" i="26"/>
  <c r="Q134" i="26"/>
  <c r="P134" i="26"/>
  <c r="O134" i="26"/>
  <c r="N134" i="26"/>
  <c r="M134" i="26"/>
  <c r="M173" i="26" s="1"/>
  <c r="L134" i="26"/>
  <c r="K134" i="26"/>
  <c r="J134" i="26"/>
  <c r="I134" i="26"/>
  <c r="H134" i="26"/>
  <c r="H173" i="26" s="1"/>
  <c r="G134" i="26"/>
  <c r="F134" i="26"/>
  <c r="E134" i="26"/>
  <c r="D134" i="26"/>
  <c r="D173" i="26" s="1"/>
  <c r="V133" i="26"/>
  <c r="V172" i="26" s="1"/>
  <c r="U133" i="26"/>
  <c r="U172" i="26" s="1"/>
  <c r="T133" i="26"/>
  <c r="S133" i="26"/>
  <c r="S172" i="26" s="1"/>
  <c r="R133" i="26"/>
  <c r="R172" i="26" s="1"/>
  <c r="Q133" i="26"/>
  <c r="Q172" i="26" s="1"/>
  <c r="P133" i="26"/>
  <c r="P172" i="26" s="1"/>
  <c r="O133" i="26"/>
  <c r="O172" i="26" s="1"/>
  <c r="N133" i="26"/>
  <c r="N172" i="26" s="1"/>
  <c r="M133" i="26"/>
  <c r="L133" i="26"/>
  <c r="L172" i="26" s="1"/>
  <c r="K133" i="26"/>
  <c r="K172" i="26" s="1"/>
  <c r="J133" i="26"/>
  <c r="I133" i="26"/>
  <c r="H133" i="26"/>
  <c r="G133" i="26"/>
  <c r="G172" i="26" s="1"/>
  <c r="F133" i="26"/>
  <c r="F172" i="26" s="1"/>
  <c r="E133" i="26"/>
  <c r="D133" i="26"/>
  <c r="V132" i="26"/>
  <c r="U132" i="26"/>
  <c r="T132" i="26"/>
  <c r="S132" i="26"/>
  <c r="S171" i="26" s="1"/>
  <c r="R132" i="26"/>
  <c r="Q132" i="26"/>
  <c r="P132" i="26"/>
  <c r="O132" i="26"/>
  <c r="N132" i="26"/>
  <c r="N171" i="26" s="1"/>
  <c r="M132" i="26"/>
  <c r="L132" i="26"/>
  <c r="K132" i="26"/>
  <c r="J132" i="26"/>
  <c r="J171" i="26" s="1"/>
  <c r="I132" i="26"/>
  <c r="I171" i="26" s="1"/>
  <c r="H132" i="26"/>
  <c r="G132" i="26"/>
  <c r="F132" i="26"/>
  <c r="E132" i="26"/>
  <c r="D132" i="26"/>
  <c r="V131" i="26"/>
  <c r="U131" i="26"/>
  <c r="T131" i="26"/>
  <c r="S131" i="26"/>
  <c r="R131" i="26"/>
  <c r="R170" i="26" s="1"/>
  <c r="Q131" i="26"/>
  <c r="P131" i="26"/>
  <c r="O131" i="26"/>
  <c r="N131" i="26"/>
  <c r="M131" i="26"/>
  <c r="L131" i="26"/>
  <c r="L160" i="26" s="1"/>
  <c r="K131" i="26"/>
  <c r="J131" i="26"/>
  <c r="I131" i="26"/>
  <c r="H131" i="26"/>
  <c r="G131" i="26"/>
  <c r="F131" i="26"/>
  <c r="E131" i="26"/>
  <c r="D131" i="26"/>
  <c r="U120" i="26"/>
  <c r="N120" i="26"/>
  <c r="M120" i="26"/>
  <c r="H120" i="26"/>
  <c r="G120" i="26"/>
  <c r="H119" i="26"/>
  <c r="K118" i="26"/>
  <c r="I118" i="26"/>
  <c r="U117" i="26"/>
  <c r="P117" i="26"/>
  <c r="N117" i="26"/>
  <c r="J117" i="26"/>
  <c r="G117" i="26"/>
  <c r="Q116" i="26"/>
  <c r="J116" i="26"/>
  <c r="H116" i="26"/>
  <c r="K115" i="26"/>
  <c r="N114" i="26"/>
  <c r="G114" i="26"/>
  <c r="S113" i="26"/>
  <c r="R113" i="26"/>
  <c r="O113" i="26"/>
  <c r="N113" i="26"/>
  <c r="M113" i="26"/>
  <c r="L113" i="26"/>
  <c r="K113" i="26"/>
  <c r="O112" i="26"/>
  <c r="N112" i="26"/>
  <c r="M112" i="26"/>
  <c r="F112" i="26"/>
  <c r="P111" i="26"/>
  <c r="N111" i="26"/>
  <c r="G111" i="26"/>
  <c r="U110" i="26"/>
  <c r="S110" i="26"/>
  <c r="H110" i="26"/>
  <c r="G110" i="26"/>
  <c r="V109" i="26"/>
  <c r="O109" i="26"/>
  <c r="M109" i="26"/>
  <c r="P108" i="26"/>
  <c r="U107" i="26"/>
  <c r="T107" i="26"/>
  <c r="S107" i="26"/>
  <c r="L107" i="26"/>
  <c r="R105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U103" i="26"/>
  <c r="E103" i="26"/>
  <c r="H102" i="26"/>
  <c r="E100" i="26"/>
  <c r="U99" i="26"/>
  <c r="T99" i="26"/>
  <c r="H99" i="26"/>
  <c r="T98" i="26"/>
  <c r="K98" i="26"/>
  <c r="G97" i="26"/>
  <c r="N96" i="26"/>
  <c r="M96" i="26"/>
  <c r="J96" i="26"/>
  <c r="M95" i="26"/>
  <c r="J93" i="26"/>
  <c r="M92" i="26"/>
  <c r="F92" i="26"/>
  <c r="V81" i="26"/>
  <c r="V120" i="26" s="1"/>
  <c r="U81" i="26"/>
  <c r="T81" i="26"/>
  <c r="T120" i="26" s="1"/>
  <c r="S81" i="26"/>
  <c r="S120" i="26" s="1"/>
  <c r="R81" i="26"/>
  <c r="R120" i="26" s="1"/>
  <c r="Q81" i="26"/>
  <c r="Q120" i="26" s="1"/>
  <c r="P81" i="26"/>
  <c r="P120" i="26" s="1"/>
  <c r="O81" i="26"/>
  <c r="O120" i="26" s="1"/>
  <c r="N81" i="26"/>
  <c r="M81" i="26"/>
  <c r="L81" i="26"/>
  <c r="L120" i="26" s="1"/>
  <c r="K81" i="26"/>
  <c r="K120" i="26" s="1"/>
  <c r="J81" i="26"/>
  <c r="I81" i="26"/>
  <c r="H81" i="26"/>
  <c r="G81" i="26"/>
  <c r="F81" i="26"/>
  <c r="E81" i="26"/>
  <c r="E120" i="26" s="1"/>
  <c r="D81" i="26"/>
  <c r="V80" i="26"/>
  <c r="V119" i="26" s="1"/>
  <c r="U80" i="26"/>
  <c r="T80" i="26"/>
  <c r="T119" i="26" s="1"/>
  <c r="S80" i="26"/>
  <c r="S119" i="26" s="1"/>
  <c r="R80" i="26"/>
  <c r="R119" i="26" s="1"/>
  <c r="Q80" i="26"/>
  <c r="P80" i="26"/>
  <c r="O80" i="26"/>
  <c r="O119" i="26" s="1"/>
  <c r="N80" i="26"/>
  <c r="N119" i="26" s="1"/>
  <c r="M80" i="26"/>
  <c r="M119" i="26" s="1"/>
  <c r="L80" i="26"/>
  <c r="K80" i="26"/>
  <c r="J80" i="26"/>
  <c r="I80" i="26"/>
  <c r="H80" i="26"/>
  <c r="G80" i="26"/>
  <c r="F80" i="26"/>
  <c r="F119" i="26" s="1"/>
  <c r="E80" i="26"/>
  <c r="D80" i="26"/>
  <c r="D119" i="26" s="1"/>
  <c r="V79" i="26"/>
  <c r="V118" i="26" s="1"/>
  <c r="U79" i="26"/>
  <c r="U118" i="26" s="1"/>
  <c r="T79" i="26"/>
  <c r="S79" i="26"/>
  <c r="R79" i="26"/>
  <c r="R118" i="26" s="1"/>
  <c r="Q79" i="26"/>
  <c r="Q118" i="26" s="1"/>
  <c r="P79" i="26"/>
  <c r="P118" i="26" s="1"/>
  <c r="O79" i="26"/>
  <c r="N79" i="26"/>
  <c r="M79" i="26"/>
  <c r="L79" i="26"/>
  <c r="K79" i="26"/>
  <c r="J79" i="26"/>
  <c r="I79" i="26"/>
  <c r="H79" i="26"/>
  <c r="G79" i="26"/>
  <c r="G118" i="26" s="1"/>
  <c r="F79" i="26"/>
  <c r="F118" i="26" s="1"/>
  <c r="E79" i="26"/>
  <c r="E118" i="26" s="1"/>
  <c r="D79" i="26"/>
  <c r="V78" i="26"/>
  <c r="V117" i="26" s="1"/>
  <c r="U78" i="26"/>
  <c r="T78" i="26"/>
  <c r="T117" i="26" s="1"/>
  <c r="S78" i="26"/>
  <c r="S117" i="26" s="1"/>
  <c r="R78" i="26"/>
  <c r="R117" i="26" s="1"/>
  <c r="Q78" i="26"/>
  <c r="Q117" i="26" s="1"/>
  <c r="P78" i="26"/>
  <c r="O78" i="26"/>
  <c r="O117" i="26" s="1"/>
  <c r="N78" i="26"/>
  <c r="M78" i="26"/>
  <c r="M117" i="26" s="1"/>
  <c r="L78" i="26"/>
  <c r="L117" i="26" s="1"/>
  <c r="K78" i="26"/>
  <c r="K117" i="26" s="1"/>
  <c r="J78" i="26"/>
  <c r="I78" i="26"/>
  <c r="I117" i="26" s="1"/>
  <c r="H78" i="26"/>
  <c r="H117" i="26" s="1"/>
  <c r="G78" i="26"/>
  <c r="F78" i="26"/>
  <c r="F117" i="26" s="1"/>
  <c r="E78" i="26"/>
  <c r="E117" i="26" s="1"/>
  <c r="D78" i="26"/>
  <c r="D117" i="26" s="1"/>
  <c r="V77" i="26"/>
  <c r="U77" i="26"/>
  <c r="T77" i="26"/>
  <c r="S77" i="26"/>
  <c r="R77" i="26"/>
  <c r="Q77" i="26"/>
  <c r="P77" i="26"/>
  <c r="P116" i="26" s="1"/>
  <c r="O77" i="26"/>
  <c r="O116" i="26" s="1"/>
  <c r="N77" i="26"/>
  <c r="M77" i="26"/>
  <c r="M116" i="26" s="1"/>
  <c r="L77" i="26"/>
  <c r="L116" i="26" s="1"/>
  <c r="K77" i="26"/>
  <c r="K116" i="26" s="1"/>
  <c r="J77" i="26"/>
  <c r="I77" i="26"/>
  <c r="H77" i="26"/>
  <c r="G77" i="26"/>
  <c r="G116" i="26" s="1"/>
  <c r="F77" i="26"/>
  <c r="F116" i="26" s="1"/>
  <c r="E77" i="26"/>
  <c r="D77" i="26"/>
  <c r="V76" i="26"/>
  <c r="U76" i="26"/>
  <c r="T76" i="26"/>
  <c r="T115" i="26" s="1"/>
  <c r="S76" i="26"/>
  <c r="S115" i="26" s="1"/>
  <c r="R76" i="26"/>
  <c r="R115" i="26" s="1"/>
  <c r="Q76" i="26"/>
  <c r="P76" i="26"/>
  <c r="P115" i="26" s="1"/>
  <c r="O76" i="26"/>
  <c r="O115" i="26" s="1"/>
  <c r="N76" i="26"/>
  <c r="N115" i="26" s="1"/>
  <c r="M76" i="26"/>
  <c r="L76" i="26"/>
  <c r="K76" i="26"/>
  <c r="J76" i="26"/>
  <c r="J115" i="26" s="1"/>
  <c r="I76" i="26"/>
  <c r="H76" i="26"/>
  <c r="G76" i="26"/>
  <c r="F76" i="26"/>
  <c r="E76" i="26"/>
  <c r="D76" i="26"/>
  <c r="V75" i="26"/>
  <c r="V114" i="26" s="1"/>
  <c r="U75" i="26"/>
  <c r="U114" i="26" s="1"/>
  <c r="T75" i="26"/>
  <c r="S75" i="26"/>
  <c r="S114" i="26" s="1"/>
  <c r="R75" i="26"/>
  <c r="R114" i="26" s="1"/>
  <c r="Q75" i="26"/>
  <c r="Q114" i="26" s="1"/>
  <c r="P75" i="26"/>
  <c r="O75" i="26"/>
  <c r="N75" i="26"/>
  <c r="M75" i="26"/>
  <c r="M114" i="26" s="1"/>
  <c r="L75" i="26"/>
  <c r="K75" i="26"/>
  <c r="J75" i="26"/>
  <c r="I75" i="26"/>
  <c r="H75" i="26"/>
  <c r="G75" i="26"/>
  <c r="F75" i="26"/>
  <c r="F114" i="26" s="1"/>
  <c r="E75" i="26"/>
  <c r="E114" i="26" s="1"/>
  <c r="D75" i="26"/>
  <c r="V74" i="26"/>
  <c r="V113" i="26" s="1"/>
  <c r="U74" i="26"/>
  <c r="U113" i="26" s="1"/>
  <c r="T74" i="26"/>
  <c r="T113" i="26" s="1"/>
  <c r="S74" i="26"/>
  <c r="R74" i="26"/>
  <c r="Q74" i="26"/>
  <c r="Q113" i="26" s="1"/>
  <c r="P74" i="26"/>
  <c r="P113" i="26" s="1"/>
  <c r="O74" i="26"/>
  <c r="N74" i="26"/>
  <c r="M74" i="26"/>
  <c r="L74" i="26"/>
  <c r="K74" i="26"/>
  <c r="J74" i="26"/>
  <c r="J113" i="26" s="1"/>
  <c r="I74" i="26"/>
  <c r="I113" i="26" s="1"/>
  <c r="H74" i="26"/>
  <c r="H113" i="26" s="1"/>
  <c r="G74" i="26"/>
  <c r="G113" i="26" s="1"/>
  <c r="F74" i="26"/>
  <c r="F113" i="26" s="1"/>
  <c r="E74" i="26"/>
  <c r="E113" i="26" s="1"/>
  <c r="D74" i="26"/>
  <c r="D113" i="26" s="1"/>
  <c r="V73" i="26"/>
  <c r="U73" i="26"/>
  <c r="T73" i="26"/>
  <c r="T112" i="26" s="1"/>
  <c r="S73" i="26"/>
  <c r="S112" i="26" s="1"/>
  <c r="R73" i="26"/>
  <c r="R112" i="26" s="1"/>
  <c r="Q73" i="26"/>
  <c r="P73" i="26"/>
  <c r="O73" i="26"/>
  <c r="N73" i="26"/>
  <c r="M73" i="26"/>
  <c r="L73" i="26"/>
  <c r="L112" i="26" s="1"/>
  <c r="K73" i="26"/>
  <c r="K112" i="26" s="1"/>
  <c r="J73" i="26"/>
  <c r="J112" i="26" s="1"/>
  <c r="I73" i="26"/>
  <c r="I112" i="26" s="1"/>
  <c r="H73" i="26"/>
  <c r="H112" i="26" s="1"/>
  <c r="G73" i="26"/>
  <c r="G112" i="26" s="1"/>
  <c r="F73" i="26"/>
  <c r="E73" i="26"/>
  <c r="E112" i="26" s="1"/>
  <c r="D73" i="26"/>
  <c r="D112" i="26" s="1"/>
  <c r="V72" i="26"/>
  <c r="V111" i="26" s="1"/>
  <c r="U72" i="26"/>
  <c r="U111" i="26" s="1"/>
  <c r="T72" i="26"/>
  <c r="S72" i="26"/>
  <c r="R72" i="26"/>
  <c r="Q72" i="26"/>
  <c r="P72" i="26"/>
  <c r="O72" i="26"/>
  <c r="O111" i="26" s="1"/>
  <c r="N72" i="26"/>
  <c r="M72" i="26"/>
  <c r="L72" i="26"/>
  <c r="L111" i="26" s="1"/>
  <c r="K72" i="26"/>
  <c r="K111" i="26" s="1"/>
  <c r="J72" i="26"/>
  <c r="J111" i="26" s="1"/>
  <c r="I72" i="26"/>
  <c r="H72" i="26"/>
  <c r="G72" i="26"/>
  <c r="F72" i="26"/>
  <c r="F111" i="26" s="1"/>
  <c r="E72" i="26"/>
  <c r="E111" i="26" s="1"/>
  <c r="D72" i="26"/>
  <c r="V71" i="26"/>
  <c r="V110" i="26" s="1"/>
  <c r="U71" i="26"/>
  <c r="T71" i="26"/>
  <c r="S71" i="26"/>
  <c r="R71" i="26"/>
  <c r="R110" i="26" s="1"/>
  <c r="Q71" i="26"/>
  <c r="Q110" i="26" s="1"/>
  <c r="P71" i="26"/>
  <c r="O71" i="26"/>
  <c r="O110" i="26" s="1"/>
  <c r="N71" i="26"/>
  <c r="N110" i="26" s="1"/>
  <c r="M71" i="26"/>
  <c r="M110" i="26" s="1"/>
  <c r="L71" i="26"/>
  <c r="K71" i="26"/>
  <c r="J71" i="26"/>
  <c r="J110" i="26" s="1"/>
  <c r="I71" i="26"/>
  <c r="I110" i="26" s="1"/>
  <c r="H71" i="26"/>
  <c r="G71" i="26"/>
  <c r="F71" i="26"/>
  <c r="F110" i="26" s="1"/>
  <c r="E71" i="26"/>
  <c r="E110" i="26" s="1"/>
  <c r="D71" i="26"/>
  <c r="D110" i="26" s="1"/>
  <c r="V70" i="26"/>
  <c r="U70" i="26"/>
  <c r="U109" i="26" s="1"/>
  <c r="T70" i="26"/>
  <c r="T109" i="26" s="1"/>
  <c r="S70" i="26"/>
  <c r="R70" i="26"/>
  <c r="R109" i="26" s="1"/>
  <c r="Q70" i="26"/>
  <c r="Q109" i="26" s="1"/>
  <c r="P70" i="26"/>
  <c r="P109" i="26" s="1"/>
  <c r="O70" i="26"/>
  <c r="N70" i="26"/>
  <c r="M70" i="26"/>
  <c r="L70" i="26"/>
  <c r="L109" i="26" s="1"/>
  <c r="K70" i="26"/>
  <c r="K109" i="26" s="1"/>
  <c r="J70" i="26"/>
  <c r="I70" i="26"/>
  <c r="H70" i="26"/>
  <c r="G70" i="26"/>
  <c r="F70" i="26"/>
  <c r="F109" i="26" s="1"/>
  <c r="E70" i="26"/>
  <c r="E109" i="26" s="1"/>
  <c r="D70" i="26"/>
  <c r="D109" i="26" s="1"/>
  <c r="V69" i="26"/>
  <c r="U69" i="26"/>
  <c r="U108" i="26" s="1"/>
  <c r="T69" i="26"/>
  <c r="T108" i="26" s="1"/>
  <c r="S69" i="26"/>
  <c r="S108" i="26" s="1"/>
  <c r="R69" i="26"/>
  <c r="Q69" i="26"/>
  <c r="P69" i="26"/>
  <c r="O69" i="26"/>
  <c r="O108" i="26" s="1"/>
  <c r="N69" i="26"/>
  <c r="M69" i="26"/>
  <c r="L69" i="26"/>
  <c r="K69" i="26"/>
  <c r="J69" i="26"/>
  <c r="I69" i="26"/>
  <c r="H69" i="26"/>
  <c r="H108" i="26" s="1"/>
  <c r="G69" i="26"/>
  <c r="G108" i="26" s="1"/>
  <c r="F69" i="26"/>
  <c r="E69" i="26"/>
  <c r="E108" i="26" s="1"/>
  <c r="D69" i="26"/>
  <c r="D108" i="26" s="1"/>
  <c r="V68" i="26"/>
  <c r="V107" i="26" s="1"/>
  <c r="U68" i="26"/>
  <c r="T68" i="26"/>
  <c r="S68" i="26"/>
  <c r="R68" i="26"/>
  <c r="R107" i="26" s="1"/>
  <c r="Q68" i="26"/>
  <c r="P68" i="26"/>
  <c r="O68" i="26"/>
  <c r="N68" i="26"/>
  <c r="M68" i="26"/>
  <c r="L68" i="26"/>
  <c r="K68" i="26"/>
  <c r="K107" i="26" s="1"/>
  <c r="J68" i="26"/>
  <c r="I68" i="26"/>
  <c r="H68" i="26"/>
  <c r="H107" i="26" s="1"/>
  <c r="G68" i="26"/>
  <c r="G107" i="26" s="1"/>
  <c r="F68" i="26"/>
  <c r="F107" i="26" s="1"/>
  <c r="E68" i="26"/>
  <c r="D68" i="26"/>
  <c r="V67" i="26"/>
  <c r="V106" i="26" s="1"/>
  <c r="U67" i="26"/>
  <c r="U106" i="26" s="1"/>
  <c r="T67" i="26"/>
  <c r="S67" i="26"/>
  <c r="R67" i="26"/>
  <c r="Q67" i="26"/>
  <c r="P67" i="26"/>
  <c r="O67" i="26"/>
  <c r="O106" i="26" s="1"/>
  <c r="N67" i="26"/>
  <c r="N106" i="26" s="1"/>
  <c r="M67" i="26"/>
  <c r="L67" i="26"/>
  <c r="K67" i="26"/>
  <c r="K106" i="26" s="1"/>
  <c r="J67" i="26"/>
  <c r="J106" i="26" s="1"/>
  <c r="I67" i="26"/>
  <c r="I106" i="26" s="1"/>
  <c r="H67" i="26"/>
  <c r="G67" i="26"/>
  <c r="F67" i="26"/>
  <c r="F106" i="26" s="1"/>
  <c r="E67" i="26"/>
  <c r="E106" i="26" s="1"/>
  <c r="D67" i="26"/>
  <c r="D106" i="26" s="1"/>
  <c r="V66" i="26"/>
  <c r="U66" i="26"/>
  <c r="T66" i="26"/>
  <c r="S66" i="26"/>
  <c r="R66" i="26"/>
  <c r="Q66" i="26"/>
  <c r="Q105" i="26" s="1"/>
  <c r="P66" i="26"/>
  <c r="O66" i="26"/>
  <c r="N66" i="26"/>
  <c r="N105" i="26" s="1"/>
  <c r="M66" i="26"/>
  <c r="M105" i="26" s="1"/>
  <c r="L66" i="26"/>
  <c r="L105" i="26" s="1"/>
  <c r="K66" i="26"/>
  <c r="J66" i="26"/>
  <c r="I66" i="26"/>
  <c r="I105" i="26" s="1"/>
  <c r="H66" i="26"/>
  <c r="H105" i="26" s="1"/>
  <c r="G66" i="26"/>
  <c r="G105" i="26" s="1"/>
  <c r="F66" i="26"/>
  <c r="E66" i="26"/>
  <c r="D66" i="26"/>
  <c r="V64" i="26"/>
  <c r="U64" i="26"/>
  <c r="T64" i="26"/>
  <c r="T103" i="26" s="1"/>
  <c r="S64" i="26"/>
  <c r="R64" i="26"/>
  <c r="Q64" i="26"/>
  <c r="Q103" i="26" s="1"/>
  <c r="P64" i="26"/>
  <c r="P103" i="26" s="1"/>
  <c r="O64" i="26"/>
  <c r="O103" i="26" s="1"/>
  <c r="N64" i="26"/>
  <c r="M64" i="26"/>
  <c r="L64" i="26"/>
  <c r="L103" i="26" s="1"/>
  <c r="K64" i="26"/>
  <c r="K103" i="26" s="1"/>
  <c r="J64" i="26"/>
  <c r="J103" i="26" s="1"/>
  <c r="I64" i="26"/>
  <c r="H64" i="26"/>
  <c r="G64" i="26"/>
  <c r="F64" i="26"/>
  <c r="E64" i="26"/>
  <c r="D64" i="26"/>
  <c r="D103" i="26" s="1"/>
  <c r="V63" i="26"/>
  <c r="U63" i="26"/>
  <c r="U102" i="26" s="1"/>
  <c r="T63" i="26"/>
  <c r="T102" i="26" s="1"/>
  <c r="S63" i="26"/>
  <c r="S102" i="26" s="1"/>
  <c r="R63" i="26"/>
  <c r="R102" i="26" s="1"/>
  <c r="Q63" i="26"/>
  <c r="P63" i="26"/>
  <c r="O63" i="26"/>
  <c r="O102" i="26" s="1"/>
  <c r="N63" i="26"/>
  <c r="N102" i="26" s="1"/>
  <c r="M63" i="26"/>
  <c r="M102" i="26" s="1"/>
  <c r="L63" i="26"/>
  <c r="K63" i="26"/>
  <c r="J63" i="26"/>
  <c r="I63" i="26"/>
  <c r="H63" i="26"/>
  <c r="G63" i="26"/>
  <c r="G102" i="26" s="1"/>
  <c r="F63" i="26"/>
  <c r="F102" i="26" s="1"/>
  <c r="E63" i="26"/>
  <c r="E102" i="26" s="1"/>
  <c r="D63" i="26"/>
  <c r="D102" i="26" s="1"/>
  <c r="V62" i="26"/>
  <c r="V101" i="26" s="1"/>
  <c r="U62" i="26"/>
  <c r="U101" i="26" s="1"/>
  <c r="T62" i="26"/>
  <c r="S62" i="26"/>
  <c r="R62" i="26"/>
  <c r="R101" i="26" s="1"/>
  <c r="Q62" i="26"/>
  <c r="Q101" i="26" s="1"/>
  <c r="P62" i="26"/>
  <c r="P101" i="26" s="1"/>
  <c r="O62" i="26"/>
  <c r="N62" i="26"/>
  <c r="M62" i="26"/>
  <c r="L62" i="26"/>
  <c r="K62" i="26"/>
  <c r="K101" i="26" s="1"/>
  <c r="J62" i="26"/>
  <c r="J101" i="26" s="1"/>
  <c r="I62" i="26"/>
  <c r="H62" i="26"/>
  <c r="G62" i="26"/>
  <c r="G101" i="26" s="1"/>
  <c r="F62" i="26"/>
  <c r="F101" i="26" s="1"/>
  <c r="E62" i="26"/>
  <c r="E101" i="26" s="1"/>
  <c r="D62" i="26"/>
  <c r="V61" i="26"/>
  <c r="U61" i="26"/>
  <c r="U100" i="26" s="1"/>
  <c r="T61" i="26"/>
  <c r="T100" i="26" s="1"/>
  <c r="S61" i="26"/>
  <c r="R61" i="26"/>
  <c r="Q61" i="26"/>
  <c r="P61" i="26"/>
  <c r="O61" i="26"/>
  <c r="N61" i="26"/>
  <c r="M61" i="26"/>
  <c r="M100" i="26" s="1"/>
  <c r="L61" i="26"/>
  <c r="K61" i="26"/>
  <c r="J61" i="26"/>
  <c r="J100" i="26" s="1"/>
  <c r="I61" i="26"/>
  <c r="I100" i="26" s="1"/>
  <c r="H61" i="26"/>
  <c r="H100" i="26" s="1"/>
  <c r="G61" i="26"/>
  <c r="F61" i="26"/>
  <c r="E61" i="26"/>
  <c r="D61" i="26"/>
  <c r="D100" i="26" s="1"/>
  <c r="V60" i="26"/>
  <c r="V99" i="26" s="1"/>
  <c r="U60" i="26"/>
  <c r="T60" i="26"/>
  <c r="S60" i="26"/>
  <c r="S99" i="26" s="1"/>
  <c r="R60" i="26"/>
  <c r="R99" i="26" s="1"/>
  <c r="Q60" i="26"/>
  <c r="Q99" i="26" s="1"/>
  <c r="P60" i="26"/>
  <c r="P99" i="26" s="1"/>
  <c r="O60" i="26"/>
  <c r="N60" i="26"/>
  <c r="N99" i="26" s="1"/>
  <c r="M60" i="26"/>
  <c r="M99" i="26" s="1"/>
  <c r="L60" i="26"/>
  <c r="L99" i="26" s="1"/>
  <c r="K60" i="26"/>
  <c r="K99" i="26" s="1"/>
  <c r="J60" i="26"/>
  <c r="I60" i="26"/>
  <c r="H60" i="26"/>
  <c r="G60" i="26"/>
  <c r="G99" i="26" s="1"/>
  <c r="F60" i="26"/>
  <c r="E60" i="26"/>
  <c r="D60" i="26"/>
  <c r="V59" i="26"/>
  <c r="U59" i="26"/>
  <c r="T59" i="26"/>
  <c r="S59" i="26"/>
  <c r="R59" i="26"/>
  <c r="Q59" i="26"/>
  <c r="P59" i="26"/>
  <c r="P98" i="26" s="1"/>
  <c r="O59" i="26"/>
  <c r="O98" i="26" s="1"/>
  <c r="N59" i="26"/>
  <c r="N98" i="26" s="1"/>
  <c r="M59" i="26"/>
  <c r="L59" i="26"/>
  <c r="K59" i="26"/>
  <c r="J59" i="26"/>
  <c r="J98" i="26" s="1"/>
  <c r="I59" i="26"/>
  <c r="H59" i="26"/>
  <c r="G59" i="26"/>
  <c r="F59" i="26"/>
  <c r="E59" i="26"/>
  <c r="D59" i="26"/>
  <c r="V58" i="26"/>
  <c r="U58" i="26"/>
  <c r="T58" i="26"/>
  <c r="S58" i="26"/>
  <c r="S97" i="26" s="1"/>
  <c r="R58" i="26"/>
  <c r="R97" i="26" s="1"/>
  <c r="Q58" i="26"/>
  <c r="Q97" i="26" s="1"/>
  <c r="P58" i="26"/>
  <c r="O58" i="26"/>
  <c r="N58" i="26"/>
  <c r="N97" i="26" s="1"/>
  <c r="M58" i="26"/>
  <c r="M97" i="26" s="1"/>
  <c r="L58" i="26"/>
  <c r="K58" i="26"/>
  <c r="J58" i="26"/>
  <c r="I58" i="26"/>
  <c r="H58" i="26"/>
  <c r="G58" i="26"/>
  <c r="F58" i="26"/>
  <c r="E58" i="26"/>
  <c r="D58" i="26"/>
  <c r="V57" i="26"/>
  <c r="V96" i="26" s="1"/>
  <c r="U57" i="26"/>
  <c r="U96" i="26" s="1"/>
  <c r="T57" i="26"/>
  <c r="T96" i="26" s="1"/>
  <c r="S57" i="26"/>
  <c r="S96" i="26" s="1"/>
  <c r="R57" i="26"/>
  <c r="R96" i="26" s="1"/>
  <c r="Q57" i="26"/>
  <c r="Q96" i="26" s="1"/>
  <c r="P57" i="26"/>
  <c r="P96" i="26" s="1"/>
  <c r="O57" i="26"/>
  <c r="O96" i="26" s="1"/>
  <c r="N57" i="26"/>
  <c r="M57" i="26"/>
  <c r="L57" i="26"/>
  <c r="L96" i="26" s="1"/>
  <c r="K57" i="26"/>
  <c r="K96" i="26" s="1"/>
  <c r="J57" i="26"/>
  <c r="I57" i="26"/>
  <c r="I96" i="26" s="1"/>
  <c r="H57" i="26"/>
  <c r="H96" i="26" s="1"/>
  <c r="G57" i="26"/>
  <c r="G96" i="26" s="1"/>
  <c r="F57" i="26"/>
  <c r="F96" i="26" s="1"/>
  <c r="E57" i="26"/>
  <c r="E96" i="26" s="1"/>
  <c r="D57" i="26"/>
  <c r="D96" i="26" s="1"/>
  <c r="V56" i="26"/>
  <c r="U56" i="26"/>
  <c r="T56" i="26"/>
  <c r="T95" i="26" s="1"/>
  <c r="S56" i="26"/>
  <c r="S95" i="26" s="1"/>
  <c r="R56" i="26"/>
  <c r="Q56" i="26"/>
  <c r="P56" i="26"/>
  <c r="O56" i="26"/>
  <c r="N56" i="26"/>
  <c r="M56" i="26"/>
  <c r="L56" i="26"/>
  <c r="K56" i="26"/>
  <c r="J56" i="26"/>
  <c r="J95" i="26" s="1"/>
  <c r="I56" i="26"/>
  <c r="I95" i="26" s="1"/>
  <c r="H56" i="26"/>
  <c r="H95" i="26" s="1"/>
  <c r="G56" i="26"/>
  <c r="G95" i="26" s="1"/>
  <c r="F56" i="26"/>
  <c r="E56" i="26"/>
  <c r="D56" i="26"/>
  <c r="D95" i="26" s="1"/>
  <c r="V55" i="26"/>
  <c r="V94" i="26" s="1"/>
  <c r="U55" i="26"/>
  <c r="U94" i="26" s="1"/>
  <c r="T55" i="26"/>
  <c r="T94" i="26" s="1"/>
  <c r="S55" i="26"/>
  <c r="S94" i="26" s="1"/>
  <c r="R55" i="26"/>
  <c r="R94" i="26" s="1"/>
  <c r="Q55" i="26"/>
  <c r="Q94" i="26" s="1"/>
  <c r="P55" i="26"/>
  <c r="P94" i="26" s="1"/>
  <c r="O55" i="26"/>
  <c r="O94" i="26" s="1"/>
  <c r="N55" i="26"/>
  <c r="N94" i="26" s="1"/>
  <c r="M55" i="26"/>
  <c r="L55" i="26"/>
  <c r="L94" i="26" s="1"/>
  <c r="K55" i="26"/>
  <c r="K94" i="26" s="1"/>
  <c r="J55" i="26"/>
  <c r="J94" i="26" s="1"/>
  <c r="I55" i="26"/>
  <c r="H55" i="26"/>
  <c r="G55" i="26"/>
  <c r="G94" i="26" s="1"/>
  <c r="F55" i="26"/>
  <c r="F94" i="26" s="1"/>
  <c r="E55" i="26"/>
  <c r="D55" i="26"/>
  <c r="V54" i="26"/>
  <c r="U54" i="26"/>
  <c r="T54" i="26"/>
  <c r="S54" i="26"/>
  <c r="R54" i="26"/>
  <c r="Q54" i="26"/>
  <c r="P54" i="26"/>
  <c r="O54" i="26"/>
  <c r="O93" i="26" s="1"/>
  <c r="N54" i="26"/>
  <c r="M54" i="26"/>
  <c r="M93" i="26" s="1"/>
  <c r="L54" i="26"/>
  <c r="K54" i="26"/>
  <c r="J54" i="26"/>
  <c r="I54" i="26"/>
  <c r="I93" i="26" s="1"/>
  <c r="H54" i="26"/>
  <c r="G54" i="26"/>
  <c r="F54" i="26"/>
  <c r="E54" i="26"/>
  <c r="D54" i="26"/>
  <c r="V53" i="26"/>
  <c r="V92" i="26" s="1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J120" i="26" s="1"/>
  <c r="I41" i="26"/>
  <c r="I120" i="26" s="1"/>
  <c r="H41" i="26"/>
  <c r="G41" i="26"/>
  <c r="F41" i="26"/>
  <c r="F120" i="26" s="1"/>
  <c r="E41" i="26"/>
  <c r="D41" i="26"/>
  <c r="V40" i="26"/>
  <c r="V274" i="26" s="1"/>
  <c r="U40" i="26"/>
  <c r="T40" i="26"/>
  <c r="S40" i="26"/>
  <c r="R40" i="26"/>
  <c r="Q40" i="26"/>
  <c r="Q119" i="26" s="1"/>
  <c r="P40" i="26"/>
  <c r="P197" i="26" s="1"/>
  <c r="O40" i="26"/>
  <c r="O197" i="26" s="1"/>
  <c r="N40" i="26"/>
  <c r="M40" i="26"/>
  <c r="L40" i="26"/>
  <c r="K40" i="26"/>
  <c r="J40" i="26"/>
  <c r="I40" i="26"/>
  <c r="I119" i="26" s="1"/>
  <c r="H40" i="26"/>
  <c r="G40" i="26"/>
  <c r="F40" i="26"/>
  <c r="E40" i="26"/>
  <c r="D40" i="26"/>
  <c r="D274" i="26" s="1"/>
  <c r="V39" i="26"/>
  <c r="U39" i="26"/>
  <c r="T39" i="26"/>
  <c r="T118" i="26" s="1"/>
  <c r="S39" i="26"/>
  <c r="S196" i="26" s="1"/>
  <c r="R39" i="26"/>
  <c r="R196" i="26" s="1"/>
  <c r="Q39" i="26"/>
  <c r="Q196" i="26" s="1"/>
  <c r="P39" i="26"/>
  <c r="O39" i="26"/>
  <c r="N39" i="26"/>
  <c r="M39" i="26"/>
  <c r="L39" i="26"/>
  <c r="L273" i="26" s="1"/>
  <c r="K39" i="26"/>
  <c r="K273" i="26" s="1"/>
  <c r="J39" i="26"/>
  <c r="I39" i="26"/>
  <c r="I273" i="26" s="1"/>
  <c r="H39" i="26"/>
  <c r="G39" i="26"/>
  <c r="F39" i="26"/>
  <c r="E39" i="26"/>
  <c r="D39" i="26"/>
  <c r="D118" i="26" s="1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V37" i="26"/>
  <c r="V116" i="26" s="1"/>
  <c r="U37" i="26"/>
  <c r="T37" i="26"/>
  <c r="T271" i="26" s="1"/>
  <c r="S37" i="26"/>
  <c r="R37" i="26"/>
  <c r="Q37" i="26"/>
  <c r="P37" i="26"/>
  <c r="O37" i="26"/>
  <c r="O271" i="26" s="1"/>
  <c r="N37" i="26"/>
  <c r="M37" i="26"/>
  <c r="L37" i="26"/>
  <c r="L194" i="26" s="1"/>
  <c r="K37" i="26"/>
  <c r="J37" i="26"/>
  <c r="I37" i="26"/>
  <c r="H37" i="26"/>
  <c r="H194" i="26" s="1"/>
  <c r="G37" i="26"/>
  <c r="F37" i="26"/>
  <c r="E37" i="26"/>
  <c r="E116" i="26" s="1"/>
  <c r="D37" i="26"/>
  <c r="V36" i="26"/>
  <c r="V270" i="26" s="1"/>
  <c r="U36" i="26"/>
  <c r="U270" i="26" s="1"/>
  <c r="T36" i="26"/>
  <c r="S36" i="26"/>
  <c r="R36" i="26"/>
  <c r="Q36" i="26"/>
  <c r="P36" i="26"/>
  <c r="O36" i="26"/>
  <c r="N36" i="26"/>
  <c r="M36" i="26"/>
  <c r="M270" i="26" s="1"/>
  <c r="L36" i="26"/>
  <c r="K36" i="26"/>
  <c r="K193" i="26" s="1"/>
  <c r="J36" i="26"/>
  <c r="J193" i="26" s="1"/>
  <c r="I36" i="26"/>
  <c r="I115" i="26" s="1"/>
  <c r="H36" i="26"/>
  <c r="H193" i="26" s="1"/>
  <c r="G36" i="26"/>
  <c r="F36" i="26"/>
  <c r="F270" i="26" s="1"/>
  <c r="E36" i="26"/>
  <c r="E270" i="26" s="1"/>
  <c r="D36" i="26"/>
  <c r="D115" i="26" s="1"/>
  <c r="V35" i="26"/>
  <c r="U35" i="26"/>
  <c r="U269" i="26" s="1"/>
  <c r="T35" i="26"/>
  <c r="S35" i="26"/>
  <c r="R35" i="26"/>
  <c r="Q35" i="26"/>
  <c r="P35" i="26"/>
  <c r="P114" i="26" s="1"/>
  <c r="O35" i="26"/>
  <c r="N35" i="26"/>
  <c r="N192" i="26" s="1"/>
  <c r="M35" i="26"/>
  <c r="M192" i="26" s="1"/>
  <c r="L35" i="26"/>
  <c r="L114" i="26" s="1"/>
  <c r="K35" i="26"/>
  <c r="J35" i="26"/>
  <c r="I35" i="26"/>
  <c r="H35" i="26"/>
  <c r="H269" i="26" s="1"/>
  <c r="G35" i="26"/>
  <c r="F35" i="26"/>
  <c r="E35" i="26"/>
  <c r="E269" i="26" s="1"/>
  <c r="D35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V33" i="26"/>
  <c r="V112" i="26" s="1"/>
  <c r="U33" i="26"/>
  <c r="U190" i="26" s="1"/>
  <c r="T33" i="26"/>
  <c r="S33" i="26"/>
  <c r="S190" i="26" s="1"/>
  <c r="R33" i="26"/>
  <c r="Q33" i="26"/>
  <c r="Q112" i="26" s="1"/>
  <c r="P33" i="26"/>
  <c r="P112" i="26" s="1"/>
  <c r="O33" i="26"/>
  <c r="N33" i="26"/>
  <c r="M33" i="26"/>
  <c r="L33" i="26"/>
  <c r="K33" i="26"/>
  <c r="J33" i="26"/>
  <c r="I33" i="26"/>
  <c r="H33" i="26"/>
  <c r="G33" i="26"/>
  <c r="F33" i="26"/>
  <c r="E33" i="26"/>
  <c r="D33" i="26"/>
  <c r="V32" i="26"/>
  <c r="U32" i="26"/>
  <c r="T32" i="26"/>
  <c r="T111" i="26" s="1"/>
  <c r="S32" i="26"/>
  <c r="S266" i="26" s="1"/>
  <c r="R32" i="26"/>
  <c r="Q32" i="26"/>
  <c r="P32" i="26"/>
  <c r="O32" i="26"/>
  <c r="N32" i="26"/>
  <c r="N266" i="26" s="1"/>
  <c r="M32" i="26"/>
  <c r="L32" i="26"/>
  <c r="K32" i="26"/>
  <c r="J32" i="26"/>
  <c r="I32" i="26"/>
  <c r="I111" i="26" s="1"/>
  <c r="H32" i="26"/>
  <c r="H189" i="26" s="1"/>
  <c r="G32" i="26"/>
  <c r="G189" i="26" s="1"/>
  <c r="F32" i="26"/>
  <c r="F189" i="26" s="1"/>
  <c r="E32" i="26"/>
  <c r="D32" i="26"/>
  <c r="D189" i="26" s="1"/>
  <c r="V31" i="26"/>
  <c r="U31" i="26"/>
  <c r="T31" i="26"/>
  <c r="S31" i="26"/>
  <c r="R31" i="26"/>
  <c r="Q31" i="26"/>
  <c r="P31" i="26"/>
  <c r="P188" i="26" s="1"/>
  <c r="O31" i="26"/>
  <c r="O188" i="26" s="1"/>
  <c r="N31" i="26"/>
  <c r="M31" i="26"/>
  <c r="L31" i="26"/>
  <c r="L110" i="26" s="1"/>
  <c r="K31" i="26"/>
  <c r="K188" i="26" s="1"/>
  <c r="J31" i="26"/>
  <c r="I31" i="26"/>
  <c r="H31" i="26"/>
  <c r="G31" i="26"/>
  <c r="F31" i="26"/>
  <c r="E31" i="26"/>
  <c r="D31" i="26"/>
  <c r="V30" i="26"/>
  <c r="V264" i="26" s="1"/>
  <c r="U30" i="26"/>
  <c r="T30" i="26"/>
  <c r="T264" i="26" s="1"/>
  <c r="S30" i="26"/>
  <c r="S264" i="26" s="1"/>
  <c r="R30" i="26"/>
  <c r="Q30" i="26"/>
  <c r="P30" i="26"/>
  <c r="O30" i="26"/>
  <c r="N30" i="26"/>
  <c r="M30" i="26"/>
  <c r="M187" i="26" s="1"/>
  <c r="L30" i="26"/>
  <c r="K30" i="26"/>
  <c r="J30" i="26"/>
  <c r="I30" i="26"/>
  <c r="I109" i="26" s="1"/>
  <c r="H30" i="26"/>
  <c r="H264" i="26" s="1"/>
  <c r="G30" i="26"/>
  <c r="F30" i="26"/>
  <c r="E30" i="26"/>
  <c r="D30" i="26"/>
  <c r="D264" i="26" s="1"/>
  <c r="V29" i="26"/>
  <c r="U29" i="26"/>
  <c r="T29" i="26"/>
  <c r="S29" i="26"/>
  <c r="R29" i="26"/>
  <c r="R108" i="26" s="1"/>
  <c r="Q29" i="26"/>
  <c r="P29" i="26"/>
  <c r="P186" i="26" s="1"/>
  <c r="O29" i="26"/>
  <c r="N29" i="26"/>
  <c r="N108" i="26" s="1"/>
  <c r="M29" i="26"/>
  <c r="M186" i="26" s="1"/>
  <c r="L29" i="26"/>
  <c r="L108" i="26" s="1"/>
  <c r="K29" i="26"/>
  <c r="K263" i="26" s="1"/>
  <c r="J29" i="26"/>
  <c r="J263" i="26" s="1"/>
  <c r="I29" i="26"/>
  <c r="I108" i="26" s="1"/>
  <c r="H29" i="26"/>
  <c r="G29" i="26"/>
  <c r="G263" i="26" s="1"/>
  <c r="F29" i="26"/>
  <c r="F186" i="26" s="1"/>
  <c r="E29" i="26"/>
  <c r="D29" i="26"/>
  <c r="V28" i="26"/>
  <c r="U28" i="26"/>
  <c r="T28" i="26"/>
  <c r="S28" i="26"/>
  <c r="R28" i="26"/>
  <c r="Q28" i="26"/>
  <c r="Q107" i="26" s="1"/>
  <c r="P28" i="26"/>
  <c r="P107" i="26" s="1"/>
  <c r="O28" i="26"/>
  <c r="O107" i="26" s="1"/>
  <c r="N28" i="26"/>
  <c r="M28" i="26"/>
  <c r="M185" i="26" s="1"/>
  <c r="L28" i="26"/>
  <c r="K28" i="26"/>
  <c r="J28" i="26"/>
  <c r="J262" i="26" s="1"/>
  <c r="I28" i="26"/>
  <c r="H28" i="26"/>
  <c r="G28" i="26"/>
  <c r="F28" i="26"/>
  <c r="F262" i="26" s="1"/>
  <c r="E28" i="26"/>
  <c r="E107" i="26" s="1"/>
  <c r="D28" i="26"/>
  <c r="V27" i="26"/>
  <c r="V184" i="26" s="1"/>
  <c r="U27" i="26"/>
  <c r="U184" i="26" s="1"/>
  <c r="T27" i="26"/>
  <c r="T106" i="26" s="1"/>
  <c r="S27" i="26"/>
  <c r="S106" i="26" s="1"/>
  <c r="R27" i="26"/>
  <c r="R261" i="26" s="1"/>
  <c r="Q27" i="26"/>
  <c r="P27" i="26"/>
  <c r="P106" i="26" s="1"/>
  <c r="O27" i="26"/>
  <c r="N27" i="26"/>
  <c r="M27" i="26"/>
  <c r="L27" i="26"/>
  <c r="L184" i="26" s="1"/>
  <c r="K27" i="26"/>
  <c r="J27" i="26"/>
  <c r="I27" i="26"/>
  <c r="H27" i="26"/>
  <c r="H106" i="26" s="1"/>
  <c r="G27" i="26"/>
  <c r="G184" i="26" s="1"/>
  <c r="F27" i="26"/>
  <c r="F184" i="26" s="1"/>
  <c r="E27" i="26"/>
  <c r="D27" i="26"/>
  <c r="V26" i="26"/>
  <c r="U26" i="26"/>
  <c r="T26" i="26"/>
  <c r="S26" i="26"/>
  <c r="S105" i="26" s="1"/>
  <c r="R26" i="26"/>
  <c r="Q26" i="26"/>
  <c r="P26" i="26"/>
  <c r="O26" i="26"/>
  <c r="O183" i="26" s="1"/>
  <c r="N26" i="26"/>
  <c r="M26" i="26"/>
  <c r="L26" i="26"/>
  <c r="K26" i="26"/>
  <c r="K105" i="26" s="1"/>
  <c r="J26" i="26"/>
  <c r="J183" i="26" s="1"/>
  <c r="I26" i="26"/>
  <c r="I183" i="26" s="1"/>
  <c r="H26" i="26"/>
  <c r="G26" i="26"/>
  <c r="F26" i="26"/>
  <c r="E26" i="26"/>
  <c r="E260" i="26" s="1"/>
  <c r="D26" i="26"/>
  <c r="V24" i="26"/>
  <c r="U24" i="26"/>
  <c r="T24" i="26"/>
  <c r="S24" i="26"/>
  <c r="S258" i="26" s="1"/>
  <c r="R24" i="26"/>
  <c r="Q24" i="26"/>
  <c r="P24" i="26"/>
  <c r="O24" i="26"/>
  <c r="N24" i="26"/>
  <c r="M24" i="26"/>
  <c r="M181" i="26" s="1"/>
  <c r="L24" i="26"/>
  <c r="L181" i="26" s="1"/>
  <c r="K24" i="26"/>
  <c r="J24" i="26"/>
  <c r="I24" i="26"/>
  <c r="H24" i="26"/>
  <c r="G24" i="26"/>
  <c r="G258" i="26" s="1"/>
  <c r="F24" i="26"/>
  <c r="E24" i="26"/>
  <c r="D24" i="26"/>
  <c r="V23" i="26"/>
  <c r="V257" i="26" s="1"/>
  <c r="U23" i="26"/>
  <c r="T23" i="26"/>
  <c r="S23" i="26"/>
  <c r="R23" i="26"/>
  <c r="Q23" i="26"/>
  <c r="Q102" i="26" s="1"/>
  <c r="P23" i="26"/>
  <c r="O23" i="26"/>
  <c r="O180" i="26" s="1"/>
  <c r="N23" i="26"/>
  <c r="M23" i="26"/>
  <c r="L23" i="26"/>
  <c r="K23" i="26"/>
  <c r="K257" i="26" s="1"/>
  <c r="J23" i="26"/>
  <c r="I23" i="26"/>
  <c r="H23" i="26"/>
  <c r="G23" i="26"/>
  <c r="F23" i="26"/>
  <c r="E23" i="26"/>
  <c r="D23" i="26"/>
  <c r="V22" i="26"/>
  <c r="U22" i="26"/>
  <c r="T22" i="26"/>
  <c r="T101" i="26" s="1"/>
  <c r="S22" i="26"/>
  <c r="S179" i="26" s="1"/>
  <c r="R22" i="26"/>
  <c r="R179" i="26" s="1"/>
  <c r="Q22" i="26"/>
  <c r="P22" i="26"/>
  <c r="P179" i="26" s="1"/>
  <c r="O22" i="26"/>
  <c r="O179" i="26" s="1"/>
  <c r="N22" i="26"/>
  <c r="M22" i="26"/>
  <c r="M256" i="26" s="1"/>
  <c r="L22" i="26"/>
  <c r="K22" i="26"/>
  <c r="J22" i="26"/>
  <c r="I22" i="26"/>
  <c r="I256" i="26" s="1"/>
  <c r="H22" i="26"/>
  <c r="H256" i="26" s="1"/>
  <c r="G22" i="26"/>
  <c r="F22" i="26"/>
  <c r="E22" i="26"/>
  <c r="D22" i="26"/>
  <c r="D101" i="26" s="1"/>
  <c r="V21" i="26"/>
  <c r="U21" i="26"/>
  <c r="T21" i="26"/>
  <c r="S21" i="26"/>
  <c r="S100" i="26" s="1"/>
  <c r="R21" i="26"/>
  <c r="R100" i="26" s="1"/>
  <c r="Q21" i="26"/>
  <c r="Q255" i="26" s="1"/>
  <c r="P21" i="26"/>
  <c r="P255" i="26" s="1"/>
  <c r="O21" i="26"/>
  <c r="N21" i="26"/>
  <c r="N100" i="26" s="1"/>
  <c r="M21" i="26"/>
  <c r="L21" i="26"/>
  <c r="L255" i="26" s="1"/>
  <c r="K21" i="26"/>
  <c r="J21" i="26"/>
  <c r="I21" i="26"/>
  <c r="H21" i="26"/>
  <c r="G21" i="26"/>
  <c r="G100" i="26" s="1"/>
  <c r="F21" i="26"/>
  <c r="E21" i="26"/>
  <c r="D21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J99" i="26" s="1"/>
  <c r="I20" i="26"/>
  <c r="H20" i="26"/>
  <c r="H177" i="26" s="1"/>
  <c r="G20" i="26"/>
  <c r="G254" i="26" s="1"/>
  <c r="F20" i="26"/>
  <c r="F99" i="26" s="1"/>
  <c r="E20" i="26"/>
  <c r="D20" i="26"/>
  <c r="V19" i="26"/>
  <c r="V253" i="26" s="1"/>
  <c r="U19" i="26"/>
  <c r="T19" i="26"/>
  <c r="S19" i="26"/>
  <c r="R19" i="26"/>
  <c r="R253" i="26" s="1"/>
  <c r="Q19" i="26"/>
  <c r="P19" i="26"/>
  <c r="O19" i="26"/>
  <c r="N19" i="26"/>
  <c r="M19" i="26"/>
  <c r="L19" i="26"/>
  <c r="L176" i="26" s="1"/>
  <c r="K19" i="26"/>
  <c r="J19" i="26"/>
  <c r="I19" i="26"/>
  <c r="I176" i="26" s="1"/>
  <c r="H19" i="26"/>
  <c r="G19" i="26"/>
  <c r="G253" i="26" s="1"/>
  <c r="F19" i="26"/>
  <c r="F253" i="26" s="1"/>
  <c r="E19" i="26"/>
  <c r="D19" i="26"/>
  <c r="D98" i="26" s="1"/>
  <c r="V18" i="26"/>
  <c r="U18" i="26"/>
  <c r="U252" i="26" s="1"/>
  <c r="T18" i="26"/>
  <c r="S18" i="26"/>
  <c r="R18" i="26"/>
  <c r="Q18" i="26"/>
  <c r="P18" i="26"/>
  <c r="O18" i="26"/>
  <c r="O175" i="26" s="1"/>
  <c r="N18" i="26"/>
  <c r="N175" i="26" s="1"/>
  <c r="M18" i="26"/>
  <c r="L18" i="26"/>
  <c r="L97" i="26" s="1"/>
  <c r="K18" i="26"/>
  <c r="J18" i="26"/>
  <c r="J252" i="26" s="1"/>
  <c r="I18" i="26"/>
  <c r="H18" i="26"/>
  <c r="G18" i="26"/>
  <c r="F18" i="26"/>
  <c r="E18" i="26"/>
  <c r="E252" i="26" s="1"/>
  <c r="D18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V16" i="26"/>
  <c r="V95" i="26" s="1"/>
  <c r="U16" i="26"/>
  <c r="U173" i="26" s="1"/>
  <c r="T16" i="26"/>
  <c r="T173" i="26" s="1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F95" i="26" s="1"/>
  <c r="E16" i="26"/>
  <c r="E173" i="26" s="1"/>
  <c r="D16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J249" i="26" s="1"/>
  <c r="I15" i="26"/>
  <c r="I94" i="26" s="1"/>
  <c r="H15" i="26"/>
  <c r="H172" i="26" s="1"/>
  <c r="G15" i="26"/>
  <c r="F15" i="26"/>
  <c r="E15" i="26"/>
  <c r="E94" i="26" s="1"/>
  <c r="D15" i="26"/>
  <c r="V14" i="26"/>
  <c r="V248" i="26" s="1"/>
  <c r="U14" i="26"/>
  <c r="U248" i="26" s="1"/>
  <c r="T14" i="26"/>
  <c r="S14" i="26"/>
  <c r="S93" i="26" s="1"/>
  <c r="R14" i="26"/>
  <c r="Q14" i="26"/>
  <c r="P14" i="26"/>
  <c r="O14" i="26"/>
  <c r="O171" i="26" s="1"/>
  <c r="N14" i="26"/>
  <c r="M14" i="26"/>
  <c r="L14" i="26"/>
  <c r="L93" i="26" s="1"/>
  <c r="K14" i="26"/>
  <c r="J14" i="26"/>
  <c r="I14" i="26"/>
  <c r="H14" i="26"/>
  <c r="G14" i="26"/>
  <c r="G42" i="26" s="1"/>
  <c r="F14" i="26"/>
  <c r="E14" i="26"/>
  <c r="E248" i="26" s="1"/>
  <c r="D14" i="26"/>
  <c r="V13" i="26"/>
  <c r="U13" i="26"/>
  <c r="U247" i="26" s="1"/>
  <c r="T13" i="26"/>
  <c r="T42" i="26" s="1"/>
  <c r="S13" i="26"/>
  <c r="S42" i="26" s="1"/>
  <c r="R13" i="26"/>
  <c r="Q13" i="26"/>
  <c r="P13" i="26"/>
  <c r="O13" i="26"/>
  <c r="O92" i="26" s="1"/>
  <c r="N13" i="26"/>
  <c r="M13" i="26"/>
  <c r="L13" i="26"/>
  <c r="K13" i="26"/>
  <c r="J13" i="26"/>
  <c r="I13" i="26"/>
  <c r="H13" i="26"/>
  <c r="H247" i="26" s="1"/>
  <c r="G13" i="26"/>
  <c r="F13" i="26"/>
  <c r="E13" i="26"/>
  <c r="D13" i="26"/>
  <c r="D247" i="26" s="1"/>
  <c r="C299" i="25"/>
  <c r="I297" i="25"/>
  <c r="I295" i="25"/>
  <c r="H294" i="25"/>
  <c r="G294" i="25"/>
  <c r="I293" i="25"/>
  <c r="I289" i="25"/>
  <c r="I287" i="25"/>
  <c r="K286" i="25"/>
  <c r="I285" i="25"/>
  <c r="I281" i="25"/>
  <c r="I279" i="25"/>
  <c r="I277" i="25"/>
  <c r="I273" i="25"/>
  <c r="H273" i="25"/>
  <c r="I271" i="25"/>
  <c r="H268" i="25"/>
  <c r="C257" i="25"/>
  <c r="I256" i="25"/>
  <c r="K255" i="25"/>
  <c r="J255" i="25"/>
  <c r="J297" i="25" s="1"/>
  <c r="I255" i="25"/>
  <c r="H255" i="25"/>
  <c r="G255" i="25"/>
  <c r="F255" i="25"/>
  <c r="E255" i="25"/>
  <c r="D255" i="25"/>
  <c r="K254" i="25"/>
  <c r="J254" i="25"/>
  <c r="I254" i="25"/>
  <c r="H254" i="25"/>
  <c r="G254" i="25"/>
  <c r="F254" i="25"/>
  <c r="E254" i="25"/>
  <c r="D254" i="25"/>
  <c r="K253" i="25"/>
  <c r="J253" i="25"/>
  <c r="J295" i="25" s="1"/>
  <c r="I253" i="25"/>
  <c r="H253" i="25"/>
  <c r="G253" i="25"/>
  <c r="F253" i="25"/>
  <c r="F295" i="25" s="1"/>
  <c r="E253" i="25"/>
  <c r="D253" i="25"/>
  <c r="D295" i="25" s="1"/>
  <c r="K252" i="25"/>
  <c r="K294" i="25" s="1"/>
  <c r="J252" i="25"/>
  <c r="I252" i="25"/>
  <c r="H252" i="25"/>
  <c r="G252" i="25"/>
  <c r="F252" i="25"/>
  <c r="F294" i="25" s="1"/>
  <c r="E252" i="25"/>
  <c r="E294" i="25" s="1"/>
  <c r="D252" i="25"/>
  <c r="K251" i="25"/>
  <c r="J251" i="25"/>
  <c r="J293" i="25" s="1"/>
  <c r="I251" i="25"/>
  <c r="H251" i="25"/>
  <c r="G251" i="25"/>
  <c r="F251" i="25"/>
  <c r="E251" i="25"/>
  <c r="D251" i="25"/>
  <c r="K250" i="25"/>
  <c r="J250" i="25"/>
  <c r="I250" i="25"/>
  <c r="H250" i="25"/>
  <c r="G250" i="25"/>
  <c r="F250" i="25"/>
  <c r="E250" i="25"/>
  <c r="D250" i="25"/>
  <c r="K249" i="25"/>
  <c r="J249" i="25"/>
  <c r="J291" i="25" s="1"/>
  <c r="I249" i="25"/>
  <c r="I291" i="25" s="1"/>
  <c r="H249" i="25"/>
  <c r="G249" i="25"/>
  <c r="F249" i="25"/>
  <c r="E249" i="25"/>
  <c r="D249" i="25"/>
  <c r="K248" i="25"/>
  <c r="J248" i="25"/>
  <c r="I248" i="25"/>
  <c r="H248" i="25"/>
  <c r="G248" i="25"/>
  <c r="F248" i="25"/>
  <c r="E248" i="25"/>
  <c r="D248" i="25"/>
  <c r="K247" i="25"/>
  <c r="J247" i="25"/>
  <c r="J289" i="25" s="1"/>
  <c r="I247" i="25"/>
  <c r="H247" i="25"/>
  <c r="H289" i="25" s="1"/>
  <c r="G247" i="25"/>
  <c r="F247" i="25"/>
  <c r="E247" i="25"/>
  <c r="D247" i="25"/>
  <c r="K246" i="25"/>
  <c r="J246" i="25"/>
  <c r="I246" i="25"/>
  <c r="H246" i="25"/>
  <c r="G246" i="25"/>
  <c r="F246" i="25"/>
  <c r="E246" i="25"/>
  <c r="D246" i="25"/>
  <c r="K245" i="25"/>
  <c r="J245" i="25"/>
  <c r="J287" i="25" s="1"/>
  <c r="I245" i="25"/>
  <c r="H245" i="25"/>
  <c r="G245" i="25"/>
  <c r="F245" i="25"/>
  <c r="F287" i="25" s="1"/>
  <c r="E245" i="25"/>
  <c r="D245" i="25"/>
  <c r="D287" i="25" s="1"/>
  <c r="K244" i="25"/>
  <c r="J244" i="25"/>
  <c r="I244" i="25"/>
  <c r="H244" i="25"/>
  <c r="G244" i="25"/>
  <c r="F244" i="25"/>
  <c r="E244" i="25"/>
  <c r="D244" i="25"/>
  <c r="K243" i="25"/>
  <c r="J243" i="25"/>
  <c r="J285" i="25" s="1"/>
  <c r="I243" i="25"/>
  <c r="H243" i="25"/>
  <c r="G243" i="25"/>
  <c r="F243" i="25"/>
  <c r="E243" i="25"/>
  <c r="D243" i="25"/>
  <c r="K242" i="25"/>
  <c r="J242" i="25"/>
  <c r="I242" i="25"/>
  <c r="H242" i="25"/>
  <c r="G242" i="25"/>
  <c r="F242" i="25"/>
  <c r="E242" i="25"/>
  <c r="D242" i="25"/>
  <c r="K241" i="25"/>
  <c r="J241" i="25"/>
  <c r="J283" i="25" s="1"/>
  <c r="I241" i="25"/>
  <c r="I283" i="25" s="1"/>
  <c r="H241" i="25"/>
  <c r="G241" i="25"/>
  <c r="F241" i="25"/>
  <c r="E241" i="25"/>
  <c r="D241" i="25"/>
  <c r="K240" i="25"/>
  <c r="J240" i="25"/>
  <c r="I240" i="25"/>
  <c r="H240" i="25"/>
  <c r="G240" i="25"/>
  <c r="F240" i="25"/>
  <c r="E240" i="25"/>
  <c r="D240" i="25"/>
  <c r="K239" i="25"/>
  <c r="J239" i="25"/>
  <c r="J281" i="25" s="1"/>
  <c r="I239" i="25"/>
  <c r="H239" i="25"/>
  <c r="H281" i="25" s="1"/>
  <c r="G239" i="25"/>
  <c r="F239" i="25"/>
  <c r="E239" i="25"/>
  <c r="D239" i="25"/>
  <c r="K238" i="25"/>
  <c r="J238" i="25"/>
  <c r="I238" i="25"/>
  <c r="H238" i="25"/>
  <c r="G238" i="25"/>
  <c r="F238" i="25"/>
  <c r="E238" i="25"/>
  <c r="D238" i="25"/>
  <c r="K237" i="25"/>
  <c r="J237" i="25"/>
  <c r="I237" i="25"/>
  <c r="H237" i="25"/>
  <c r="H279" i="25" s="1"/>
  <c r="G237" i="25"/>
  <c r="G279" i="25" s="1"/>
  <c r="F237" i="25"/>
  <c r="F279" i="25" s="1"/>
  <c r="E237" i="25"/>
  <c r="E279" i="25" s="1"/>
  <c r="D237" i="25"/>
  <c r="D279" i="25" s="1"/>
  <c r="K236" i="25"/>
  <c r="J236" i="25"/>
  <c r="I236" i="25"/>
  <c r="H236" i="25"/>
  <c r="G236" i="25"/>
  <c r="F236" i="25"/>
  <c r="E236" i="25"/>
  <c r="D236" i="25"/>
  <c r="K235" i="25"/>
  <c r="J235" i="25"/>
  <c r="I235" i="25"/>
  <c r="H235" i="25"/>
  <c r="G235" i="25"/>
  <c r="F235" i="25"/>
  <c r="E235" i="25"/>
  <c r="D235" i="25"/>
  <c r="D277" i="25" s="1"/>
  <c r="K234" i="25"/>
  <c r="J234" i="25"/>
  <c r="I234" i="25"/>
  <c r="H234" i="25"/>
  <c r="G234" i="25"/>
  <c r="F234" i="25"/>
  <c r="E234" i="25"/>
  <c r="D234" i="25"/>
  <c r="D276" i="25" s="1"/>
  <c r="K233" i="25"/>
  <c r="J233" i="25"/>
  <c r="I233" i="25"/>
  <c r="I275" i="25" s="1"/>
  <c r="H233" i="25"/>
  <c r="G233" i="25"/>
  <c r="F233" i="25"/>
  <c r="E233" i="25"/>
  <c r="D233" i="25"/>
  <c r="K232" i="25"/>
  <c r="J232" i="25"/>
  <c r="I232" i="25"/>
  <c r="H232" i="25"/>
  <c r="G232" i="25"/>
  <c r="F232" i="25"/>
  <c r="E232" i="25"/>
  <c r="D232" i="25"/>
  <c r="K231" i="25"/>
  <c r="J231" i="25"/>
  <c r="I231" i="25"/>
  <c r="H231" i="25"/>
  <c r="G231" i="25"/>
  <c r="F231" i="25"/>
  <c r="E231" i="25"/>
  <c r="D231" i="25"/>
  <c r="K230" i="25"/>
  <c r="J230" i="25"/>
  <c r="I230" i="25"/>
  <c r="H230" i="25"/>
  <c r="G230" i="25"/>
  <c r="F230" i="25"/>
  <c r="E230" i="25"/>
  <c r="D230" i="25"/>
  <c r="K229" i="25"/>
  <c r="J229" i="25"/>
  <c r="I229" i="25"/>
  <c r="H229" i="25"/>
  <c r="G229" i="25"/>
  <c r="F229" i="25"/>
  <c r="F271" i="25" s="1"/>
  <c r="E229" i="25"/>
  <c r="D229" i="25"/>
  <c r="D271" i="25" s="1"/>
  <c r="K228" i="25"/>
  <c r="K270" i="25" s="1"/>
  <c r="J228" i="25"/>
  <c r="I228" i="25"/>
  <c r="H228" i="25"/>
  <c r="G228" i="25"/>
  <c r="F228" i="25"/>
  <c r="E228" i="25"/>
  <c r="D228" i="25"/>
  <c r="K227" i="25"/>
  <c r="J227" i="25"/>
  <c r="I227" i="25"/>
  <c r="I269" i="25" s="1"/>
  <c r="H227" i="25"/>
  <c r="G227" i="25"/>
  <c r="F227" i="25"/>
  <c r="E227" i="25"/>
  <c r="D227" i="25"/>
  <c r="K226" i="25"/>
  <c r="J226" i="25"/>
  <c r="I226" i="25"/>
  <c r="H226" i="25"/>
  <c r="G226" i="25"/>
  <c r="G256" i="25" s="1"/>
  <c r="F226" i="25"/>
  <c r="E226" i="25"/>
  <c r="D226" i="25"/>
  <c r="K225" i="25"/>
  <c r="J225" i="25"/>
  <c r="I225" i="25"/>
  <c r="I267" i="25" s="1"/>
  <c r="H225" i="25"/>
  <c r="G225" i="25"/>
  <c r="F225" i="25"/>
  <c r="E225" i="25"/>
  <c r="D225" i="25"/>
  <c r="C216" i="25"/>
  <c r="K213" i="25"/>
  <c r="H213" i="25"/>
  <c r="I212" i="25"/>
  <c r="H212" i="25"/>
  <c r="H211" i="25"/>
  <c r="G211" i="25"/>
  <c r="F211" i="25"/>
  <c r="J208" i="25"/>
  <c r="K206" i="25"/>
  <c r="J206" i="25"/>
  <c r="I204" i="25"/>
  <c r="H203" i="25"/>
  <c r="J202" i="25"/>
  <c r="J200" i="25"/>
  <c r="J199" i="25"/>
  <c r="H199" i="25"/>
  <c r="K198" i="25"/>
  <c r="J198" i="25"/>
  <c r="H195" i="25"/>
  <c r="G195" i="25"/>
  <c r="F195" i="25"/>
  <c r="D191" i="25"/>
  <c r="J190" i="25"/>
  <c r="J186" i="25"/>
  <c r="H185" i="25"/>
  <c r="C174" i="25"/>
  <c r="K172" i="25"/>
  <c r="J172" i="25"/>
  <c r="I172" i="25"/>
  <c r="I214" i="25" s="1"/>
  <c r="H172" i="25"/>
  <c r="G172" i="25"/>
  <c r="F172" i="25"/>
  <c r="F214" i="25" s="1"/>
  <c r="E172" i="25"/>
  <c r="E214" i="25" s="1"/>
  <c r="D172" i="25"/>
  <c r="D214" i="25" s="1"/>
  <c r="K171" i="25"/>
  <c r="J171" i="25"/>
  <c r="I171" i="25"/>
  <c r="H171" i="25"/>
  <c r="G171" i="25"/>
  <c r="F171" i="25"/>
  <c r="E171" i="25"/>
  <c r="D171" i="25"/>
  <c r="K170" i="25"/>
  <c r="K212" i="25" s="1"/>
  <c r="J170" i="25"/>
  <c r="I170" i="25"/>
  <c r="H170" i="25"/>
  <c r="G170" i="25"/>
  <c r="F170" i="25"/>
  <c r="F212" i="25" s="1"/>
  <c r="E170" i="25"/>
  <c r="E212" i="25" s="1"/>
  <c r="D170" i="25"/>
  <c r="D212" i="25" s="1"/>
  <c r="K169" i="25"/>
  <c r="K211" i="25" s="1"/>
  <c r="J169" i="25"/>
  <c r="I169" i="25"/>
  <c r="H169" i="25"/>
  <c r="G169" i="25"/>
  <c r="F169" i="25"/>
  <c r="E169" i="25"/>
  <c r="E211" i="25" s="1"/>
  <c r="D169" i="25"/>
  <c r="K168" i="25"/>
  <c r="J168" i="25"/>
  <c r="I168" i="25"/>
  <c r="I210" i="25" s="1"/>
  <c r="H168" i="25"/>
  <c r="G168" i="25"/>
  <c r="F168" i="25"/>
  <c r="F210" i="25" s="1"/>
  <c r="E168" i="25"/>
  <c r="E210" i="25" s="1"/>
  <c r="D168" i="25"/>
  <c r="D210" i="25" s="1"/>
  <c r="K167" i="25"/>
  <c r="J167" i="25"/>
  <c r="I167" i="25"/>
  <c r="H167" i="25"/>
  <c r="H209" i="25" s="1"/>
  <c r="G167" i="25"/>
  <c r="F167" i="25"/>
  <c r="E167" i="25"/>
  <c r="D167" i="25"/>
  <c r="K166" i="25"/>
  <c r="J166" i="25"/>
  <c r="I166" i="25"/>
  <c r="I208" i="25" s="1"/>
  <c r="H166" i="25"/>
  <c r="G166" i="25"/>
  <c r="F166" i="25"/>
  <c r="F208" i="25" s="1"/>
  <c r="E166" i="25"/>
  <c r="E208" i="25" s="1"/>
  <c r="D166" i="25"/>
  <c r="D208" i="25" s="1"/>
  <c r="K165" i="25"/>
  <c r="K207" i="25" s="1"/>
  <c r="J165" i="25"/>
  <c r="I165" i="25"/>
  <c r="H165" i="25"/>
  <c r="H207" i="25" s="1"/>
  <c r="G165" i="25"/>
  <c r="F165" i="25"/>
  <c r="E165" i="25"/>
  <c r="D165" i="25"/>
  <c r="K164" i="25"/>
  <c r="J164" i="25"/>
  <c r="I164" i="25"/>
  <c r="I206" i="25" s="1"/>
  <c r="H164" i="25"/>
  <c r="H206" i="25" s="1"/>
  <c r="G164" i="25"/>
  <c r="F164" i="25"/>
  <c r="F206" i="25" s="1"/>
  <c r="E164" i="25"/>
  <c r="E206" i="25" s="1"/>
  <c r="D164" i="25"/>
  <c r="D206" i="25" s="1"/>
  <c r="K163" i="25"/>
  <c r="J163" i="25"/>
  <c r="I163" i="25"/>
  <c r="H163" i="25"/>
  <c r="H205" i="25" s="1"/>
  <c r="G163" i="25"/>
  <c r="F163" i="25"/>
  <c r="E163" i="25"/>
  <c r="D163" i="25"/>
  <c r="K162" i="25"/>
  <c r="J162" i="25"/>
  <c r="I162" i="25"/>
  <c r="H162" i="25"/>
  <c r="H204" i="25" s="1"/>
  <c r="G162" i="25"/>
  <c r="F162" i="25"/>
  <c r="F204" i="25" s="1"/>
  <c r="E162" i="25"/>
  <c r="E204" i="25" s="1"/>
  <c r="D162" i="25"/>
  <c r="D204" i="25" s="1"/>
  <c r="K161" i="25"/>
  <c r="K203" i="25" s="1"/>
  <c r="J161" i="25"/>
  <c r="I161" i="25"/>
  <c r="H161" i="25"/>
  <c r="G161" i="25"/>
  <c r="F161" i="25"/>
  <c r="E161" i="25"/>
  <c r="D161" i="25"/>
  <c r="K160" i="25"/>
  <c r="J160" i="25"/>
  <c r="I160" i="25"/>
  <c r="I202" i="25" s="1"/>
  <c r="H160" i="25"/>
  <c r="G160" i="25"/>
  <c r="F160" i="25"/>
  <c r="F202" i="25" s="1"/>
  <c r="E160" i="25"/>
  <c r="E202" i="25" s="1"/>
  <c r="D160" i="25"/>
  <c r="D202" i="25" s="1"/>
  <c r="K159" i="25"/>
  <c r="J159" i="25"/>
  <c r="I159" i="25"/>
  <c r="H159" i="25"/>
  <c r="H201" i="25" s="1"/>
  <c r="G159" i="25"/>
  <c r="F159" i="25"/>
  <c r="E159" i="25"/>
  <c r="D159" i="25"/>
  <c r="K158" i="25"/>
  <c r="J158" i="25"/>
  <c r="I158" i="25"/>
  <c r="I200" i="25" s="1"/>
  <c r="H158" i="25"/>
  <c r="H200" i="25" s="1"/>
  <c r="G158" i="25"/>
  <c r="F158" i="25"/>
  <c r="F200" i="25" s="1"/>
  <c r="E158" i="25"/>
  <c r="E200" i="25" s="1"/>
  <c r="D158" i="25"/>
  <c r="D200" i="25" s="1"/>
  <c r="K157" i="25"/>
  <c r="J157" i="25"/>
  <c r="I157" i="25"/>
  <c r="H157" i="25"/>
  <c r="G157" i="25"/>
  <c r="F157" i="25"/>
  <c r="E157" i="25"/>
  <c r="D157" i="25"/>
  <c r="K156" i="25"/>
  <c r="J156" i="25"/>
  <c r="I156" i="25"/>
  <c r="I198" i="25" s="1"/>
  <c r="H156" i="25"/>
  <c r="H198" i="25" s="1"/>
  <c r="G156" i="25"/>
  <c r="F156" i="25"/>
  <c r="F198" i="25" s="1"/>
  <c r="E156" i="25"/>
  <c r="E198" i="25" s="1"/>
  <c r="D156" i="25"/>
  <c r="D198" i="25" s="1"/>
  <c r="K155" i="25"/>
  <c r="J155" i="25"/>
  <c r="I155" i="25"/>
  <c r="H155" i="25"/>
  <c r="H197" i="25" s="1"/>
  <c r="G155" i="25"/>
  <c r="F155" i="25"/>
  <c r="E155" i="25"/>
  <c r="D155" i="25"/>
  <c r="K154" i="25"/>
  <c r="J154" i="25"/>
  <c r="I154" i="25"/>
  <c r="I196" i="25" s="1"/>
  <c r="H154" i="25"/>
  <c r="H196" i="25" s="1"/>
  <c r="G154" i="25"/>
  <c r="G196" i="25" s="1"/>
  <c r="F154" i="25"/>
  <c r="F196" i="25" s="1"/>
  <c r="E154" i="25"/>
  <c r="E196" i="25" s="1"/>
  <c r="D154" i="25"/>
  <c r="D196" i="25" s="1"/>
  <c r="K153" i="25"/>
  <c r="K195" i="25" s="1"/>
  <c r="J153" i="25"/>
  <c r="I153" i="25"/>
  <c r="H153" i="25"/>
  <c r="G153" i="25"/>
  <c r="F153" i="25"/>
  <c r="E153" i="25"/>
  <c r="D153" i="25"/>
  <c r="K152" i="25"/>
  <c r="J152" i="25"/>
  <c r="I152" i="25"/>
  <c r="I194" i="25" s="1"/>
  <c r="H152" i="25"/>
  <c r="G152" i="25"/>
  <c r="F152" i="25"/>
  <c r="F194" i="25" s="1"/>
  <c r="E152" i="25"/>
  <c r="E194" i="25" s="1"/>
  <c r="D152" i="25"/>
  <c r="D194" i="25" s="1"/>
  <c r="K151" i="25"/>
  <c r="J151" i="25"/>
  <c r="I151" i="25"/>
  <c r="H151" i="25"/>
  <c r="H193" i="25" s="1"/>
  <c r="G151" i="25"/>
  <c r="F151" i="25"/>
  <c r="F193" i="25" s="1"/>
  <c r="E151" i="25"/>
  <c r="D151" i="25"/>
  <c r="K150" i="25"/>
  <c r="J150" i="25"/>
  <c r="I150" i="25"/>
  <c r="I192" i="25" s="1"/>
  <c r="H150" i="25"/>
  <c r="G150" i="25"/>
  <c r="F150" i="25"/>
  <c r="F192" i="25" s="1"/>
  <c r="E150" i="25"/>
  <c r="E192" i="25" s="1"/>
  <c r="D150" i="25"/>
  <c r="D192" i="25" s="1"/>
  <c r="K149" i="25"/>
  <c r="K191" i="25" s="1"/>
  <c r="J149" i="25"/>
  <c r="I149" i="25"/>
  <c r="H149" i="25"/>
  <c r="H191" i="25" s="1"/>
  <c r="G149" i="25"/>
  <c r="F149" i="25"/>
  <c r="E149" i="25"/>
  <c r="D149" i="25"/>
  <c r="K148" i="25"/>
  <c r="J148" i="25"/>
  <c r="I148" i="25"/>
  <c r="I190" i="25" s="1"/>
  <c r="H148" i="25"/>
  <c r="H190" i="25" s="1"/>
  <c r="G148" i="25"/>
  <c r="F148" i="25"/>
  <c r="F190" i="25" s="1"/>
  <c r="E148" i="25"/>
  <c r="E190" i="25" s="1"/>
  <c r="D148" i="25"/>
  <c r="D190" i="25" s="1"/>
  <c r="K147" i="25"/>
  <c r="J147" i="25"/>
  <c r="I147" i="25"/>
  <c r="H147" i="25"/>
  <c r="H189" i="25" s="1"/>
  <c r="G147" i="25"/>
  <c r="F147" i="25"/>
  <c r="E147" i="25"/>
  <c r="D147" i="25"/>
  <c r="K146" i="25"/>
  <c r="J146" i="25"/>
  <c r="I146" i="25"/>
  <c r="I188" i="25" s="1"/>
  <c r="H146" i="25"/>
  <c r="H188" i="25" s="1"/>
  <c r="G146" i="25"/>
  <c r="F146" i="25"/>
  <c r="F188" i="25" s="1"/>
  <c r="E146" i="25"/>
  <c r="E188" i="25" s="1"/>
  <c r="D146" i="25"/>
  <c r="D188" i="25" s="1"/>
  <c r="K145" i="25"/>
  <c r="J145" i="25"/>
  <c r="I145" i="25"/>
  <c r="H145" i="25"/>
  <c r="H187" i="25" s="1"/>
  <c r="G145" i="25"/>
  <c r="F145" i="25"/>
  <c r="E145" i="25"/>
  <c r="D145" i="25"/>
  <c r="K144" i="25"/>
  <c r="J144" i="25"/>
  <c r="I144" i="25"/>
  <c r="I186" i="25" s="1"/>
  <c r="H144" i="25"/>
  <c r="H186" i="25" s="1"/>
  <c r="G144" i="25"/>
  <c r="F144" i="25"/>
  <c r="F186" i="25" s="1"/>
  <c r="E144" i="25"/>
  <c r="E186" i="25" s="1"/>
  <c r="D144" i="25"/>
  <c r="D186" i="25" s="1"/>
  <c r="K143" i="25"/>
  <c r="K173" i="25" s="1"/>
  <c r="J143" i="25"/>
  <c r="J173" i="25" s="1"/>
  <c r="I143" i="25"/>
  <c r="H143" i="25"/>
  <c r="G143" i="25"/>
  <c r="G173" i="25" s="1"/>
  <c r="F143" i="25"/>
  <c r="E143" i="25"/>
  <c r="D143" i="25"/>
  <c r="K142" i="25"/>
  <c r="J142" i="25"/>
  <c r="I142" i="25"/>
  <c r="I173" i="25" s="1"/>
  <c r="H142" i="25"/>
  <c r="H173" i="25" s="1"/>
  <c r="H215" i="25" s="1"/>
  <c r="G142" i="25"/>
  <c r="F142" i="25"/>
  <c r="F173" i="25" s="1"/>
  <c r="E142" i="25"/>
  <c r="E173" i="25" s="1"/>
  <c r="D142" i="25"/>
  <c r="C132" i="25"/>
  <c r="F130" i="25"/>
  <c r="H129" i="25"/>
  <c r="F129" i="25"/>
  <c r="E129" i="25"/>
  <c r="H128" i="25"/>
  <c r="H127" i="25"/>
  <c r="E127" i="25"/>
  <c r="F126" i="25"/>
  <c r="K125" i="25"/>
  <c r="J125" i="25"/>
  <c r="G125" i="25"/>
  <c r="E125" i="25"/>
  <c r="E122" i="25"/>
  <c r="D122" i="25"/>
  <c r="H121" i="25"/>
  <c r="H119" i="25"/>
  <c r="E119" i="25"/>
  <c r="D119" i="25"/>
  <c r="H117" i="25"/>
  <c r="J115" i="25"/>
  <c r="H115" i="25"/>
  <c r="E115" i="25"/>
  <c r="H113" i="25"/>
  <c r="I112" i="25"/>
  <c r="E112" i="25"/>
  <c r="D112" i="25"/>
  <c r="H111" i="25"/>
  <c r="H109" i="25"/>
  <c r="E109" i="25"/>
  <c r="H107" i="25"/>
  <c r="I106" i="25"/>
  <c r="F106" i="25"/>
  <c r="H105" i="25"/>
  <c r="H103" i="25"/>
  <c r="E103" i="25"/>
  <c r="H101" i="25"/>
  <c r="I100" i="25"/>
  <c r="F100" i="25"/>
  <c r="C90" i="25"/>
  <c r="E89" i="25"/>
  <c r="K88" i="25"/>
  <c r="K130" i="25" s="1"/>
  <c r="J88" i="25"/>
  <c r="J130" i="25" s="1"/>
  <c r="I88" i="25"/>
  <c r="I130" i="25" s="1"/>
  <c r="H88" i="25"/>
  <c r="G88" i="25"/>
  <c r="F88" i="25"/>
  <c r="E88" i="25"/>
  <c r="D88" i="25"/>
  <c r="K87" i="25"/>
  <c r="J87" i="25"/>
  <c r="I87" i="25"/>
  <c r="H87" i="25"/>
  <c r="G87" i="25"/>
  <c r="F87" i="25"/>
  <c r="E87" i="25"/>
  <c r="D87" i="25"/>
  <c r="D129" i="25" s="1"/>
  <c r="K86" i="25"/>
  <c r="K128" i="25" s="1"/>
  <c r="J86" i="25"/>
  <c r="J128" i="25" s="1"/>
  <c r="I86" i="25"/>
  <c r="I128" i="25" s="1"/>
  <c r="H86" i="25"/>
  <c r="G86" i="25"/>
  <c r="F86" i="25"/>
  <c r="E86" i="25"/>
  <c r="D86" i="25"/>
  <c r="D128" i="25" s="1"/>
  <c r="K85" i="25"/>
  <c r="K127" i="25" s="1"/>
  <c r="J85" i="25"/>
  <c r="I85" i="25"/>
  <c r="H85" i="25"/>
  <c r="G85" i="25"/>
  <c r="G127" i="25" s="1"/>
  <c r="F85" i="25"/>
  <c r="F127" i="25" s="1"/>
  <c r="E85" i="25"/>
  <c r="D85" i="25"/>
  <c r="K84" i="25"/>
  <c r="K126" i="25" s="1"/>
  <c r="J84" i="25"/>
  <c r="J126" i="25" s="1"/>
  <c r="I84" i="25"/>
  <c r="I126" i="25" s="1"/>
  <c r="H84" i="25"/>
  <c r="G84" i="25"/>
  <c r="F84" i="25"/>
  <c r="E84" i="25"/>
  <c r="D84" i="25"/>
  <c r="D126" i="25" s="1"/>
  <c r="K83" i="25"/>
  <c r="J83" i="25"/>
  <c r="I83" i="25"/>
  <c r="H83" i="25"/>
  <c r="H125" i="25" s="1"/>
  <c r="G83" i="25"/>
  <c r="F83" i="25"/>
  <c r="E83" i="25"/>
  <c r="D83" i="25"/>
  <c r="K82" i="25"/>
  <c r="K124" i="25" s="1"/>
  <c r="J82" i="25"/>
  <c r="J124" i="25" s="1"/>
  <c r="I82" i="25"/>
  <c r="I124" i="25" s="1"/>
  <c r="H82" i="25"/>
  <c r="H124" i="25" s="1"/>
  <c r="G82" i="25"/>
  <c r="F82" i="25"/>
  <c r="F124" i="25" s="1"/>
  <c r="E82" i="25"/>
  <c r="E124" i="25" s="1"/>
  <c r="D82" i="25"/>
  <c r="K81" i="25"/>
  <c r="K123" i="25" s="1"/>
  <c r="J81" i="25"/>
  <c r="J123" i="25" s="1"/>
  <c r="I81" i="25"/>
  <c r="H81" i="25"/>
  <c r="G81" i="25"/>
  <c r="F81" i="25"/>
  <c r="F123" i="25" s="1"/>
  <c r="E81" i="25"/>
  <c r="D81" i="25"/>
  <c r="K80" i="25"/>
  <c r="K122" i="25" s="1"/>
  <c r="J80" i="25"/>
  <c r="J122" i="25" s="1"/>
  <c r="I80" i="25"/>
  <c r="I122" i="25" s="1"/>
  <c r="H80" i="25"/>
  <c r="H122" i="25" s="1"/>
  <c r="G80" i="25"/>
  <c r="F80" i="25"/>
  <c r="E80" i="25"/>
  <c r="D80" i="25"/>
  <c r="K79" i="25"/>
  <c r="J79" i="25"/>
  <c r="I79" i="25"/>
  <c r="H79" i="25"/>
  <c r="G79" i="25"/>
  <c r="F79" i="25"/>
  <c r="E79" i="25"/>
  <c r="E121" i="25" s="1"/>
  <c r="D79" i="25"/>
  <c r="K78" i="25"/>
  <c r="K120" i="25" s="1"/>
  <c r="J78" i="25"/>
  <c r="J120" i="25" s="1"/>
  <c r="I78" i="25"/>
  <c r="I120" i="25" s="1"/>
  <c r="H78" i="25"/>
  <c r="H120" i="25" s="1"/>
  <c r="G78" i="25"/>
  <c r="F78" i="25"/>
  <c r="E78" i="25"/>
  <c r="D78" i="25"/>
  <c r="K77" i="25"/>
  <c r="J77" i="25"/>
  <c r="J119" i="25" s="1"/>
  <c r="I77" i="25"/>
  <c r="H77" i="25"/>
  <c r="G77" i="25"/>
  <c r="F77" i="25"/>
  <c r="E77" i="25"/>
  <c r="D77" i="25"/>
  <c r="K76" i="25"/>
  <c r="K118" i="25" s="1"/>
  <c r="J76" i="25"/>
  <c r="J118" i="25" s="1"/>
  <c r="I76" i="25"/>
  <c r="I118" i="25" s="1"/>
  <c r="H76" i="25"/>
  <c r="H118" i="25" s="1"/>
  <c r="G76" i="25"/>
  <c r="F76" i="25"/>
  <c r="E76" i="25"/>
  <c r="D76" i="25"/>
  <c r="D118" i="25" s="1"/>
  <c r="K75" i="25"/>
  <c r="J75" i="25"/>
  <c r="J117" i="25" s="1"/>
  <c r="I75" i="25"/>
  <c r="H75" i="25"/>
  <c r="G75" i="25"/>
  <c r="F75" i="25"/>
  <c r="E75" i="25"/>
  <c r="D75" i="25"/>
  <c r="K74" i="25"/>
  <c r="K116" i="25" s="1"/>
  <c r="J74" i="25"/>
  <c r="J116" i="25" s="1"/>
  <c r="I74" i="25"/>
  <c r="I116" i="25" s="1"/>
  <c r="H74" i="25"/>
  <c r="H116" i="25" s="1"/>
  <c r="G74" i="25"/>
  <c r="F74" i="25"/>
  <c r="E74" i="25"/>
  <c r="E116" i="25" s="1"/>
  <c r="D74" i="25"/>
  <c r="K73" i="25"/>
  <c r="J73" i="25"/>
  <c r="I73" i="25"/>
  <c r="H73" i="25"/>
  <c r="G73" i="25"/>
  <c r="F73" i="25"/>
  <c r="E73" i="25"/>
  <c r="D73" i="25"/>
  <c r="K72" i="25"/>
  <c r="K114" i="25" s="1"/>
  <c r="J72" i="25"/>
  <c r="J114" i="25" s="1"/>
  <c r="I72" i="25"/>
  <c r="I114" i="25" s="1"/>
  <c r="H72" i="25"/>
  <c r="H114" i="25" s="1"/>
  <c r="G72" i="25"/>
  <c r="F72" i="25"/>
  <c r="E72" i="25"/>
  <c r="E114" i="25" s="1"/>
  <c r="D72" i="25"/>
  <c r="K71" i="25"/>
  <c r="J71" i="25"/>
  <c r="I71" i="25"/>
  <c r="H71" i="25"/>
  <c r="G71" i="25"/>
  <c r="F71" i="25"/>
  <c r="E71" i="25"/>
  <c r="D71" i="25"/>
  <c r="K70" i="25"/>
  <c r="K112" i="25" s="1"/>
  <c r="J70" i="25"/>
  <c r="J112" i="25" s="1"/>
  <c r="I70" i="25"/>
  <c r="H70" i="25"/>
  <c r="H112" i="25" s="1"/>
  <c r="G70" i="25"/>
  <c r="G112" i="25" s="1"/>
  <c r="F70" i="25"/>
  <c r="F112" i="25" s="1"/>
  <c r="E70" i="25"/>
  <c r="D70" i="25"/>
  <c r="K69" i="25"/>
  <c r="J69" i="25"/>
  <c r="J111" i="25" s="1"/>
  <c r="I69" i="25"/>
  <c r="H69" i="25"/>
  <c r="G69" i="25"/>
  <c r="F69" i="25"/>
  <c r="E69" i="25"/>
  <c r="E111" i="25" s="1"/>
  <c r="D69" i="25"/>
  <c r="K68" i="25"/>
  <c r="K110" i="25" s="1"/>
  <c r="J68" i="25"/>
  <c r="J110" i="25" s="1"/>
  <c r="I68" i="25"/>
  <c r="I110" i="25" s="1"/>
  <c r="H68" i="25"/>
  <c r="H110" i="25" s="1"/>
  <c r="G68" i="25"/>
  <c r="F68" i="25"/>
  <c r="E68" i="25"/>
  <c r="D68" i="25"/>
  <c r="K67" i="25"/>
  <c r="J67" i="25"/>
  <c r="J109" i="25" s="1"/>
  <c r="I67" i="25"/>
  <c r="H67" i="25"/>
  <c r="G67" i="25"/>
  <c r="F67" i="25"/>
  <c r="E67" i="25"/>
  <c r="D67" i="25"/>
  <c r="D109" i="25" s="1"/>
  <c r="K66" i="25"/>
  <c r="K108" i="25" s="1"/>
  <c r="J66" i="25"/>
  <c r="J108" i="25" s="1"/>
  <c r="I66" i="25"/>
  <c r="I108" i="25" s="1"/>
  <c r="H66" i="25"/>
  <c r="H108" i="25" s="1"/>
  <c r="G66" i="25"/>
  <c r="F66" i="25"/>
  <c r="F108" i="25" s="1"/>
  <c r="E66" i="25"/>
  <c r="E108" i="25" s="1"/>
  <c r="D66" i="25"/>
  <c r="D108" i="25" s="1"/>
  <c r="K65" i="25"/>
  <c r="J65" i="25"/>
  <c r="I65" i="25"/>
  <c r="H65" i="25"/>
  <c r="G65" i="25"/>
  <c r="F65" i="25"/>
  <c r="E65" i="25"/>
  <c r="D65" i="25"/>
  <c r="D107" i="25" s="1"/>
  <c r="K64" i="25"/>
  <c r="K106" i="25" s="1"/>
  <c r="J64" i="25"/>
  <c r="J106" i="25" s="1"/>
  <c r="I64" i="25"/>
  <c r="H64" i="25"/>
  <c r="H106" i="25" s="1"/>
  <c r="G64" i="25"/>
  <c r="F64" i="25"/>
  <c r="E64" i="25"/>
  <c r="D64" i="25"/>
  <c r="K63" i="25"/>
  <c r="J63" i="25"/>
  <c r="I63" i="25"/>
  <c r="H63" i="25"/>
  <c r="G63" i="25"/>
  <c r="F63" i="25"/>
  <c r="E63" i="25"/>
  <c r="E105" i="25" s="1"/>
  <c r="D63" i="25"/>
  <c r="D105" i="25" s="1"/>
  <c r="K62" i="25"/>
  <c r="K104" i="25" s="1"/>
  <c r="J62" i="25"/>
  <c r="J104" i="25" s="1"/>
  <c r="I62" i="25"/>
  <c r="I104" i="25" s="1"/>
  <c r="H62" i="25"/>
  <c r="H104" i="25" s="1"/>
  <c r="G62" i="25"/>
  <c r="F62" i="25"/>
  <c r="E62" i="25"/>
  <c r="D62" i="25"/>
  <c r="D104" i="25" s="1"/>
  <c r="K61" i="25"/>
  <c r="J61" i="25"/>
  <c r="I61" i="25"/>
  <c r="H61" i="25"/>
  <c r="G61" i="25"/>
  <c r="F61" i="25"/>
  <c r="E61" i="25"/>
  <c r="D61" i="25"/>
  <c r="D103" i="25" s="1"/>
  <c r="K60" i="25"/>
  <c r="K102" i="25" s="1"/>
  <c r="J60" i="25"/>
  <c r="J102" i="25" s="1"/>
  <c r="I60" i="25"/>
  <c r="I102" i="25" s="1"/>
  <c r="H60" i="25"/>
  <c r="H102" i="25" s="1"/>
  <c r="G60" i="25"/>
  <c r="F60" i="25"/>
  <c r="F102" i="25" s="1"/>
  <c r="E60" i="25"/>
  <c r="E102" i="25" s="1"/>
  <c r="D60" i="25"/>
  <c r="K59" i="25"/>
  <c r="J59" i="25"/>
  <c r="I59" i="25"/>
  <c r="H59" i="25"/>
  <c r="G59" i="25"/>
  <c r="G89" i="25" s="1"/>
  <c r="F59" i="25"/>
  <c r="E59" i="25"/>
  <c r="D59" i="25"/>
  <c r="D101" i="25" s="1"/>
  <c r="K58" i="25"/>
  <c r="J58" i="25"/>
  <c r="J89" i="25" s="1"/>
  <c r="I58" i="25"/>
  <c r="I89" i="25" s="1"/>
  <c r="H58" i="25"/>
  <c r="G58" i="25"/>
  <c r="F58" i="25"/>
  <c r="F89" i="25" s="1"/>
  <c r="E58" i="25"/>
  <c r="D58" i="25"/>
  <c r="C47" i="25"/>
  <c r="K46" i="25"/>
  <c r="K45" i="25"/>
  <c r="K297" i="25" s="1"/>
  <c r="J45" i="25"/>
  <c r="J214" i="25" s="1"/>
  <c r="I45" i="25"/>
  <c r="H45" i="25"/>
  <c r="H130" i="25" s="1"/>
  <c r="G45" i="25"/>
  <c r="F45" i="25"/>
  <c r="F297" i="25" s="1"/>
  <c r="E45" i="25"/>
  <c r="E130" i="25" s="1"/>
  <c r="D45" i="25"/>
  <c r="D130" i="25" s="1"/>
  <c r="K44" i="25"/>
  <c r="J44" i="25"/>
  <c r="J213" i="25" s="1"/>
  <c r="I44" i="25"/>
  <c r="I129" i="25" s="1"/>
  <c r="H44" i="25"/>
  <c r="H296" i="25" s="1"/>
  <c r="G44" i="25"/>
  <c r="G296" i="25" s="1"/>
  <c r="F44" i="25"/>
  <c r="F213" i="25" s="1"/>
  <c r="E44" i="25"/>
  <c r="E296" i="25" s="1"/>
  <c r="D44" i="25"/>
  <c r="K43" i="25"/>
  <c r="K295" i="25" s="1"/>
  <c r="J43" i="25"/>
  <c r="J212" i="25" s="1"/>
  <c r="I43" i="25"/>
  <c r="H43" i="25"/>
  <c r="G43" i="25"/>
  <c r="G128" i="25" s="1"/>
  <c r="F43" i="25"/>
  <c r="E43" i="25"/>
  <c r="E128" i="25" s="1"/>
  <c r="D43" i="25"/>
  <c r="K42" i="25"/>
  <c r="J42" i="25"/>
  <c r="I42" i="25"/>
  <c r="H42" i="25"/>
  <c r="G42" i="25"/>
  <c r="F42" i="25"/>
  <c r="E42" i="25"/>
  <c r="D42" i="25"/>
  <c r="D127" i="25" s="1"/>
  <c r="K41" i="25"/>
  <c r="K293" i="25" s="1"/>
  <c r="J41" i="25"/>
  <c r="J210" i="25" s="1"/>
  <c r="I41" i="25"/>
  <c r="H41" i="25"/>
  <c r="H126" i="25" s="1"/>
  <c r="G41" i="25"/>
  <c r="G210" i="25" s="1"/>
  <c r="F41" i="25"/>
  <c r="F293" i="25" s="1"/>
  <c r="E41" i="25"/>
  <c r="D41" i="25"/>
  <c r="K40" i="25"/>
  <c r="K209" i="25" s="1"/>
  <c r="J40" i="25"/>
  <c r="J209" i="25" s="1"/>
  <c r="I40" i="25"/>
  <c r="I125" i="25" s="1"/>
  <c r="H40" i="25"/>
  <c r="H292" i="25" s="1"/>
  <c r="G40" i="25"/>
  <c r="G292" i="25" s="1"/>
  <c r="F40" i="25"/>
  <c r="F209" i="25" s="1"/>
  <c r="E40" i="25"/>
  <c r="E292" i="25" s="1"/>
  <c r="D40" i="25"/>
  <c r="D125" i="25" s="1"/>
  <c r="K39" i="25"/>
  <c r="K291" i="25" s="1"/>
  <c r="J39" i="25"/>
  <c r="I39" i="25"/>
  <c r="H39" i="25"/>
  <c r="G39" i="25"/>
  <c r="G124" i="25" s="1"/>
  <c r="F39" i="25"/>
  <c r="F291" i="25" s="1"/>
  <c r="E39" i="25"/>
  <c r="D39" i="25"/>
  <c r="K38" i="25"/>
  <c r="J38" i="25"/>
  <c r="J207" i="25" s="1"/>
  <c r="I38" i="25"/>
  <c r="I123" i="25" s="1"/>
  <c r="H38" i="25"/>
  <c r="H290" i="25" s="1"/>
  <c r="G38" i="25"/>
  <c r="G290" i="25" s="1"/>
  <c r="F38" i="25"/>
  <c r="E38" i="25"/>
  <c r="E290" i="25" s="1"/>
  <c r="D38" i="25"/>
  <c r="D123" i="25" s="1"/>
  <c r="K37" i="25"/>
  <c r="K289" i="25" s="1"/>
  <c r="J37" i="25"/>
  <c r="I37" i="25"/>
  <c r="H37" i="25"/>
  <c r="G37" i="25"/>
  <c r="G206" i="25" s="1"/>
  <c r="F37" i="25"/>
  <c r="F289" i="25" s="1"/>
  <c r="E37" i="25"/>
  <c r="D37" i="25"/>
  <c r="K36" i="25"/>
  <c r="K205" i="25" s="1"/>
  <c r="J36" i="25"/>
  <c r="J205" i="25" s="1"/>
  <c r="I36" i="25"/>
  <c r="I121" i="25" s="1"/>
  <c r="H36" i="25"/>
  <c r="H288" i="25" s="1"/>
  <c r="G36" i="25"/>
  <c r="F36" i="25"/>
  <c r="E36" i="25"/>
  <c r="E205" i="25" s="1"/>
  <c r="D36" i="25"/>
  <c r="D121" i="25" s="1"/>
  <c r="K35" i="25"/>
  <c r="J35" i="25"/>
  <c r="J204" i="25" s="1"/>
  <c r="I35" i="25"/>
  <c r="H35" i="25"/>
  <c r="G35" i="25"/>
  <c r="G204" i="25" s="1"/>
  <c r="F35" i="25"/>
  <c r="E35" i="25"/>
  <c r="E120" i="25" s="1"/>
  <c r="D35" i="25"/>
  <c r="D120" i="25" s="1"/>
  <c r="K34" i="25"/>
  <c r="J34" i="25"/>
  <c r="J203" i="25" s="1"/>
  <c r="I34" i="25"/>
  <c r="I119" i="25" s="1"/>
  <c r="H34" i="25"/>
  <c r="H286" i="25" s="1"/>
  <c r="G34" i="25"/>
  <c r="G286" i="25" s="1"/>
  <c r="F34" i="25"/>
  <c r="E34" i="25"/>
  <c r="E203" i="25" s="1"/>
  <c r="D34" i="25"/>
  <c r="K33" i="25"/>
  <c r="J33" i="25"/>
  <c r="I33" i="25"/>
  <c r="H33" i="25"/>
  <c r="G33" i="25"/>
  <c r="G202" i="25" s="1"/>
  <c r="F33" i="25"/>
  <c r="F285" i="25" s="1"/>
  <c r="E33" i="25"/>
  <c r="E118" i="25" s="1"/>
  <c r="D33" i="25"/>
  <c r="D285" i="25" s="1"/>
  <c r="K32" i="25"/>
  <c r="K201" i="25" s="1"/>
  <c r="J32" i="25"/>
  <c r="I32" i="25"/>
  <c r="I117" i="25" s="1"/>
  <c r="H32" i="25"/>
  <c r="H284" i="25" s="1"/>
  <c r="G32" i="25"/>
  <c r="G284" i="25" s="1"/>
  <c r="F32" i="25"/>
  <c r="F201" i="25" s="1"/>
  <c r="E32" i="25"/>
  <c r="E117" i="25" s="1"/>
  <c r="D32" i="25"/>
  <c r="D284" i="25" s="1"/>
  <c r="K31" i="25"/>
  <c r="J31" i="25"/>
  <c r="I31" i="25"/>
  <c r="H31" i="25"/>
  <c r="G31" i="25"/>
  <c r="F31" i="25"/>
  <c r="F283" i="25" s="1"/>
  <c r="E31" i="25"/>
  <c r="D31" i="25"/>
  <c r="D116" i="25" s="1"/>
  <c r="K30" i="25"/>
  <c r="K199" i="25" s="1"/>
  <c r="J30" i="25"/>
  <c r="I30" i="25"/>
  <c r="I115" i="25" s="1"/>
  <c r="H30" i="25"/>
  <c r="H282" i="25" s="1"/>
  <c r="G30" i="25"/>
  <c r="G282" i="25" s="1"/>
  <c r="F30" i="25"/>
  <c r="E30" i="25"/>
  <c r="E282" i="25" s="1"/>
  <c r="D30" i="25"/>
  <c r="D115" i="25" s="1"/>
  <c r="K29" i="25"/>
  <c r="K281" i="25" s="1"/>
  <c r="J29" i="25"/>
  <c r="I29" i="25"/>
  <c r="H29" i="25"/>
  <c r="G29" i="25"/>
  <c r="G198" i="25" s="1"/>
  <c r="F29" i="25"/>
  <c r="F281" i="25" s="1"/>
  <c r="E29" i="25"/>
  <c r="D29" i="25"/>
  <c r="D114" i="25" s="1"/>
  <c r="K28" i="25"/>
  <c r="K197" i="25" s="1"/>
  <c r="J28" i="25"/>
  <c r="J197" i="25" s="1"/>
  <c r="I28" i="25"/>
  <c r="I113" i="25" s="1"/>
  <c r="H28" i="25"/>
  <c r="H280" i="25" s="1"/>
  <c r="G28" i="25"/>
  <c r="F28" i="25"/>
  <c r="F197" i="25" s="1"/>
  <c r="E28" i="25"/>
  <c r="E113" i="25" s="1"/>
  <c r="D28" i="25"/>
  <c r="D113" i="25" s="1"/>
  <c r="K27" i="25"/>
  <c r="K279" i="25" s="1"/>
  <c r="J27" i="25"/>
  <c r="J196" i="25" s="1"/>
  <c r="I27" i="25"/>
  <c r="H27" i="25"/>
  <c r="G27" i="25"/>
  <c r="F27" i="25"/>
  <c r="E27" i="25"/>
  <c r="D27" i="25"/>
  <c r="K26" i="25"/>
  <c r="K278" i="25" s="1"/>
  <c r="J26" i="25"/>
  <c r="I26" i="25"/>
  <c r="I111" i="25" s="1"/>
  <c r="H26" i="25"/>
  <c r="H278" i="25" s="1"/>
  <c r="G26" i="25"/>
  <c r="G278" i="25" s="1"/>
  <c r="F26" i="25"/>
  <c r="E26" i="25"/>
  <c r="E195" i="25" s="1"/>
  <c r="D26" i="25"/>
  <c r="D111" i="25" s="1"/>
  <c r="K25" i="25"/>
  <c r="K277" i="25" s="1"/>
  <c r="J25" i="25"/>
  <c r="J194" i="25" s="1"/>
  <c r="I25" i="25"/>
  <c r="H25" i="25"/>
  <c r="G25" i="25"/>
  <c r="G194" i="25" s="1"/>
  <c r="F25" i="25"/>
  <c r="F277" i="25" s="1"/>
  <c r="E25" i="25"/>
  <c r="E110" i="25" s="1"/>
  <c r="D25" i="25"/>
  <c r="D110" i="25" s="1"/>
  <c r="K24" i="25"/>
  <c r="K193" i="25" s="1"/>
  <c r="J24" i="25"/>
  <c r="J193" i="25" s="1"/>
  <c r="I24" i="25"/>
  <c r="I109" i="25" s="1"/>
  <c r="H24" i="25"/>
  <c r="H276" i="25" s="1"/>
  <c r="G24" i="25"/>
  <c r="G276" i="25" s="1"/>
  <c r="F24" i="25"/>
  <c r="E24" i="25"/>
  <c r="E193" i="25" s="1"/>
  <c r="D24" i="25"/>
  <c r="K23" i="25"/>
  <c r="K275" i="25" s="1"/>
  <c r="J23" i="25"/>
  <c r="J192" i="25" s="1"/>
  <c r="I23" i="25"/>
  <c r="H23" i="25"/>
  <c r="G23" i="25"/>
  <c r="F23" i="25"/>
  <c r="F275" i="25" s="1"/>
  <c r="E23" i="25"/>
  <c r="D23" i="25"/>
  <c r="K22" i="25"/>
  <c r="J22" i="25"/>
  <c r="J191" i="25" s="1"/>
  <c r="I22" i="25"/>
  <c r="I107" i="25" s="1"/>
  <c r="H22" i="25"/>
  <c r="H274" i="25" s="1"/>
  <c r="G22" i="25"/>
  <c r="G274" i="25" s="1"/>
  <c r="F22" i="25"/>
  <c r="E22" i="25"/>
  <c r="E107" i="25" s="1"/>
  <c r="D22" i="25"/>
  <c r="K21" i="25"/>
  <c r="K273" i="25" s="1"/>
  <c r="J21" i="25"/>
  <c r="I21" i="25"/>
  <c r="H21" i="25"/>
  <c r="G21" i="25"/>
  <c r="F21" i="25"/>
  <c r="F273" i="25" s="1"/>
  <c r="E21" i="25"/>
  <c r="E106" i="25" s="1"/>
  <c r="D21" i="25"/>
  <c r="D106" i="25" s="1"/>
  <c r="K20" i="25"/>
  <c r="K189" i="25" s="1"/>
  <c r="J20" i="25"/>
  <c r="J189" i="25" s="1"/>
  <c r="I20" i="25"/>
  <c r="I105" i="25" s="1"/>
  <c r="H20" i="25"/>
  <c r="H272" i="25" s="1"/>
  <c r="G20" i="25"/>
  <c r="G272" i="25" s="1"/>
  <c r="F20" i="25"/>
  <c r="F189" i="25" s="1"/>
  <c r="E20" i="25"/>
  <c r="D20" i="25"/>
  <c r="K19" i="25"/>
  <c r="K271" i="25" s="1"/>
  <c r="J19" i="25"/>
  <c r="J188" i="25" s="1"/>
  <c r="I19" i="25"/>
  <c r="H19" i="25"/>
  <c r="G19" i="25"/>
  <c r="G188" i="25" s="1"/>
  <c r="F19" i="25"/>
  <c r="F104" i="25" s="1"/>
  <c r="E19" i="25"/>
  <c r="E104" i="25" s="1"/>
  <c r="D19" i="25"/>
  <c r="K18" i="25"/>
  <c r="K187" i="25" s="1"/>
  <c r="J18" i="25"/>
  <c r="J103" i="25" s="1"/>
  <c r="I18" i="25"/>
  <c r="I103" i="25" s="1"/>
  <c r="H18" i="25"/>
  <c r="H270" i="25" s="1"/>
  <c r="G18" i="25"/>
  <c r="G270" i="25" s="1"/>
  <c r="F18" i="25"/>
  <c r="E18" i="25"/>
  <c r="E187" i="25" s="1"/>
  <c r="D18" i="25"/>
  <c r="K17" i="25"/>
  <c r="K269" i="25" s="1"/>
  <c r="J17" i="25"/>
  <c r="I17" i="25"/>
  <c r="H17" i="25"/>
  <c r="G17" i="25"/>
  <c r="G186" i="25" s="1"/>
  <c r="F17" i="25"/>
  <c r="F269" i="25" s="1"/>
  <c r="E17" i="25"/>
  <c r="E269" i="25" s="1"/>
  <c r="D17" i="25"/>
  <c r="D102" i="25" s="1"/>
  <c r="K16" i="25"/>
  <c r="K185" i="25" s="1"/>
  <c r="J16" i="25"/>
  <c r="J185" i="25" s="1"/>
  <c r="I16" i="25"/>
  <c r="I101" i="25" s="1"/>
  <c r="H16" i="25"/>
  <c r="G16" i="25"/>
  <c r="F16" i="25"/>
  <c r="E16" i="25"/>
  <c r="E101" i="25" s="1"/>
  <c r="D16" i="25"/>
  <c r="D185" i="25" s="1"/>
  <c r="K15" i="25"/>
  <c r="J15" i="25"/>
  <c r="J184" i="25" s="1"/>
  <c r="I15" i="25"/>
  <c r="H15" i="25"/>
  <c r="H46" i="25" s="1"/>
  <c r="G15" i="25"/>
  <c r="G184" i="25" s="1"/>
  <c r="F15" i="25"/>
  <c r="F267" i="25" s="1"/>
  <c r="E15" i="25"/>
  <c r="E46" i="25" s="1"/>
  <c r="D15" i="25"/>
  <c r="D100" i="25" s="1"/>
  <c r="U272" i="24"/>
  <c r="T272" i="24"/>
  <c r="S272" i="24"/>
  <c r="L272" i="24"/>
  <c r="E272" i="24"/>
  <c r="D272" i="24"/>
  <c r="F270" i="24"/>
  <c r="D270" i="24"/>
  <c r="F269" i="24"/>
  <c r="E269" i="24"/>
  <c r="K262" i="24"/>
  <c r="J262" i="24"/>
  <c r="H262" i="24"/>
  <c r="J256" i="24"/>
  <c r="Q255" i="24"/>
  <c r="H251" i="24"/>
  <c r="G251" i="24"/>
  <c r="V23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D236" i="24"/>
  <c r="V235" i="24"/>
  <c r="U235" i="24"/>
  <c r="T235" i="24"/>
  <c r="S235" i="24"/>
  <c r="R235" i="24"/>
  <c r="Q235" i="24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V234" i="24"/>
  <c r="U234" i="24"/>
  <c r="T234" i="24"/>
  <c r="S234" i="24"/>
  <c r="R234" i="24"/>
  <c r="Q234" i="24"/>
  <c r="P234" i="24"/>
  <c r="O234" i="24"/>
  <c r="N234" i="24"/>
  <c r="M234" i="24"/>
  <c r="L234" i="24"/>
  <c r="K234" i="24"/>
  <c r="J234" i="24"/>
  <c r="I234" i="24"/>
  <c r="H234" i="24"/>
  <c r="G234" i="24"/>
  <c r="F234" i="24"/>
  <c r="E234" i="24"/>
  <c r="D234" i="24"/>
  <c r="V233" i="24"/>
  <c r="U233" i="24"/>
  <c r="T233" i="24"/>
  <c r="S233" i="24"/>
  <c r="R233" i="24"/>
  <c r="R272" i="24" s="1"/>
  <c r="Q233" i="24"/>
  <c r="Q272" i="24" s="1"/>
  <c r="P233" i="24"/>
  <c r="P272" i="24" s="1"/>
  <c r="O233" i="24"/>
  <c r="O272" i="24" s="1"/>
  <c r="N233" i="24"/>
  <c r="N272" i="24" s="1"/>
  <c r="M233" i="24"/>
  <c r="M272" i="24" s="1"/>
  <c r="L233" i="24"/>
  <c r="K233" i="24"/>
  <c r="K272" i="24" s="1"/>
  <c r="J233" i="24"/>
  <c r="J272" i="24" s="1"/>
  <c r="I233" i="24"/>
  <c r="I272" i="24" s="1"/>
  <c r="H233" i="24"/>
  <c r="H272" i="24" s="1"/>
  <c r="G233" i="24"/>
  <c r="G272" i="24" s="1"/>
  <c r="F233" i="24"/>
  <c r="F272" i="24" s="1"/>
  <c r="E233" i="24"/>
  <c r="D233" i="24"/>
  <c r="V232" i="24"/>
  <c r="U232" i="24"/>
  <c r="T232" i="24"/>
  <c r="S232" i="24"/>
  <c r="R232" i="24"/>
  <c r="Q232" i="24"/>
  <c r="P232" i="24"/>
  <c r="O232" i="24"/>
  <c r="N232" i="24"/>
  <c r="M232" i="24"/>
  <c r="L232" i="24"/>
  <c r="K232" i="24"/>
  <c r="J232" i="24"/>
  <c r="I232" i="24"/>
  <c r="H232" i="24"/>
  <c r="G232" i="24"/>
  <c r="F232" i="24"/>
  <c r="E232" i="24"/>
  <c r="D232" i="24"/>
  <c r="V231" i="24"/>
  <c r="U231" i="24"/>
  <c r="T231" i="24"/>
  <c r="S231" i="24"/>
  <c r="R231" i="24"/>
  <c r="Q231" i="24"/>
  <c r="P231" i="24"/>
  <c r="O231" i="24"/>
  <c r="N231" i="24"/>
  <c r="M231" i="24"/>
  <c r="L231" i="24"/>
  <c r="K231" i="24"/>
  <c r="J231" i="24"/>
  <c r="I231" i="24"/>
  <c r="H231" i="24"/>
  <c r="G231" i="24"/>
  <c r="G270" i="24" s="1"/>
  <c r="F231" i="24"/>
  <c r="E231" i="24"/>
  <c r="E270" i="24" s="1"/>
  <c r="D231" i="24"/>
  <c r="V230" i="24"/>
  <c r="U230" i="24"/>
  <c r="T230" i="24"/>
  <c r="S230" i="24"/>
  <c r="R230" i="24"/>
  <c r="Q230" i="24"/>
  <c r="P230" i="24"/>
  <c r="O230" i="24"/>
  <c r="N230" i="24"/>
  <c r="M230" i="24"/>
  <c r="L230" i="24"/>
  <c r="K230" i="24"/>
  <c r="J230" i="24"/>
  <c r="I230" i="24"/>
  <c r="H230" i="24"/>
  <c r="G230" i="24"/>
  <c r="F230" i="24"/>
  <c r="E230" i="24"/>
  <c r="D230" i="24"/>
  <c r="V229" i="24"/>
  <c r="U229" i="24"/>
  <c r="T229" i="24"/>
  <c r="S229" i="24"/>
  <c r="R229" i="24"/>
  <c r="Q229" i="24"/>
  <c r="P229" i="24"/>
  <c r="O229" i="24"/>
  <c r="N229" i="24"/>
  <c r="M229" i="24"/>
  <c r="L229" i="24"/>
  <c r="K229" i="24"/>
  <c r="J229" i="24"/>
  <c r="I229" i="24"/>
  <c r="H229" i="24"/>
  <c r="G229" i="24"/>
  <c r="F229" i="24"/>
  <c r="E229" i="24"/>
  <c r="D229" i="24"/>
  <c r="V228" i="24"/>
  <c r="U228" i="24"/>
  <c r="T228" i="24"/>
  <c r="S228" i="24"/>
  <c r="R228" i="24"/>
  <c r="Q228" i="24"/>
  <c r="P228" i="24"/>
  <c r="O228" i="24"/>
  <c r="N228" i="24"/>
  <c r="M228" i="24"/>
  <c r="L228" i="24"/>
  <c r="K228" i="24"/>
  <c r="J228" i="24"/>
  <c r="I228" i="24"/>
  <c r="H228" i="24"/>
  <c r="G228" i="24"/>
  <c r="F228" i="24"/>
  <c r="E228" i="24"/>
  <c r="D228" i="24"/>
  <c r="V227" i="24"/>
  <c r="U227" i="24"/>
  <c r="T227" i="24"/>
  <c r="S227" i="24"/>
  <c r="R227" i="24"/>
  <c r="Q227" i="24"/>
  <c r="P227" i="24"/>
  <c r="O227" i="24"/>
  <c r="N227" i="24"/>
  <c r="M227" i="24"/>
  <c r="L227" i="24"/>
  <c r="K227" i="24"/>
  <c r="J227" i="24"/>
  <c r="I227" i="24"/>
  <c r="H227" i="24"/>
  <c r="G227" i="24"/>
  <c r="F227" i="24"/>
  <c r="E227" i="24"/>
  <c r="D227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F226" i="24"/>
  <c r="E226" i="24"/>
  <c r="D226" i="24"/>
  <c r="V225" i="24"/>
  <c r="U225" i="24"/>
  <c r="T225" i="24"/>
  <c r="S225" i="24"/>
  <c r="R225" i="24"/>
  <c r="Q225" i="24"/>
  <c r="P225" i="24"/>
  <c r="O225" i="24"/>
  <c r="N225" i="24"/>
  <c r="M225" i="24"/>
  <c r="L225" i="24"/>
  <c r="K225" i="24"/>
  <c r="J225" i="24"/>
  <c r="I225" i="24"/>
  <c r="H225" i="24"/>
  <c r="G225" i="24"/>
  <c r="F225" i="24"/>
  <c r="E225" i="24"/>
  <c r="D225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V223" i="24"/>
  <c r="U223" i="24"/>
  <c r="T223" i="24"/>
  <c r="S223" i="24"/>
  <c r="R223" i="24"/>
  <c r="Q223" i="24"/>
  <c r="P223" i="24"/>
  <c r="O223" i="24"/>
  <c r="O262" i="24" s="1"/>
  <c r="N223" i="24"/>
  <c r="M223" i="24"/>
  <c r="L223" i="24"/>
  <c r="K223" i="24"/>
  <c r="J223" i="24"/>
  <c r="I223" i="24"/>
  <c r="I262" i="24" s="1"/>
  <c r="H223" i="24"/>
  <c r="G223" i="24"/>
  <c r="G262" i="24" s="1"/>
  <c r="F223" i="24"/>
  <c r="E223" i="24"/>
  <c r="D223" i="24"/>
  <c r="V222" i="24"/>
  <c r="U222" i="24"/>
  <c r="T222" i="24"/>
  <c r="S222" i="24"/>
  <c r="R222" i="24"/>
  <c r="Q222" i="24"/>
  <c r="P222" i="24"/>
  <c r="O222" i="24"/>
  <c r="N222" i="24"/>
  <c r="M222" i="24"/>
  <c r="L222" i="24"/>
  <c r="K222" i="24"/>
  <c r="J222" i="24"/>
  <c r="I222" i="24"/>
  <c r="H222" i="24"/>
  <c r="G222" i="24"/>
  <c r="F222" i="24"/>
  <c r="E222" i="24"/>
  <c r="D222" i="24"/>
  <c r="V221" i="24"/>
  <c r="U221" i="24"/>
  <c r="T221" i="24"/>
  <c r="S221" i="24"/>
  <c r="R221" i="24"/>
  <c r="Q221" i="24"/>
  <c r="P221" i="24"/>
  <c r="O221" i="24"/>
  <c r="N221" i="24"/>
  <c r="M221" i="24"/>
  <c r="L221" i="24"/>
  <c r="K221" i="24"/>
  <c r="J221" i="24"/>
  <c r="I221" i="24"/>
  <c r="H221" i="24"/>
  <c r="G221" i="24"/>
  <c r="F221" i="24"/>
  <c r="E221" i="24"/>
  <c r="D221" i="24"/>
  <c r="R220" i="24"/>
  <c r="V219" i="24"/>
  <c r="U219" i="24"/>
  <c r="T219" i="24"/>
  <c r="S219" i="24"/>
  <c r="R219" i="24"/>
  <c r="Q219" i="24"/>
  <c r="P219" i="24"/>
  <c r="O219" i="24"/>
  <c r="N219" i="24"/>
  <c r="M219" i="24"/>
  <c r="L219" i="24"/>
  <c r="K219" i="24"/>
  <c r="J219" i="24"/>
  <c r="I219" i="24"/>
  <c r="H219" i="24"/>
  <c r="G219" i="24"/>
  <c r="F219" i="24"/>
  <c r="E219" i="24"/>
  <c r="D219" i="24"/>
  <c r="V218" i="24"/>
  <c r="U218" i="24"/>
  <c r="T218" i="24"/>
  <c r="S218" i="24"/>
  <c r="R218" i="24"/>
  <c r="Q218" i="24"/>
  <c r="P218" i="24"/>
  <c r="O218" i="24"/>
  <c r="N218" i="24"/>
  <c r="M218" i="24"/>
  <c r="L218" i="24"/>
  <c r="K218" i="24"/>
  <c r="J218" i="24"/>
  <c r="I218" i="24"/>
  <c r="H218" i="24"/>
  <c r="G218" i="24"/>
  <c r="F218" i="24"/>
  <c r="E218" i="24"/>
  <c r="D218" i="24"/>
  <c r="V217" i="24"/>
  <c r="U217" i="24"/>
  <c r="T217" i="24"/>
  <c r="S217" i="24"/>
  <c r="R217" i="24"/>
  <c r="Q217" i="24"/>
  <c r="P217" i="24"/>
  <c r="O217" i="24"/>
  <c r="N217" i="24"/>
  <c r="M217" i="24"/>
  <c r="L217" i="24"/>
  <c r="K217" i="24"/>
  <c r="J217" i="24"/>
  <c r="I217" i="24"/>
  <c r="H217" i="24"/>
  <c r="G217" i="24"/>
  <c r="G256" i="24" s="1"/>
  <c r="F217" i="24"/>
  <c r="F256" i="24" s="1"/>
  <c r="E217" i="24"/>
  <c r="E256" i="24" s="1"/>
  <c r="D217" i="24"/>
  <c r="D256" i="24" s="1"/>
  <c r="V216" i="24"/>
  <c r="U216" i="24"/>
  <c r="T216" i="24"/>
  <c r="S216" i="24"/>
  <c r="R216" i="24"/>
  <c r="Q216" i="24"/>
  <c r="P216" i="24"/>
  <c r="O216" i="24"/>
  <c r="N216" i="24"/>
  <c r="M216" i="24"/>
  <c r="L216" i="24"/>
  <c r="K216" i="24"/>
  <c r="J216" i="24"/>
  <c r="I216" i="24"/>
  <c r="H216" i="24"/>
  <c r="G216" i="24"/>
  <c r="F216" i="24"/>
  <c r="E216" i="24"/>
  <c r="D216" i="24"/>
  <c r="V215" i="24"/>
  <c r="U215" i="24"/>
  <c r="T215" i="24"/>
  <c r="S215" i="24"/>
  <c r="R215" i="24"/>
  <c r="Q215" i="24"/>
  <c r="P215" i="24"/>
  <c r="O215" i="24"/>
  <c r="N215" i="24"/>
  <c r="M215" i="24"/>
  <c r="L215" i="24"/>
  <c r="K215" i="24"/>
  <c r="J215" i="24"/>
  <c r="I215" i="24"/>
  <c r="H215" i="24"/>
  <c r="G215" i="24"/>
  <c r="F215" i="24"/>
  <c r="E215" i="24"/>
  <c r="D215" i="24"/>
  <c r="V214" i="24"/>
  <c r="U214" i="24"/>
  <c r="T214" i="24"/>
  <c r="S214" i="24"/>
  <c r="R214" i="24"/>
  <c r="Q214" i="24"/>
  <c r="P214" i="24"/>
  <c r="O214" i="24"/>
  <c r="N214" i="24"/>
  <c r="M214" i="24"/>
  <c r="L214" i="24"/>
  <c r="K214" i="24"/>
  <c r="J214" i="24"/>
  <c r="I214" i="24"/>
  <c r="H214" i="24"/>
  <c r="G214" i="24"/>
  <c r="F214" i="24"/>
  <c r="E214" i="24"/>
  <c r="D214" i="24"/>
  <c r="V213" i="24"/>
  <c r="U213" i="24"/>
  <c r="T213" i="24"/>
  <c r="S213" i="24"/>
  <c r="R213" i="24"/>
  <c r="Q213" i="24"/>
  <c r="P213" i="24"/>
  <c r="O213" i="24"/>
  <c r="N213" i="24"/>
  <c r="M213" i="24"/>
  <c r="L213" i="24"/>
  <c r="K213" i="24"/>
  <c r="J213" i="24"/>
  <c r="I213" i="24"/>
  <c r="H213" i="24"/>
  <c r="G213" i="24"/>
  <c r="F213" i="24"/>
  <c r="E213" i="24"/>
  <c r="D213" i="24"/>
  <c r="V212" i="24"/>
  <c r="U212" i="24"/>
  <c r="U237" i="24" s="1"/>
  <c r="T212" i="24"/>
  <c r="S212" i="24"/>
  <c r="R212" i="24"/>
  <c r="Q212" i="24"/>
  <c r="P212" i="24"/>
  <c r="O212" i="24"/>
  <c r="N212" i="24"/>
  <c r="M212" i="24"/>
  <c r="L212" i="24"/>
  <c r="K212" i="24"/>
  <c r="J212" i="24"/>
  <c r="I212" i="24"/>
  <c r="H212" i="24"/>
  <c r="G212" i="24"/>
  <c r="F212" i="24"/>
  <c r="F251" i="24" s="1"/>
  <c r="E212" i="24"/>
  <c r="E251" i="24" s="1"/>
  <c r="D212" i="24"/>
  <c r="D251" i="24" s="1"/>
  <c r="V211" i="24"/>
  <c r="U211" i="24"/>
  <c r="T211" i="24"/>
  <c r="S211" i="24"/>
  <c r="R211" i="24"/>
  <c r="Q211" i="24"/>
  <c r="P211" i="24"/>
  <c r="O211" i="24"/>
  <c r="N211" i="24"/>
  <c r="M211" i="24"/>
  <c r="L211" i="24"/>
  <c r="K211" i="24"/>
  <c r="J211" i="24"/>
  <c r="I211" i="24"/>
  <c r="H211" i="24"/>
  <c r="G211" i="24"/>
  <c r="F211" i="24"/>
  <c r="E211" i="24"/>
  <c r="D211" i="24"/>
  <c r="V210" i="24"/>
  <c r="U210" i="24"/>
  <c r="T210" i="24"/>
  <c r="S210" i="24"/>
  <c r="R210" i="24"/>
  <c r="Q210" i="24"/>
  <c r="P210" i="24"/>
  <c r="O210" i="24"/>
  <c r="N210" i="24"/>
  <c r="M210" i="24"/>
  <c r="L210" i="24"/>
  <c r="K210" i="24"/>
  <c r="J210" i="24"/>
  <c r="I210" i="24"/>
  <c r="H210" i="24"/>
  <c r="G210" i="24"/>
  <c r="F210" i="24"/>
  <c r="E210" i="24"/>
  <c r="D210" i="24"/>
  <c r="V209" i="24"/>
  <c r="U209" i="24"/>
  <c r="T209" i="24"/>
  <c r="S209" i="24"/>
  <c r="R209" i="24"/>
  <c r="Q209" i="24"/>
  <c r="P209" i="24"/>
  <c r="O209" i="24"/>
  <c r="O237" i="24" s="1"/>
  <c r="N209" i="24"/>
  <c r="M209" i="24"/>
  <c r="L209" i="24"/>
  <c r="K209" i="24"/>
  <c r="J209" i="24"/>
  <c r="I209" i="24"/>
  <c r="H209" i="24"/>
  <c r="G209" i="24"/>
  <c r="F209" i="24"/>
  <c r="E209" i="24"/>
  <c r="E237" i="24" s="1"/>
  <c r="D209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H237" i="24" s="1"/>
  <c r="G208" i="24"/>
  <c r="F208" i="24"/>
  <c r="E208" i="24"/>
  <c r="D208" i="24"/>
  <c r="S195" i="24"/>
  <c r="R195" i="24"/>
  <c r="L195" i="24"/>
  <c r="K195" i="24"/>
  <c r="G193" i="24"/>
  <c r="E193" i="24"/>
  <c r="D193" i="24"/>
  <c r="E192" i="24"/>
  <c r="E191" i="24"/>
  <c r="J185" i="24"/>
  <c r="V182" i="24"/>
  <c r="U182" i="24"/>
  <c r="T182" i="24"/>
  <c r="S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J179" i="24"/>
  <c r="T160" i="24"/>
  <c r="S160" i="24"/>
  <c r="V15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D159" i="24"/>
  <c r="V158" i="24"/>
  <c r="U158" i="24"/>
  <c r="T158" i="24"/>
  <c r="S158" i="24"/>
  <c r="R158" i="24"/>
  <c r="Q158" i="24"/>
  <c r="Q197" i="24" s="1"/>
  <c r="P158" i="24"/>
  <c r="O158" i="24"/>
  <c r="N158" i="24"/>
  <c r="M158" i="24"/>
  <c r="L158" i="24"/>
  <c r="K158" i="24"/>
  <c r="K197" i="24" s="1"/>
  <c r="J158" i="24"/>
  <c r="I158" i="24"/>
  <c r="H158" i="24"/>
  <c r="G158" i="24"/>
  <c r="F158" i="24"/>
  <c r="E158" i="24"/>
  <c r="D158" i="24"/>
  <c r="V157" i="24"/>
  <c r="U157" i="24"/>
  <c r="T157" i="24"/>
  <c r="S157" i="24"/>
  <c r="R157" i="24"/>
  <c r="Q157" i="24"/>
  <c r="P157" i="24"/>
  <c r="O157" i="24"/>
  <c r="N157" i="24"/>
  <c r="M157" i="24"/>
  <c r="M196" i="24" s="1"/>
  <c r="L157" i="24"/>
  <c r="K157" i="24"/>
  <c r="J157" i="24"/>
  <c r="I157" i="24"/>
  <c r="H157" i="24"/>
  <c r="G157" i="24"/>
  <c r="F157" i="24"/>
  <c r="E157" i="24"/>
  <c r="D157" i="24"/>
  <c r="V156" i="24"/>
  <c r="U156" i="24"/>
  <c r="U195" i="24" s="1"/>
  <c r="T156" i="24"/>
  <c r="T195" i="24" s="1"/>
  <c r="S156" i="24"/>
  <c r="R156" i="24"/>
  <c r="Q156" i="24"/>
  <c r="Q195" i="24" s="1"/>
  <c r="P156" i="24"/>
  <c r="P195" i="24" s="1"/>
  <c r="O156" i="24"/>
  <c r="O195" i="24" s="1"/>
  <c r="N156" i="24"/>
  <c r="N195" i="24" s="1"/>
  <c r="M156" i="24"/>
  <c r="M195" i="24" s="1"/>
  <c r="L156" i="24"/>
  <c r="K156" i="24"/>
  <c r="J156" i="24"/>
  <c r="J195" i="24" s="1"/>
  <c r="I156" i="24"/>
  <c r="I195" i="24" s="1"/>
  <c r="H156" i="24"/>
  <c r="H195" i="24" s="1"/>
  <c r="G156" i="24"/>
  <c r="G195" i="24" s="1"/>
  <c r="F156" i="24"/>
  <c r="F195" i="24" s="1"/>
  <c r="E156" i="24"/>
  <c r="E195" i="24" s="1"/>
  <c r="D156" i="24"/>
  <c r="D195" i="24" s="1"/>
  <c r="V155" i="24"/>
  <c r="U155" i="24"/>
  <c r="T155" i="24"/>
  <c r="S155" i="24"/>
  <c r="R155" i="24"/>
  <c r="Q155" i="24"/>
  <c r="P155" i="24"/>
  <c r="O155" i="24"/>
  <c r="N155" i="24"/>
  <c r="M155" i="24"/>
  <c r="L155" i="24"/>
  <c r="K155" i="24"/>
  <c r="K194" i="24" s="1"/>
  <c r="J155" i="24"/>
  <c r="J194" i="24" s="1"/>
  <c r="I155" i="24"/>
  <c r="H155" i="24"/>
  <c r="G155" i="24"/>
  <c r="F155" i="24"/>
  <c r="E155" i="24"/>
  <c r="D155" i="24"/>
  <c r="D194" i="24" s="1"/>
  <c r="V154" i="24"/>
  <c r="U154" i="24"/>
  <c r="T154" i="24"/>
  <c r="S154" i="24"/>
  <c r="R154" i="24"/>
  <c r="Q154" i="24"/>
  <c r="P154" i="24"/>
  <c r="O154" i="24"/>
  <c r="N154" i="24"/>
  <c r="M154" i="24"/>
  <c r="L154" i="24"/>
  <c r="K154" i="24"/>
  <c r="J154" i="24"/>
  <c r="I154" i="24"/>
  <c r="H154" i="24"/>
  <c r="G154" i="24"/>
  <c r="F154" i="24"/>
  <c r="F193" i="24" s="1"/>
  <c r="E154" i="24"/>
  <c r="D154" i="24"/>
  <c r="V153" i="24"/>
  <c r="U153" i="24"/>
  <c r="T153" i="24"/>
  <c r="S153" i="24"/>
  <c r="R153" i="24"/>
  <c r="R192" i="24" s="1"/>
  <c r="Q153" i="24"/>
  <c r="P153" i="24"/>
  <c r="O153" i="24"/>
  <c r="N153" i="24"/>
  <c r="M153" i="24"/>
  <c r="L153" i="24"/>
  <c r="K153" i="24"/>
  <c r="J153" i="24"/>
  <c r="I153" i="24"/>
  <c r="H153" i="24"/>
  <c r="G153" i="24"/>
  <c r="F153" i="24"/>
  <c r="F192" i="24" s="1"/>
  <c r="E153" i="24"/>
  <c r="D153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J152" i="24"/>
  <c r="I152" i="24"/>
  <c r="H152" i="24"/>
  <c r="G152" i="24"/>
  <c r="F152" i="24"/>
  <c r="E152" i="24"/>
  <c r="D152" i="24"/>
  <c r="V151" i="24"/>
  <c r="U151" i="24"/>
  <c r="T151" i="24"/>
  <c r="S151" i="24"/>
  <c r="R151" i="24"/>
  <c r="Q151" i="24"/>
  <c r="P151" i="24"/>
  <c r="O151" i="24"/>
  <c r="O190" i="24" s="1"/>
  <c r="N151" i="24"/>
  <c r="M151" i="24"/>
  <c r="L151" i="24"/>
  <c r="K151" i="24"/>
  <c r="J151" i="24"/>
  <c r="I151" i="24"/>
  <c r="H151" i="24"/>
  <c r="G151" i="24"/>
  <c r="F151" i="24"/>
  <c r="E151" i="24"/>
  <c r="D151" i="24"/>
  <c r="V150" i="24"/>
  <c r="U150" i="24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V149" i="24"/>
  <c r="U149" i="24"/>
  <c r="U188" i="24" s="1"/>
  <c r="T149" i="24"/>
  <c r="S149" i="24"/>
  <c r="R149" i="24"/>
  <c r="Q149" i="24"/>
  <c r="P149" i="24"/>
  <c r="O149" i="24"/>
  <c r="N149" i="24"/>
  <c r="M149" i="24"/>
  <c r="M188" i="24" s="1"/>
  <c r="L149" i="24"/>
  <c r="K149" i="24"/>
  <c r="J149" i="24"/>
  <c r="I149" i="24"/>
  <c r="H149" i="24"/>
  <c r="G149" i="24"/>
  <c r="F149" i="24"/>
  <c r="E149" i="24"/>
  <c r="D149" i="24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148" i="24"/>
  <c r="V147" i="24"/>
  <c r="U147" i="24"/>
  <c r="T147" i="24"/>
  <c r="T186" i="24" s="1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D147" i="24"/>
  <c r="D186" i="24" s="1"/>
  <c r="V146" i="24"/>
  <c r="U146" i="24"/>
  <c r="T146" i="24"/>
  <c r="S146" i="24"/>
  <c r="R146" i="24"/>
  <c r="Q146" i="24"/>
  <c r="P146" i="24"/>
  <c r="O146" i="24"/>
  <c r="O185" i="24" s="1"/>
  <c r="N146" i="24"/>
  <c r="M146" i="24"/>
  <c r="L146" i="24"/>
  <c r="K146" i="24"/>
  <c r="K185" i="24" s="1"/>
  <c r="J146" i="24"/>
  <c r="I146" i="24"/>
  <c r="I185" i="24" s="1"/>
  <c r="H146" i="24"/>
  <c r="H185" i="24" s="1"/>
  <c r="G146" i="24"/>
  <c r="G185" i="24" s="1"/>
  <c r="F146" i="24"/>
  <c r="E146" i="24"/>
  <c r="D146" i="24"/>
  <c r="V145" i="24"/>
  <c r="U145" i="24"/>
  <c r="T145" i="24"/>
  <c r="S145" i="24"/>
  <c r="R145" i="24"/>
  <c r="Q145" i="24"/>
  <c r="P145" i="24"/>
  <c r="O145" i="24"/>
  <c r="N145" i="24"/>
  <c r="M145" i="24"/>
  <c r="L145" i="24"/>
  <c r="K145" i="24"/>
  <c r="J145" i="24"/>
  <c r="I145" i="24"/>
  <c r="H145" i="24"/>
  <c r="G145" i="24"/>
  <c r="F145" i="24"/>
  <c r="E145" i="24"/>
  <c r="D145" i="24"/>
  <c r="V144" i="24"/>
  <c r="U144" i="24"/>
  <c r="T144" i="24"/>
  <c r="T183" i="24" s="1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E144" i="24"/>
  <c r="D144" i="24"/>
  <c r="D183" i="24" s="1"/>
  <c r="R143" i="24"/>
  <c r="R182" i="24" s="1"/>
  <c r="V142" i="24"/>
  <c r="U142" i="24"/>
  <c r="T142" i="24"/>
  <c r="S142" i="24"/>
  <c r="R142" i="24"/>
  <c r="Q142" i="24"/>
  <c r="P142" i="24"/>
  <c r="P181" i="24" s="1"/>
  <c r="O142" i="24"/>
  <c r="N142" i="24"/>
  <c r="M142" i="24"/>
  <c r="L142" i="24"/>
  <c r="K142" i="24"/>
  <c r="J142" i="24"/>
  <c r="I142" i="24"/>
  <c r="H142" i="24"/>
  <c r="H181" i="24" s="1"/>
  <c r="G142" i="24"/>
  <c r="F142" i="24"/>
  <c r="E142" i="24"/>
  <c r="D142" i="24"/>
  <c r="V141" i="24"/>
  <c r="U141" i="24"/>
  <c r="T141" i="24"/>
  <c r="S141" i="24"/>
  <c r="S180" i="24" s="1"/>
  <c r="R141" i="24"/>
  <c r="Q141" i="24"/>
  <c r="P141" i="24"/>
  <c r="O141" i="24"/>
  <c r="N141" i="24"/>
  <c r="M141" i="24"/>
  <c r="L141" i="24"/>
  <c r="K141" i="24"/>
  <c r="K180" i="24" s="1"/>
  <c r="J141" i="24"/>
  <c r="I141" i="24"/>
  <c r="H141" i="24"/>
  <c r="G141" i="24"/>
  <c r="F141" i="24"/>
  <c r="E141" i="24"/>
  <c r="D141" i="24"/>
  <c r="V140" i="24"/>
  <c r="V179" i="24" s="1"/>
  <c r="U140" i="24"/>
  <c r="T140" i="24"/>
  <c r="S140" i="24"/>
  <c r="R140" i="24"/>
  <c r="Q140" i="24"/>
  <c r="P140" i="24"/>
  <c r="O140" i="24"/>
  <c r="N140" i="24"/>
  <c r="N179" i="24" s="1"/>
  <c r="M140" i="24"/>
  <c r="L140" i="24"/>
  <c r="K140" i="24"/>
  <c r="J140" i="24"/>
  <c r="I140" i="24"/>
  <c r="H140" i="24"/>
  <c r="G140" i="24"/>
  <c r="G179" i="24" s="1"/>
  <c r="F140" i="24"/>
  <c r="F179" i="24" s="1"/>
  <c r="E140" i="24"/>
  <c r="E179" i="24" s="1"/>
  <c r="D140" i="24"/>
  <c r="D179" i="24" s="1"/>
  <c r="V139" i="24"/>
  <c r="U139" i="24"/>
  <c r="T139" i="24"/>
  <c r="S139" i="24"/>
  <c r="R139" i="24"/>
  <c r="Q139" i="24"/>
  <c r="Q178" i="24" s="1"/>
  <c r="P139" i="24"/>
  <c r="O139" i="24"/>
  <c r="N139" i="24"/>
  <c r="M139" i="24"/>
  <c r="L139" i="24"/>
  <c r="K139" i="24"/>
  <c r="J139" i="24"/>
  <c r="I139" i="24"/>
  <c r="I178" i="24" s="1"/>
  <c r="H139" i="24"/>
  <c r="G139" i="24"/>
  <c r="F139" i="24"/>
  <c r="E139" i="24"/>
  <c r="D139" i="24"/>
  <c r="V138" i="24"/>
  <c r="U138" i="24"/>
  <c r="T138" i="24"/>
  <c r="T177" i="24" s="1"/>
  <c r="S138" i="24"/>
  <c r="R138" i="24"/>
  <c r="Q138" i="24"/>
  <c r="P138" i="24"/>
  <c r="O138" i="24"/>
  <c r="N138" i="24"/>
  <c r="M138" i="24"/>
  <c r="L138" i="24"/>
  <c r="L177" i="24" s="1"/>
  <c r="K138" i="24"/>
  <c r="J138" i="24"/>
  <c r="I138" i="24"/>
  <c r="H138" i="24"/>
  <c r="G138" i="24"/>
  <c r="F138" i="24"/>
  <c r="E138" i="24"/>
  <c r="D138" i="24"/>
  <c r="D177" i="24" s="1"/>
  <c r="V137" i="24"/>
  <c r="U137" i="24"/>
  <c r="T137" i="24"/>
  <c r="S137" i="24"/>
  <c r="R137" i="24"/>
  <c r="Q137" i="24"/>
  <c r="P137" i="24"/>
  <c r="O137" i="24"/>
  <c r="O176" i="24" s="1"/>
  <c r="N137" i="24"/>
  <c r="M137" i="24"/>
  <c r="L137" i="24"/>
  <c r="K137" i="24"/>
  <c r="J137" i="24"/>
  <c r="I137" i="24"/>
  <c r="H137" i="24"/>
  <c r="G137" i="24"/>
  <c r="G176" i="24" s="1"/>
  <c r="F137" i="24"/>
  <c r="E137" i="24"/>
  <c r="D137" i="24"/>
  <c r="V136" i="24"/>
  <c r="U136" i="24"/>
  <c r="T136" i="24"/>
  <c r="S136" i="24"/>
  <c r="R136" i="24"/>
  <c r="R175" i="24" s="1"/>
  <c r="Q136" i="24"/>
  <c r="P136" i="24"/>
  <c r="O136" i="24"/>
  <c r="N136" i="24"/>
  <c r="M136" i="24"/>
  <c r="L136" i="24"/>
  <c r="K136" i="24"/>
  <c r="J136" i="24"/>
  <c r="J175" i="24" s="1"/>
  <c r="I136" i="24"/>
  <c r="H136" i="24"/>
  <c r="G136" i="24"/>
  <c r="F136" i="24"/>
  <c r="E136" i="24"/>
  <c r="D136" i="24"/>
  <c r="V135" i="24"/>
  <c r="U135" i="24"/>
  <c r="U174" i="24" s="1"/>
  <c r="T135" i="24"/>
  <c r="S135" i="24"/>
  <c r="R135" i="24"/>
  <c r="Q135" i="24"/>
  <c r="P135" i="24"/>
  <c r="O135" i="24"/>
  <c r="N135" i="24"/>
  <c r="M135" i="24"/>
  <c r="M174" i="24" s="1"/>
  <c r="L135" i="24"/>
  <c r="K135" i="24"/>
  <c r="J135" i="24"/>
  <c r="I135" i="24"/>
  <c r="H135" i="24"/>
  <c r="H174" i="24" s="1"/>
  <c r="G135" i="24"/>
  <c r="F135" i="24"/>
  <c r="F174" i="24" s="1"/>
  <c r="E135" i="24"/>
  <c r="E174" i="24" s="1"/>
  <c r="D135" i="24"/>
  <c r="V134" i="24"/>
  <c r="U134" i="24"/>
  <c r="T134" i="24"/>
  <c r="S134" i="24"/>
  <c r="R134" i="24"/>
  <c r="Q134" i="24"/>
  <c r="P134" i="24"/>
  <c r="P173" i="24" s="1"/>
  <c r="O134" i="24"/>
  <c r="N134" i="24"/>
  <c r="M134" i="24"/>
  <c r="L134" i="24"/>
  <c r="K134" i="24"/>
  <c r="J134" i="24"/>
  <c r="I134" i="24"/>
  <c r="H134" i="24"/>
  <c r="H173" i="24" s="1"/>
  <c r="G134" i="24"/>
  <c r="F134" i="24"/>
  <c r="E134" i="24"/>
  <c r="D134" i="24"/>
  <c r="V133" i="24"/>
  <c r="U133" i="24"/>
  <c r="T133" i="24"/>
  <c r="S133" i="24"/>
  <c r="S172" i="24" s="1"/>
  <c r="R133" i="24"/>
  <c r="Q133" i="24"/>
  <c r="P133" i="24"/>
  <c r="O133" i="24"/>
  <c r="N133" i="24"/>
  <c r="M133" i="24"/>
  <c r="L133" i="24"/>
  <c r="K133" i="24"/>
  <c r="K172" i="24" s="1"/>
  <c r="J133" i="24"/>
  <c r="I133" i="24"/>
  <c r="H133" i="24"/>
  <c r="G133" i="24"/>
  <c r="F133" i="24"/>
  <c r="E133" i="24"/>
  <c r="D133" i="24"/>
  <c r="V132" i="24"/>
  <c r="V171" i="24" s="1"/>
  <c r="U132" i="24"/>
  <c r="T132" i="24"/>
  <c r="S132" i="24"/>
  <c r="R132" i="24"/>
  <c r="Q132" i="24"/>
  <c r="P132" i="24"/>
  <c r="O132" i="24"/>
  <c r="N132" i="24"/>
  <c r="N171" i="24" s="1"/>
  <c r="M132" i="24"/>
  <c r="L132" i="24"/>
  <c r="K132" i="24"/>
  <c r="J132" i="24"/>
  <c r="I132" i="24"/>
  <c r="H132" i="24"/>
  <c r="G132" i="24"/>
  <c r="F132" i="24"/>
  <c r="F171" i="24" s="1"/>
  <c r="E132" i="24"/>
  <c r="D132" i="24"/>
  <c r="V131" i="24"/>
  <c r="U131" i="24"/>
  <c r="T131" i="24"/>
  <c r="S131" i="24"/>
  <c r="R131" i="24"/>
  <c r="Q131" i="24"/>
  <c r="P131" i="24"/>
  <c r="O131" i="24"/>
  <c r="N131" i="24"/>
  <c r="M131" i="24"/>
  <c r="L131" i="24"/>
  <c r="K131" i="24"/>
  <c r="J131" i="24"/>
  <c r="I131" i="24"/>
  <c r="H131" i="24"/>
  <c r="G131" i="24"/>
  <c r="F131" i="24"/>
  <c r="E131" i="24"/>
  <c r="D131" i="24"/>
  <c r="T120" i="24"/>
  <c r="Q118" i="24"/>
  <c r="P118" i="24"/>
  <c r="N118" i="24"/>
  <c r="R117" i="24"/>
  <c r="Q117" i="24"/>
  <c r="G115" i="24"/>
  <c r="M114" i="24"/>
  <c r="F114" i="24"/>
  <c r="M113" i="24"/>
  <c r="P112" i="24"/>
  <c r="S111" i="24"/>
  <c r="V110" i="24"/>
  <c r="K109" i="24"/>
  <c r="J109" i="24"/>
  <c r="I109" i="24"/>
  <c r="L108" i="24"/>
  <c r="O107" i="24"/>
  <c r="J106" i="24"/>
  <c r="U105" i="24"/>
  <c r="T105" i="24"/>
  <c r="V104" i="24"/>
  <c r="U104" i="24"/>
  <c r="T104" i="24"/>
  <c r="S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S102" i="24"/>
  <c r="N102" i="24"/>
  <c r="M102" i="24"/>
  <c r="G101" i="24"/>
  <c r="F101" i="24"/>
  <c r="I100" i="24"/>
  <c r="T99" i="24"/>
  <c r="S99" i="24"/>
  <c r="N97" i="24"/>
  <c r="H97" i="24"/>
  <c r="U96" i="24"/>
  <c r="F96" i="24"/>
  <c r="E96" i="24"/>
  <c r="J95" i="24"/>
  <c r="I95" i="24"/>
  <c r="H95" i="24"/>
  <c r="K94" i="24"/>
  <c r="N93" i="24"/>
  <c r="Q92" i="24"/>
  <c r="V81" i="24"/>
  <c r="U81" i="24"/>
  <c r="T81" i="24"/>
  <c r="S81" i="24"/>
  <c r="S120" i="24" s="1"/>
  <c r="R81" i="24"/>
  <c r="Q81" i="24"/>
  <c r="P81" i="24"/>
  <c r="O81" i="24"/>
  <c r="N81" i="24"/>
  <c r="M81" i="24"/>
  <c r="M120" i="24" s="1"/>
  <c r="L81" i="24"/>
  <c r="L120" i="24" s="1"/>
  <c r="K81" i="24"/>
  <c r="K120" i="24" s="1"/>
  <c r="J81" i="24"/>
  <c r="I81" i="24"/>
  <c r="H81" i="24"/>
  <c r="G81" i="24"/>
  <c r="G120" i="24" s="1"/>
  <c r="F81" i="24"/>
  <c r="E81" i="24"/>
  <c r="D81" i="24"/>
  <c r="D120" i="24" s="1"/>
  <c r="V80" i="24"/>
  <c r="V119" i="24" s="1"/>
  <c r="U80" i="24"/>
  <c r="T80" i="24"/>
  <c r="S80" i="24"/>
  <c r="R80" i="24"/>
  <c r="Q80" i="24"/>
  <c r="Q119" i="24" s="1"/>
  <c r="P80" i="24"/>
  <c r="P119" i="24" s="1"/>
  <c r="O80" i="24"/>
  <c r="N80" i="24"/>
  <c r="N119" i="24" s="1"/>
  <c r="M80" i="24"/>
  <c r="L80" i="24"/>
  <c r="K80" i="24"/>
  <c r="J80" i="24"/>
  <c r="J119" i="24" s="1"/>
  <c r="I80" i="24"/>
  <c r="H80" i="24"/>
  <c r="G80" i="24"/>
  <c r="G119" i="24" s="1"/>
  <c r="F80" i="24"/>
  <c r="F119" i="24" s="1"/>
  <c r="E80" i="24"/>
  <c r="D80" i="24"/>
  <c r="V79" i="24"/>
  <c r="U79" i="24"/>
  <c r="T79" i="24"/>
  <c r="S79" i="24"/>
  <c r="S118" i="24" s="1"/>
  <c r="R79" i="24"/>
  <c r="Q79" i="24"/>
  <c r="P79" i="24"/>
  <c r="O79" i="24"/>
  <c r="N79" i="24"/>
  <c r="M79" i="24"/>
  <c r="M118" i="24" s="1"/>
  <c r="L79" i="24"/>
  <c r="K79" i="24"/>
  <c r="J79" i="24"/>
  <c r="J118" i="24" s="1"/>
  <c r="I79" i="24"/>
  <c r="I118" i="24" s="1"/>
  <c r="H79" i="24"/>
  <c r="G79" i="24"/>
  <c r="F79" i="24"/>
  <c r="E79" i="24"/>
  <c r="D79" i="24"/>
  <c r="V78" i="24"/>
  <c r="V117" i="24" s="1"/>
  <c r="U78" i="24"/>
  <c r="U117" i="24" s="1"/>
  <c r="T78" i="24"/>
  <c r="T117" i="24" s="1"/>
  <c r="S78" i="24"/>
  <c r="S117" i="24" s="1"/>
  <c r="R78" i="24"/>
  <c r="Q78" i="24"/>
  <c r="P78" i="24"/>
  <c r="P117" i="24" s="1"/>
  <c r="O78" i="24"/>
  <c r="O117" i="24" s="1"/>
  <c r="N78" i="24"/>
  <c r="N117" i="24" s="1"/>
  <c r="M78" i="24"/>
  <c r="M117" i="24" s="1"/>
  <c r="L78" i="24"/>
  <c r="L117" i="24" s="1"/>
  <c r="K78" i="24"/>
  <c r="K117" i="24" s="1"/>
  <c r="J78" i="24"/>
  <c r="J117" i="24" s="1"/>
  <c r="I78" i="24"/>
  <c r="I117" i="24" s="1"/>
  <c r="H78" i="24"/>
  <c r="H117" i="24" s="1"/>
  <c r="G78" i="24"/>
  <c r="G117" i="24" s="1"/>
  <c r="F78" i="24"/>
  <c r="F117" i="24" s="1"/>
  <c r="E78" i="24"/>
  <c r="E117" i="24" s="1"/>
  <c r="D78" i="24"/>
  <c r="D117" i="24" s="1"/>
  <c r="V77" i="24"/>
  <c r="U77" i="24"/>
  <c r="T77" i="24"/>
  <c r="T116" i="24" s="1"/>
  <c r="S77" i="24"/>
  <c r="S116" i="24" s="1"/>
  <c r="R77" i="24"/>
  <c r="Q77" i="24"/>
  <c r="Q116" i="24" s="1"/>
  <c r="P77" i="24"/>
  <c r="P116" i="24" s="1"/>
  <c r="O77" i="24"/>
  <c r="O116" i="24" s="1"/>
  <c r="N77" i="24"/>
  <c r="M77" i="24"/>
  <c r="L77" i="24"/>
  <c r="K77" i="24"/>
  <c r="J77" i="24"/>
  <c r="I77" i="24"/>
  <c r="I116" i="24" s="1"/>
  <c r="H77" i="24"/>
  <c r="H116" i="24" s="1"/>
  <c r="G77" i="24"/>
  <c r="G116" i="24" s="1"/>
  <c r="F77" i="24"/>
  <c r="E77" i="24"/>
  <c r="D77" i="24"/>
  <c r="V76" i="24"/>
  <c r="V115" i="24" s="1"/>
  <c r="U76" i="24"/>
  <c r="T76" i="24"/>
  <c r="S76" i="24"/>
  <c r="S115" i="24" s="1"/>
  <c r="R76" i="24"/>
  <c r="R115" i="24" s="1"/>
  <c r="Q76" i="24"/>
  <c r="P76" i="24"/>
  <c r="O76" i="24"/>
  <c r="N76" i="24"/>
  <c r="M76" i="24"/>
  <c r="M115" i="24" s="1"/>
  <c r="L76" i="24"/>
  <c r="L115" i="24" s="1"/>
  <c r="K76" i="24"/>
  <c r="J76" i="24"/>
  <c r="J115" i="24" s="1"/>
  <c r="I76" i="24"/>
  <c r="H76" i="24"/>
  <c r="G76" i="24"/>
  <c r="F76" i="24"/>
  <c r="F115" i="24" s="1"/>
  <c r="E76" i="24"/>
  <c r="E115" i="24" s="1"/>
  <c r="D76" i="24"/>
  <c r="D115" i="24" s="1"/>
  <c r="V75" i="24"/>
  <c r="V114" i="24" s="1"/>
  <c r="U75" i="24"/>
  <c r="U114" i="24" s="1"/>
  <c r="T75" i="24"/>
  <c r="S75" i="24"/>
  <c r="R75" i="24"/>
  <c r="Q75" i="24"/>
  <c r="P75" i="24"/>
  <c r="O75" i="24"/>
  <c r="O114" i="24" s="1"/>
  <c r="N75" i="24"/>
  <c r="M75" i="24"/>
  <c r="L75" i="24"/>
  <c r="K75" i="24"/>
  <c r="J75" i="24"/>
  <c r="I75" i="24"/>
  <c r="I114" i="24" s="1"/>
  <c r="H75" i="24"/>
  <c r="G75" i="24"/>
  <c r="F75" i="24"/>
  <c r="E75" i="24"/>
  <c r="E114" i="24" s="1"/>
  <c r="D75" i="24"/>
  <c r="D114" i="24" s="1"/>
  <c r="V74" i="24"/>
  <c r="U74" i="24"/>
  <c r="T74" i="24"/>
  <c r="S74" i="24"/>
  <c r="R74" i="24"/>
  <c r="R113" i="24" s="1"/>
  <c r="Q74" i="24"/>
  <c r="Q113" i="24" s="1"/>
  <c r="P74" i="24"/>
  <c r="O74" i="24"/>
  <c r="N74" i="24"/>
  <c r="M74" i="24"/>
  <c r="L74" i="24"/>
  <c r="L113" i="24" s="1"/>
  <c r="K74" i="24"/>
  <c r="J74" i="24"/>
  <c r="I74" i="24"/>
  <c r="I113" i="24" s="1"/>
  <c r="H74" i="24"/>
  <c r="H113" i="24" s="1"/>
  <c r="G74" i="24"/>
  <c r="G113" i="24" s="1"/>
  <c r="F74" i="24"/>
  <c r="E74" i="24"/>
  <c r="D74" i="24"/>
  <c r="V73" i="24"/>
  <c r="V112" i="24" s="1"/>
  <c r="U73" i="24"/>
  <c r="U112" i="24" s="1"/>
  <c r="T73" i="24"/>
  <c r="T112" i="24" s="1"/>
  <c r="S73" i="24"/>
  <c r="S112" i="24" s="1"/>
  <c r="R73" i="24"/>
  <c r="Q73" i="24"/>
  <c r="P73" i="24"/>
  <c r="O73" i="24"/>
  <c r="O112" i="24" s="1"/>
  <c r="N73" i="24"/>
  <c r="N112" i="24" s="1"/>
  <c r="M73" i="24"/>
  <c r="M112" i="24" s="1"/>
  <c r="L73" i="24"/>
  <c r="L112" i="24" s="1"/>
  <c r="K73" i="24"/>
  <c r="K112" i="24" s="1"/>
  <c r="J73" i="24"/>
  <c r="J112" i="24" s="1"/>
  <c r="I73" i="24"/>
  <c r="H73" i="24"/>
  <c r="G73" i="24"/>
  <c r="F73" i="24"/>
  <c r="E73" i="24"/>
  <c r="E112" i="24" s="1"/>
  <c r="D73" i="24"/>
  <c r="V72" i="24"/>
  <c r="U72" i="24"/>
  <c r="T72" i="24"/>
  <c r="S72" i="24"/>
  <c r="R72" i="24"/>
  <c r="R111" i="24" s="1"/>
  <c r="Q72" i="24"/>
  <c r="P72" i="24"/>
  <c r="O72" i="24"/>
  <c r="O111" i="24" s="1"/>
  <c r="N72" i="24"/>
  <c r="N111" i="24" s="1"/>
  <c r="M72" i="24"/>
  <c r="M111" i="24" s="1"/>
  <c r="L72" i="24"/>
  <c r="K72" i="24"/>
  <c r="J72" i="24"/>
  <c r="I72" i="24"/>
  <c r="H72" i="24"/>
  <c r="H111" i="24" s="1"/>
  <c r="G72" i="24"/>
  <c r="G111" i="24" s="1"/>
  <c r="F72" i="24"/>
  <c r="F111" i="24" s="1"/>
  <c r="E72" i="24"/>
  <c r="D72" i="24"/>
  <c r="V71" i="24"/>
  <c r="U71" i="24"/>
  <c r="U110" i="24" s="1"/>
  <c r="T71" i="24"/>
  <c r="S71" i="24"/>
  <c r="R71" i="24"/>
  <c r="R110" i="24" s="1"/>
  <c r="Q71" i="24"/>
  <c r="Q110" i="24" s="1"/>
  <c r="P71" i="24"/>
  <c r="P110" i="24" s="1"/>
  <c r="O71" i="24"/>
  <c r="N71" i="24"/>
  <c r="M71" i="24"/>
  <c r="L71" i="24"/>
  <c r="K71" i="24"/>
  <c r="K110" i="24" s="1"/>
  <c r="J71" i="24"/>
  <c r="I71" i="24"/>
  <c r="I110" i="24" s="1"/>
  <c r="H71" i="24"/>
  <c r="G71" i="24"/>
  <c r="F71" i="24"/>
  <c r="F110" i="24" s="1"/>
  <c r="E71" i="24"/>
  <c r="E110" i="24" s="1"/>
  <c r="D71" i="24"/>
  <c r="V70" i="24"/>
  <c r="U70" i="24"/>
  <c r="U109" i="24" s="1"/>
  <c r="T70" i="24"/>
  <c r="T109" i="24" s="1"/>
  <c r="S70" i="24"/>
  <c r="S109" i="24" s="1"/>
  <c r="R70" i="24"/>
  <c r="Q70" i="24"/>
  <c r="P70" i="24"/>
  <c r="O70" i="24"/>
  <c r="N70" i="24"/>
  <c r="N109" i="24" s="1"/>
  <c r="M70" i="24"/>
  <c r="L70" i="24"/>
  <c r="L109" i="24" s="1"/>
  <c r="K70" i="24"/>
  <c r="J70" i="24"/>
  <c r="I70" i="24"/>
  <c r="H70" i="24"/>
  <c r="H109" i="24" s="1"/>
  <c r="G70" i="24"/>
  <c r="F70" i="24"/>
  <c r="E70" i="24"/>
  <c r="E109" i="24" s="1"/>
  <c r="D70" i="24"/>
  <c r="D109" i="24" s="1"/>
  <c r="V69" i="24"/>
  <c r="V108" i="24" s="1"/>
  <c r="U69" i="24"/>
  <c r="T69" i="24"/>
  <c r="S69" i="24"/>
  <c r="R69" i="24"/>
  <c r="Q69" i="24"/>
  <c r="Q108" i="24" s="1"/>
  <c r="P69" i="24"/>
  <c r="O69" i="24"/>
  <c r="O108" i="24" s="1"/>
  <c r="N69" i="24"/>
  <c r="M69" i="24"/>
  <c r="L69" i="24"/>
  <c r="K69" i="24"/>
  <c r="K108" i="24" s="1"/>
  <c r="J69" i="24"/>
  <c r="J108" i="24" s="1"/>
  <c r="I69" i="24"/>
  <c r="H69" i="24"/>
  <c r="H108" i="24" s="1"/>
  <c r="G69" i="24"/>
  <c r="G108" i="24" s="1"/>
  <c r="F69" i="24"/>
  <c r="F108" i="24" s="1"/>
  <c r="E69" i="24"/>
  <c r="D69" i="24"/>
  <c r="V68" i="24"/>
  <c r="U68" i="24"/>
  <c r="T68" i="24"/>
  <c r="T107" i="24" s="1"/>
  <c r="S68" i="24"/>
  <c r="R68" i="24"/>
  <c r="R107" i="24" s="1"/>
  <c r="Q68" i="24"/>
  <c r="P68" i="24"/>
  <c r="O68" i="24"/>
  <c r="N68" i="24"/>
  <c r="N107" i="24" s="1"/>
  <c r="M68" i="24"/>
  <c r="L68" i="24"/>
  <c r="K68" i="24"/>
  <c r="K107" i="24" s="1"/>
  <c r="J68" i="24"/>
  <c r="J107" i="24" s="1"/>
  <c r="I68" i="24"/>
  <c r="I107" i="24" s="1"/>
  <c r="H68" i="24"/>
  <c r="H107" i="24" s="1"/>
  <c r="G68" i="24"/>
  <c r="F68" i="24"/>
  <c r="E68" i="24"/>
  <c r="D68" i="24"/>
  <c r="D107" i="24" s="1"/>
  <c r="V67" i="24"/>
  <c r="V106" i="24" s="1"/>
  <c r="U67" i="24"/>
  <c r="U106" i="24" s="1"/>
  <c r="T67" i="24"/>
  <c r="S67" i="24"/>
  <c r="R67" i="24"/>
  <c r="Q67" i="24"/>
  <c r="P67" i="24"/>
  <c r="O67" i="24"/>
  <c r="N67" i="24"/>
  <c r="N106" i="24" s="1"/>
  <c r="M67" i="24"/>
  <c r="M106" i="24" s="1"/>
  <c r="L67" i="24"/>
  <c r="L106" i="24" s="1"/>
  <c r="K67" i="24"/>
  <c r="J67" i="24"/>
  <c r="I67" i="24"/>
  <c r="H67" i="24"/>
  <c r="H106" i="24" s="1"/>
  <c r="G67" i="24"/>
  <c r="G106" i="24" s="1"/>
  <c r="F67" i="24"/>
  <c r="E67" i="24"/>
  <c r="E106" i="24" s="1"/>
  <c r="D67" i="24"/>
  <c r="V66" i="24"/>
  <c r="U66" i="24"/>
  <c r="T66" i="24"/>
  <c r="S66" i="24"/>
  <c r="R66" i="24"/>
  <c r="Q66" i="24"/>
  <c r="Q105" i="24" s="1"/>
  <c r="P66" i="24"/>
  <c r="P105" i="24" s="1"/>
  <c r="O66" i="24"/>
  <c r="O105" i="24" s="1"/>
  <c r="N66" i="24"/>
  <c r="M66" i="24"/>
  <c r="M105" i="24" s="1"/>
  <c r="L66" i="24"/>
  <c r="K66" i="24"/>
  <c r="K105" i="24" s="1"/>
  <c r="J66" i="24"/>
  <c r="J105" i="24" s="1"/>
  <c r="I66" i="24"/>
  <c r="H66" i="24"/>
  <c r="H105" i="24" s="1"/>
  <c r="G66" i="24"/>
  <c r="F66" i="24"/>
  <c r="E66" i="24"/>
  <c r="E105" i="24" s="1"/>
  <c r="D66" i="24"/>
  <c r="R65" i="24"/>
  <c r="R104" i="24" s="1"/>
  <c r="V64" i="24"/>
  <c r="U64" i="24"/>
  <c r="T64" i="24"/>
  <c r="T103" i="24" s="1"/>
  <c r="S64" i="24"/>
  <c r="S103" i="24" s="1"/>
  <c r="R64" i="24"/>
  <c r="Q64" i="24"/>
  <c r="P64" i="24"/>
  <c r="P103" i="24" s="1"/>
  <c r="O64" i="24"/>
  <c r="N64" i="24"/>
  <c r="N103" i="24" s="1"/>
  <c r="M64" i="24"/>
  <c r="L64" i="24"/>
  <c r="L103" i="24" s="1"/>
  <c r="K64" i="24"/>
  <c r="K103" i="24" s="1"/>
  <c r="J64" i="24"/>
  <c r="I64" i="24"/>
  <c r="H64" i="24"/>
  <c r="H103" i="24" s="1"/>
  <c r="G64" i="24"/>
  <c r="F64" i="24"/>
  <c r="E64" i="24"/>
  <c r="D64" i="24"/>
  <c r="D103" i="24" s="1"/>
  <c r="V63" i="24"/>
  <c r="V102" i="24" s="1"/>
  <c r="U63" i="24"/>
  <c r="T63" i="24"/>
  <c r="S63" i="24"/>
  <c r="R63" i="24"/>
  <c r="Q63" i="24"/>
  <c r="Q102" i="24" s="1"/>
  <c r="P63" i="24"/>
  <c r="O63" i="24"/>
  <c r="O102" i="24" s="1"/>
  <c r="N63" i="24"/>
  <c r="M63" i="24"/>
  <c r="L63" i="24"/>
  <c r="K63" i="24"/>
  <c r="K102" i="24" s="1"/>
  <c r="J63" i="24"/>
  <c r="I63" i="24"/>
  <c r="H63" i="24"/>
  <c r="G63" i="24"/>
  <c r="G102" i="24" s="1"/>
  <c r="F63" i="24"/>
  <c r="F102" i="24" s="1"/>
  <c r="E63" i="24"/>
  <c r="D63" i="24"/>
  <c r="V62" i="24"/>
  <c r="V101" i="24" s="1"/>
  <c r="U62" i="24"/>
  <c r="T62" i="24"/>
  <c r="T101" i="24" s="1"/>
  <c r="S62" i="24"/>
  <c r="S101" i="24" s="1"/>
  <c r="R62" i="24"/>
  <c r="R101" i="24" s="1"/>
  <c r="Q62" i="24"/>
  <c r="Q101" i="24" s="1"/>
  <c r="P62" i="24"/>
  <c r="P101" i="24" s="1"/>
  <c r="O62" i="24"/>
  <c r="N62" i="24"/>
  <c r="N101" i="24" s="1"/>
  <c r="M62" i="24"/>
  <c r="L62" i="24"/>
  <c r="K62" i="24"/>
  <c r="J62" i="24"/>
  <c r="J101" i="24" s="1"/>
  <c r="I62" i="24"/>
  <c r="I101" i="24" s="1"/>
  <c r="H62" i="24"/>
  <c r="G62" i="24"/>
  <c r="F62" i="24"/>
  <c r="E62" i="24"/>
  <c r="E101" i="24" s="1"/>
  <c r="D62" i="24"/>
  <c r="D101" i="24" s="1"/>
  <c r="V61" i="24"/>
  <c r="V100" i="24" s="1"/>
  <c r="U61" i="24"/>
  <c r="U100" i="24" s="1"/>
  <c r="T61" i="24"/>
  <c r="T100" i="24" s="1"/>
  <c r="S61" i="24"/>
  <c r="R61" i="24"/>
  <c r="Q61" i="24"/>
  <c r="Q100" i="24" s="1"/>
  <c r="P61" i="24"/>
  <c r="P100" i="24" s="1"/>
  <c r="O61" i="24"/>
  <c r="N61" i="24"/>
  <c r="M61" i="24"/>
  <c r="M100" i="24" s="1"/>
  <c r="L61" i="24"/>
  <c r="L100" i="24" s="1"/>
  <c r="K61" i="24"/>
  <c r="J61" i="24"/>
  <c r="I61" i="24"/>
  <c r="H61" i="24"/>
  <c r="G61" i="24"/>
  <c r="G100" i="24" s="1"/>
  <c r="F61" i="24"/>
  <c r="F100" i="24" s="1"/>
  <c r="E61" i="24"/>
  <c r="E100" i="24" s="1"/>
  <c r="D61" i="24"/>
  <c r="D100" i="24" s="1"/>
  <c r="V60" i="24"/>
  <c r="U60" i="24"/>
  <c r="T60" i="24"/>
  <c r="S60" i="24"/>
  <c r="R60" i="24"/>
  <c r="R99" i="24" s="1"/>
  <c r="Q60" i="24"/>
  <c r="P60" i="24"/>
  <c r="P99" i="24" s="1"/>
  <c r="O60" i="24"/>
  <c r="O99" i="24" s="1"/>
  <c r="N60" i="24"/>
  <c r="M60" i="24"/>
  <c r="L60" i="24"/>
  <c r="L99" i="24" s="1"/>
  <c r="K60" i="24"/>
  <c r="J60" i="24"/>
  <c r="J99" i="24" s="1"/>
  <c r="I60" i="24"/>
  <c r="I99" i="24" s="1"/>
  <c r="H60" i="24"/>
  <c r="H99" i="24" s="1"/>
  <c r="G60" i="24"/>
  <c r="G99" i="24" s="1"/>
  <c r="F60" i="24"/>
  <c r="E60" i="24"/>
  <c r="D60" i="24"/>
  <c r="D99" i="24" s="1"/>
  <c r="V59" i="24"/>
  <c r="V98" i="24" s="1"/>
  <c r="U59" i="24"/>
  <c r="U98" i="24" s="1"/>
  <c r="T59" i="24"/>
  <c r="S59" i="24"/>
  <c r="S98" i="24" s="1"/>
  <c r="R59" i="24"/>
  <c r="R98" i="24" s="1"/>
  <c r="Q59" i="24"/>
  <c r="P59" i="24"/>
  <c r="O59" i="24"/>
  <c r="O98" i="24" s="1"/>
  <c r="N59" i="24"/>
  <c r="M59" i="24"/>
  <c r="M98" i="24" s="1"/>
  <c r="L59" i="24"/>
  <c r="K59" i="24"/>
  <c r="K98" i="24" s="1"/>
  <c r="J59" i="24"/>
  <c r="J98" i="24" s="1"/>
  <c r="I59" i="24"/>
  <c r="H59" i="24"/>
  <c r="G59" i="24"/>
  <c r="G98" i="24" s="1"/>
  <c r="F59" i="24"/>
  <c r="F98" i="24" s="1"/>
  <c r="E59" i="24"/>
  <c r="E98" i="24" s="1"/>
  <c r="D59" i="24"/>
  <c r="V58" i="24"/>
  <c r="V97" i="24" s="1"/>
  <c r="U58" i="24"/>
  <c r="U97" i="24" s="1"/>
  <c r="T58" i="24"/>
  <c r="S58" i="24"/>
  <c r="R58" i="24"/>
  <c r="R97" i="24" s="1"/>
  <c r="Q58" i="24"/>
  <c r="P58" i="24"/>
  <c r="P97" i="24" s="1"/>
  <c r="O58" i="24"/>
  <c r="N58" i="24"/>
  <c r="M58" i="24"/>
  <c r="M97" i="24" s="1"/>
  <c r="L58" i="24"/>
  <c r="K58" i="24"/>
  <c r="J58" i="24"/>
  <c r="J97" i="24" s="1"/>
  <c r="I58" i="24"/>
  <c r="H58" i="24"/>
  <c r="G58" i="24"/>
  <c r="F58" i="24"/>
  <c r="F97" i="24" s="1"/>
  <c r="E58" i="24"/>
  <c r="E97" i="24" s="1"/>
  <c r="D58" i="24"/>
  <c r="V57" i="24"/>
  <c r="U57" i="24"/>
  <c r="T57" i="24"/>
  <c r="S57" i="24"/>
  <c r="S96" i="24" s="1"/>
  <c r="R57" i="24"/>
  <c r="R96" i="24" s="1"/>
  <c r="Q57" i="24"/>
  <c r="Q96" i="24" s="1"/>
  <c r="P57" i="24"/>
  <c r="P96" i="24" s="1"/>
  <c r="O57" i="24"/>
  <c r="N57" i="24"/>
  <c r="M57" i="24"/>
  <c r="L57" i="24"/>
  <c r="K57" i="24"/>
  <c r="J57" i="24"/>
  <c r="I57" i="24"/>
  <c r="I96" i="24" s="1"/>
  <c r="H57" i="24"/>
  <c r="H96" i="24" s="1"/>
  <c r="G57" i="24"/>
  <c r="F57" i="24"/>
  <c r="E57" i="24"/>
  <c r="D57" i="24"/>
  <c r="D96" i="24" s="1"/>
  <c r="V56" i="24"/>
  <c r="V95" i="24" s="1"/>
  <c r="U56" i="24"/>
  <c r="U95" i="24" s="1"/>
  <c r="T56" i="24"/>
  <c r="T95" i="24" s="1"/>
  <c r="S56" i="24"/>
  <c r="S95" i="24" s="1"/>
  <c r="R56" i="24"/>
  <c r="Q56" i="24"/>
  <c r="P56" i="24"/>
  <c r="O56" i="24"/>
  <c r="N56" i="24"/>
  <c r="M56" i="24"/>
  <c r="L56" i="24"/>
  <c r="L95" i="24" s="1"/>
  <c r="K56" i="24"/>
  <c r="K95" i="24" s="1"/>
  <c r="J56" i="24"/>
  <c r="I56" i="24"/>
  <c r="H56" i="24"/>
  <c r="G56" i="24"/>
  <c r="F56" i="24"/>
  <c r="F95" i="24" s="1"/>
  <c r="E56" i="24"/>
  <c r="E95" i="24" s="1"/>
  <c r="D56" i="24"/>
  <c r="D95" i="24" s="1"/>
  <c r="V55" i="24"/>
  <c r="V94" i="24" s="1"/>
  <c r="U55" i="24"/>
  <c r="T55" i="24"/>
  <c r="S55" i="24"/>
  <c r="R55" i="24"/>
  <c r="Q55" i="24"/>
  <c r="P55" i="24"/>
  <c r="O55" i="24"/>
  <c r="O94" i="24" s="1"/>
  <c r="N55" i="24"/>
  <c r="N94" i="24" s="1"/>
  <c r="M55" i="24"/>
  <c r="M94" i="24" s="1"/>
  <c r="L55" i="24"/>
  <c r="K55" i="24"/>
  <c r="J55" i="24"/>
  <c r="I55" i="24"/>
  <c r="I94" i="24" s="1"/>
  <c r="H55" i="24"/>
  <c r="H94" i="24" s="1"/>
  <c r="G55" i="24"/>
  <c r="G94" i="24" s="1"/>
  <c r="F55" i="24"/>
  <c r="F94" i="24" s="1"/>
  <c r="E55" i="24"/>
  <c r="D55" i="24"/>
  <c r="V54" i="24"/>
  <c r="V93" i="24" s="1"/>
  <c r="U54" i="24"/>
  <c r="T54" i="24"/>
  <c r="S54" i="24"/>
  <c r="R54" i="24"/>
  <c r="R93" i="24" s="1"/>
  <c r="Q54" i="24"/>
  <c r="Q93" i="24" s="1"/>
  <c r="P54" i="24"/>
  <c r="O54" i="24"/>
  <c r="N54" i="24"/>
  <c r="M54" i="24"/>
  <c r="L54" i="24"/>
  <c r="L93" i="24" s="1"/>
  <c r="K54" i="24"/>
  <c r="K93" i="24" s="1"/>
  <c r="J54" i="24"/>
  <c r="I54" i="24"/>
  <c r="I93" i="24" s="1"/>
  <c r="H54" i="24"/>
  <c r="G54" i="24"/>
  <c r="F54" i="24"/>
  <c r="F93" i="24" s="1"/>
  <c r="E54" i="24"/>
  <c r="E93" i="24" s="1"/>
  <c r="D54" i="24"/>
  <c r="V53" i="24"/>
  <c r="U53" i="24"/>
  <c r="T53" i="24"/>
  <c r="T92" i="24" s="1"/>
  <c r="S53" i="24"/>
  <c r="R53" i="24"/>
  <c r="Q53" i="24"/>
  <c r="P53" i="24"/>
  <c r="O53" i="24"/>
  <c r="N53" i="24"/>
  <c r="M53" i="24"/>
  <c r="L53" i="24"/>
  <c r="K53" i="24"/>
  <c r="J53" i="24"/>
  <c r="I53" i="24"/>
  <c r="H53" i="24"/>
  <c r="H92" i="24" s="1"/>
  <c r="G53" i="24"/>
  <c r="G92" i="24" s="1"/>
  <c r="F53" i="24"/>
  <c r="E53" i="24"/>
  <c r="D53" i="24"/>
  <c r="D92" i="24" s="1"/>
  <c r="V41" i="24"/>
  <c r="U41" i="24"/>
  <c r="U275" i="24" s="1"/>
  <c r="T41" i="24"/>
  <c r="T275" i="24" s="1"/>
  <c r="S41" i="24"/>
  <c r="R41" i="24"/>
  <c r="R198" i="24" s="1"/>
  <c r="Q41" i="24"/>
  <c r="Q198" i="24" s="1"/>
  <c r="P41" i="24"/>
  <c r="P198" i="24" s="1"/>
  <c r="O41" i="24"/>
  <c r="O120" i="24" s="1"/>
  <c r="N41" i="24"/>
  <c r="M41" i="24"/>
  <c r="L41" i="24"/>
  <c r="K41" i="24"/>
  <c r="J41" i="24"/>
  <c r="I41" i="24"/>
  <c r="I198" i="24" s="1"/>
  <c r="H41" i="24"/>
  <c r="H120" i="24" s="1"/>
  <c r="G41" i="24"/>
  <c r="G275" i="24" s="1"/>
  <c r="F41" i="24"/>
  <c r="E41" i="24"/>
  <c r="E275" i="24" s="1"/>
  <c r="D41" i="24"/>
  <c r="V40" i="24"/>
  <c r="V274" i="24" s="1"/>
  <c r="U40" i="24"/>
  <c r="T40" i="24"/>
  <c r="T274" i="24" s="1"/>
  <c r="S40" i="24"/>
  <c r="S274" i="24" s="1"/>
  <c r="R40" i="24"/>
  <c r="R119" i="24" s="1"/>
  <c r="Q40" i="24"/>
  <c r="P40" i="24"/>
  <c r="O40" i="24"/>
  <c r="O119" i="24" s="1"/>
  <c r="N40" i="24"/>
  <c r="M40" i="24"/>
  <c r="M197" i="24" s="1"/>
  <c r="L40" i="24"/>
  <c r="L197" i="24" s="1"/>
  <c r="K40" i="24"/>
  <c r="K119" i="24" s="1"/>
  <c r="J40" i="24"/>
  <c r="J274" i="24" s="1"/>
  <c r="I40" i="24"/>
  <c r="I119" i="24" s="1"/>
  <c r="H40" i="24"/>
  <c r="G40" i="24"/>
  <c r="G274" i="24" s="1"/>
  <c r="F40" i="24"/>
  <c r="E40" i="24"/>
  <c r="D40" i="24"/>
  <c r="V39" i="24"/>
  <c r="V273" i="24" s="1"/>
  <c r="U39" i="24"/>
  <c r="U118" i="24" s="1"/>
  <c r="T39" i="24"/>
  <c r="S39" i="24"/>
  <c r="S273" i="24" s="1"/>
  <c r="R39" i="24"/>
  <c r="Q39" i="24"/>
  <c r="P39" i="24"/>
  <c r="P196" i="24" s="1"/>
  <c r="O39" i="24"/>
  <c r="O196" i="24" s="1"/>
  <c r="N39" i="24"/>
  <c r="N196" i="24" s="1"/>
  <c r="M39" i="24"/>
  <c r="L39" i="24"/>
  <c r="L196" i="24" s="1"/>
  <c r="K39" i="24"/>
  <c r="K273" i="24" s="1"/>
  <c r="J39" i="24"/>
  <c r="I39" i="24"/>
  <c r="I273" i="24" s="1"/>
  <c r="H39" i="24"/>
  <c r="G39" i="24"/>
  <c r="F39" i="24"/>
  <c r="E39" i="24"/>
  <c r="D39" i="24"/>
  <c r="V38" i="24"/>
  <c r="V272" i="24" s="1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V37" i="24"/>
  <c r="V271" i="24" s="1"/>
  <c r="U37" i="24"/>
  <c r="T37" i="24"/>
  <c r="T194" i="24" s="1"/>
  <c r="S37" i="24"/>
  <c r="R37" i="24"/>
  <c r="Q37" i="24"/>
  <c r="P37" i="24"/>
  <c r="O37" i="24"/>
  <c r="N37" i="24"/>
  <c r="N194" i="24" s="1"/>
  <c r="M37" i="24"/>
  <c r="L37" i="24"/>
  <c r="K37" i="24"/>
  <c r="K116" i="24" s="1"/>
  <c r="J37" i="24"/>
  <c r="I37" i="24"/>
  <c r="I271" i="24" s="1"/>
  <c r="H37" i="24"/>
  <c r="G37" i="24"/>
  <c r="F37" i="24"/>
  <c r="F194" i="24" s="1"/>
  <c r="E37" i="24"/>
  <c r="E194" i="24" s="1"/>
  <c r="D37" i="24"/>
  <c r="D116" i="24" s="1"/>
  <c r="V36" i="24"/>
  <c r="V270" i="24" s="1"/>
  <c r="U36" i="24"/>
  <c r="T36" i="24"/>
  <c r="T270" i="24" s="1"/>
  <c r="S36" i="24"/>
  <c r="S270" i="24" s="1"/>
  <c r="R36" i="24"/>
  <c r="Q36" i="24"/>
  <c r="P36" i="24"/>
  <c r="O36" i="24"/>
  <c r="N36" i="24"/>
  <c r="N115" i="24" s="1"/>
  <c r="M36" i="24"/>
  <c r="L36" i="24"/>
  <c r="L270" i="24" s="1"/>
  <c r="K36" i="24"/>
  <c r="K115" i="24" s="1"/>
  <c r="J36" i="24"/>
  <c r="I36" i="24"/>
  <c r="I193" i="24" s="1"/>
  <c r="H36" i="24"/>
  <c r="H193" i="24" s="1"/>
  <c r="G36" i="24"/>
  <c r="F36" i="24"/>
  <c r="E36" i="24"/>
  <c r="D36" i="24"/>
  <c r="V35" i="24"/>
  <c r="V269" i="24" s="1"/>
  <c r="U35" i="24"/>
  <c r="U269" i="24" s="1"/>
  <c r="T35" i="24"/>
  <c r="S35" i="24"/>
  <c r="R35" i="24"/>
  <c r="Q35" i="24"/>
  <c r="P35" i="24"/>
  <c r="O35" i="24"/>
  <c r="O269" i="24" s="1"/>
  <c r="N35" i="24"/>
  <c r="N114" i="24" s="1"/>
  <c r="M35" i="24"/>
  <c r="L35" i="24"/>
  <c r="L192" i="24" s="1"/>
  <c r="K35" i="24"/>
  <c r="J35" i="24"/>
  <c r="J192" i="24" s="1"/>
  <c r="I35" i="24"/>
  <c r="I269" i="24" s="1"/>
  <c r="H35" i="24"/>
  <c r="H269" i="24" s="1"/>
  <c r="G35" i="24"/>
  <c r="G192" i="24" s="1"/>
  <c r="F35" i="24"/>
  <c r="E35" i="24"/>
  <c r="D35" i="24"/>
  <c r="D192" i="24" s="1"/>
  <c r="V34" i="24"/>
  <c r="U34" i="24"/>
  <c r="T34" i="24"/>
  <c r="T113" i="24" s="1"/>
  <c r="S34" i="24"/>
  <c r="R34" i="24"/>
  <c r="Q34" i="24"/>
  <c r="P34" i="24"/>
  <c r="P113" i="24" s="1"/>
  <c r="O34" i="24"/>
  <c r="O191" i="24" s="1"/>
  <c r="N34" i="24"/>
  <c r="N191" i="24" s="1"/>
  <c r="M34" i="24"/>
  <c r="M191" i="24" s="1"/>
  <c r="L34" i="24"/>
  <c r="K34" i="24"/>
  <c r="J34" i="24"/>
  <c r="J268" i="24" s="1"/>
  <c r="I34" i="24"/>
  <c r="I268" i="24" s="1"/>
  <c r="H34" i="24"/>
  <c r="G34" i="24"/>
  <c r="G191" i="24" s="1"/>
  <c r="F34" i="24"/>
  <c r="F191" i="24" s="1"/>
  <c r="E34" i="24"/>
  <c r="D34" i="24"/>
  <c r="D113" i="24" s="1"/>
  <c r="V33" i="24"/>
  <c r="U33" i="24"/>
  <c r="T33" i="24"/>
  <c r="S33" i="24"/>
  <c r="R33" i="24"/>
  <c r="Q33" i="24"/>
  <c r="P33" i="24"/>
  <c r="P190" i="24" s="1"/>
  <c r="O33" i="24"/>
  <c r="O267" i="24" s="1"/>
  <c r="N33" i="24"/>
  <c r="M33" i="24"/>
  <c r="L33" i="24"/>
  <c r="L267" i="24" s="1"/>
  <c r="K33" i="24"/>
  <c r="K267" i="24" s="1"/>
  <c r="J33" i="24"/>
  <c r="I33" i="24"/>
  <c r="H33" i="24"/>
  <c r="G33" i="24"/>
  <c r="F33" i="24"/>
  <c r="E33" i="24"/>
  <c r="D33" i="24"/>
  <c r="D112" i="24" s="1"/>
  <c r="V32" i="24"/>
  <c r="V111" i="24" s="1"/>
  <c r="U32" i="24"/>
  <c r="U189" i="24" s="1"/>
  <c r="T32" i="24"/>
  <c r="T189" i="24" s="1"/>
  <c r="S32" i="24"/>
  <c r="R32" i="24"/>
  <c r="R266" i="24" s="1"/>
  <c r="Q32" i="24"/>
  <c r="P32" i="24"/>
  <c r="P266" i="24" s="1"/>
  <c r="O32" i="24"/>
  <c r="O266" i="24" s="1"/>
  <c r="N32" i="24"/>
  <c r="N266" i="24" s="1"/>
  <c r="M32" i="24"/>
  <c r="L32" i="24"/>
  <c r="L266" i="24" s="1"/>
  <c r="K32" i="24"/>
  <c r="J32" i="24"/>
  <c r="J111" i="24" s="1"/>
  <c r="I32" i="24"/>
  <c r="H32" i="24"/>
  <c r="G32" i="24"/>
  <c r="F32" i="24"/>
  <c r="E32" i="24"/>
  <c r="E189" i="24" s="1"/>
  <c r="D32" i="24"/>
  <c r="D189" i="24" s="1"/>
  <c r="V31" i="24"/>
  <c r="V188" i="24" s="1"/>
  <c r="U31" i="24"/>
  <c r="U265" i="24" s="1"/>
  <c r="T31" i="24"/>
  <c r="T188" i="24" s="1"/>
  <c r="S31" i="24"/>
  <c r="S265" i="24" s="1"/>
  <c r="R31" i="24"/>
  <c r="R265" i="24" s="1"/>
  <c r="Q31" i="24"/>
  <c r="Q265" i="24" s="1"/>
  <c r="P31" i="24"/>
  <c r="P188" i="24" s="1"/>
  <c r="O31" i="24"/>
  <c r="N31" i="24"/>
  <c r="M31" i="24"/>
  <c r="M110" i="24" s="1"/>
  <c r="L31" i="24"/>
  <c r="K31" i="24"/>
  <c r="J31" i="24"/>
  <c r="J110" i="24" s="1"/>
  <c r="I31" i="24"/>
  <c r="H31" i="24"/>
  <c r="G31" i="24"/>
  <c r="G188" i="24" s="1"/>
  <c r="F31" i="24"/>
  <c r="F188" i="24" s="1"/>
  <c r="E31" i="24"/>
  <c r="E265" i="24" s="1"/>
  <c r="D31" i="24"/>
  <c r="D188" i="24" s="1"/>
  <c r="V30" i="24"/>
  <c r="V109" i="24" s="1"/>
  <c r="U30" i="24"/>
  <c r="U264" i="24" s="1"/>
  <c r="T30" i="24"/>
  <c r="S30" i="24"/>
  <c r="R30" i="24"/>
  <c r="Q30" i="24"/>
  <c r="P30" i="24"/>
  <c r="P109" i="24" s="1"/>
  <c r="O30" i="24"/>
  <c r="N30" i="24"/>
  <c r="M30" i="24"/>
  <c r="M109" i="24" s="1"/>
  <c r="L30" i="24"/>
  <c r="K30" i="24"/>
  <c r="K187" i="24" s="1"/>
  <c r="J30" i="24"/>
  <c r="J187" i="24" s="1"/>
  <c r="I30" i="24"/>
  <c r="H30" i="24"/>
  <c r="H264" i="24" s="1"/>
  <c r="G30" i="24"/>
  <c r="F30" i="24"/>
  <c r="F264" i="24" s="1"/>
  <c r="E30" i="24"/>
  <c r="E264" i="24" s="1"/>
  <c r="D30" i="24"/>
  <c r="V29" i="24"/>
  <c r="U29" i="24"/>
  <c r="T29" i="24"/>
  <c r="S29" i="24"/>
  <c r="S108" i="24" s="1"/>
  <c r="R29" i="24"/>
  <c r="Q29" i="24"/>
  <c r="P29" i="24"/>
  <c r="P108" i="24" s="1"/>
  <c r="O29" i="24"/>
  <c r="N29" i="24"/>
  <c r="M29" i="24"/>
  <c r="M186" i="24" s="1"/>
  <c r="L29" i="24"/>
  <c r="L186" i="24" s="1"/>
  <c r="K29" i="24"/>
  <c r="K263" i="24" s="1"/>
  <c r="J29" i="24"/>
  <c r="I29" i="24"/>
  <c r="I263" i="24" s="1"/>
  <c r="H29" i="24"/>
  <c r="H263" i="24" s="1"/>
  <c r="G29" i="24"/>
  <c r="G263" i="24" s="1"/>
  <c r="F29" i="24"/>
  <c r="E29" i="24"/>
  <c r="D29" i="24"/>
  <c r="V28" i="24"/>
  <c r="U28" i="24"/>
  <c r="T28" i="24"/>
  <c r="S28" i="24"/>
  <c r="S107" i="24" s="1"/>
  <c r="R28" i="24"/>
  <c r="Q28" i="24"/>
  <c r="Q185" i="24" s="1"/>
  <c r="P28" i="24"/>
  <c r="O28" i="24"/>
  <c r="N28" i="24"/>
  <c r="N262" i="24" s="1"/>
  <c r="M28" i="24"/>
  <c r="L28" i="24"/>
  <c r="L262" i="24" s="1"/>
  <c r="K28" i="24"/>
  <c r="J28" i="24"/>
  <c r="I28" i="24"/>
  <c r="H28" i="24"/>
  <c r="G28" i="24"/>
  <c r="F28" i="24"/>
  <c r="F107" i="24" s="1"/>
  <c r="E28" i="24"/>
  <c r="D28" i="24"/>
  <c r="V27" i="24"/>
  <c r="U27" i="24"/>
  <c r="T27" i="24"/>
  <c r="T184" i="24" s="1"/>
  <c r="S27" i="24"/>
  <c r="S184" i="24" s="1"/>
  <c r="R27" i="24"/>
  <c r="R184" i="24" s="1"/>
  <c r="Q27" i="24"/>
  <c r="Q261" i="24" s="1"/>
  <c r="P27" i="24"/>
  <c r="O27" i="24"/>
  <c r="O261" i="24" s="1"/>
  <c r="N27" i="24"/>
  <c r="N261" i="24" s="1"/>
  <c r="M27" i="24"/>
  <c r="L27" i="24"/>
  <c r="K27" i="24"/>
  <c r="J27" i="24"/>
  <c r="I27" i="24"/>
  <c r="I106" i="24" s="1"/>
  <c r="H27" i="24"/>
  <c r="G27" i="24"/>
  <c r="F27" i="24"/>
  <c r="F106" i="24" s="1"/>
  <c r="E27" i="24"/>
  <c r="D27" i="24"/>
  <c r="D184" i="24" s="1"/>
  <c r="V26" i="24"/>
  <c r="V183" i="24" s="1"/>
  <c r="U26" i="24"/>
  <c r="U183" i="24" s="1"/>
  <c r="T26" i="24"/>
  <c r="T260" i="24" s="1"/>
  <c r="S26" i="24"/>
  <c r="R26" i="24"/>
  <c r="R260" i="24" s="1"/>
  <c r="Q26" i="24"/>
  <c r="Q260" i="24" s="1"/>
  <c r="P26" i="24"/>
  <c r="P260" i="24" s="1"/>
  <c r="O26" i="24"/>
  <c r="O183" i="24" s="1"/>
  <c r="N26" i="24"/>
  <c r="M26" i="24"/>
  <c r="L26" i="24"/>
  <c r="L105" i="24" s="1"/>
  <c r="K26" i="24"/>
  <c r="J26" i="24"/>
  <c r="I26" i="24"/>
  <c r="I105" i="24" s="1"/>
  <c r="H26" i="24"/>
  <c r="G26" i="24"/>
  <c r="F26" i="24"/>
  <c r="F183" i="24" s="1"/>
  <c r="E26" i="24"/>
  <c r="E183" i="24" s="1"/>
  <c r="D26" i="24"/>
  <c r="D260" i="24" s="1"/>
  <c r="V24" i="24"/>
  <c r="U24" i="24"/>
  <c r="U258" i="24" s="1"/>
  <c r="T24" i="24"/>
  <c r="T258" i="24" s="1"/>
  <c r="S24" i="24"/>
  <c r="R24" i="24"/>
  <c r="Q24" i="24"/>
  <c r="Q103" i="24" s="1"/>
  <c r="P24" i="24"/>
  <c r="O24" i="24"/>
  <c r="N24" i="24"/>
  <c r="M24" i="24"/>
  <c r="M103" i="24" s="1"/>
  <c r="L24" i="24"/>
  <c r="K24" i="24"/>
  <c r="K181" i="24" s="1"/>
  <c r="J24" i="24"/>
  <c r="J181" i="24" s="1"/>
  <c r="I24" i="24"/>
  <c r="H24" i="24"/>
  <c r="H258" i="24" s="1"/>
  <c r="G24" i="24"/>
  <c r="F24" i="24"/>
  <c r="F181" i="24" s="1"/>
  <c r="E24" i="24"/>
  <c r="E258" i="24" s="1"/>
  <c r="D24" i="24"/>
  <c r="D258" i="24" s="1"/>
  <c r="V23" i="24"/>
  <c r="U23" i="24"/>
  <c r="T23" i="24"/>
  <c r="T102" i="24" s="1"/>
  <c r="S23" i="24"/>
  <c r="R23" i="24"/>
  <c r="Q23" i="24"/>
  <c r="P23" i="24"/>
  <c r="P102" i="24" s="1"/>
  <c r="O23" i="24"/>
  <c r="N23" i="24"/>
  <c r="M23" i="24"/>
  <c r="M180" i="24" s="1"/>
  <c r="L23" i="24"/>
  <c r="K23" i="24"/>
  <c r="K257" i="24" s="1"/>
  <c r="J23" i="24"/>
  <c r="J257" i="24" s="1"/>
  <c r="I23" i="24"/>
  <c r="H23" i="24"/>
  <c r="H257" i="24" s="1"/>
  <c r="G23" i="24"/>
  <c r="F23" i="24"/>
  <c r="F257" i="24" s="1"/>
  <c r="E23" i="24"/>
  <c r="E102" i="24" s="1"/>
  <c r="D23" i="24"/>
  <c r="D102" i="24" s="1"/>
  <c r="V22" i="24"/>
  <c r="U22" i="24"/>
  <c r="T22" i="24"/>
  <c r="S22" i="24"/>
  <c r="R22" i="24"/>
  <c r="Q22" i="24"/>
  <c r="P22" i="24"/>
  <c r="P179" i="24" s="1"/>
  <c r="O22" i="24"/>
  <c r="O179" i="24" s="1"/>
  <c r="N22" i="24"/>
  <c r="N256" i="24" s="1"/>
  <c r="M22" i="24"/>
  <c r="L22" i="24"/>
  <c r="K22" i="24"/>
  <c r="K256" i="24" s="1"/>
  <c r="J22" i="24"/>
  <c r="I22" i="24"/>
  <c r="H22" i="24"/>
  <c r="G22" i="24"/>
  <c r="F22" i="24"/>
  <c r="E22" i="24"/>
  <c r="D22" i="24"/>
  <c r="V21" i="24"/>
  <c r="U21" i="24"/>
  <c r="T21" i="24"/>
  <c r="T255" i="24" s="1"/>
  <c r="S21" i="24"/>
  <c r="S178" i="24" s="1"/>
  <c r="R21" i="24"/>
  <c r="R178" i="24" s="1"/>
  <c r="Q21" i="24"/>
  <c r="P21" i="24"/>
  <c r="P255" i="24" s="1"/>
  <c r="O21" i="24"/>
  <c r="O42" i="24" s="1"/>
  <c r="N21" i="24"/>
  <c r="N255" i="24" s="1"/>
  <c r="M21" i="24"/>
  <c r="M255" i="24" s="1"/>
  <c r="L21" i="24"/>
  <c r="K21" i="24"/>
  <c r="J21" i="24"/>
  <c r="I21" i="24"/>
  <c r="H21" i="24"/>
  <c r="G21" i="24"/>
  <c r="F21" i="24"/>
  <c r="E21" i="24"/>
  <c r="D21" i="24"/>
  <c r="D255" i="24" s="1"/>
  <c r="V20" i="24"/>
  <c r="V177" i="24" s="1"/>
  <c r="U20" i="24"/>
  <c r="U177" i="24" s="1"/>
  <c r="T20" i="24"/>
  <c r="T254" i="24" s="1"/>
  <c r="S20" i="24"/>
  <c r="R20" i="24"/>
  <c r="Q20" i="24"/>
  <c r="Q254" i="24" s="1"/>
  <c r="P20" i="24"/>
  <c r="O20" i="24"/>
  <c r="N20" i="24"/>
  <c r="M20" i="24"/>
  <c r="L20" i="24"/>
  <c r="K20" i="24"/>
  <c r="J20" i="24"/>
  <c r="I20" i="24"/>
  <c r="H20" i="24"/>
  <c r="G20" i="24"/>
  <c r="G254" i="24" s="1"/>
  <c r="F20" i="24"/>
  <c r="E20" i="24"/>
  <c r="E177" i="24" s="1"/>
  <c r="D20" i="24"/>
  <c r="D254" i="24" s="1"/>
  <c r="V19" i="24"/>
  <c r="U19" i="24"/>
  <c r="T19" i="24"/>
  <c r="T253" i="24" s="1"/>
  <c r="S19" i="24"/>
  <c r="S253" i="24" s="1"/>
  <c r="R19" i="24"/>
  <c r="Q19" i="24"/>
  <c r="Q98" i="24" s="1"/>
  <c r="P19" i="24"/>
  <c r="O19" i="24"/>
  <c r="N19" i="24"/>
  <c r="M19" i="24"/>
  <c r="L19" i="24"/>
  <c r="L98" i="24" s="1"/>
  <c r="K19" i="24"/>
  <c r="J19" i="24"/>
  <c r="I19" i="24"/>
  <c r="I176" i="24" s="1"/>
  <c r="H19" i="24"/>
  <c r="G19" i="24"/>
  <c r="G253" i="24" s="1"/>
  <c r="F19" i="24"/>
  <c r="E19" i="24"/>
  <c r="D19" i="24"/>
  <c r="D253" i="24" s="1"/>
  <c r="V18" i="24"/>
  <c r="U18" i="24"/>
  <c r="T18" i="24"/>
  <c r="T252" i="24" s="1"/>
  <c r="S18" i="24"/>
  <c r="S97" i="24" s="1"/>
  <c r="R18" i="24"/>
  <c r="Q18" i="24"/>
  <c r="P18" i="24"/>
  <c r="O18" i="24"/>
  <c r="O97" i="24" s="1"/>
  <c r="N18" i="24"/>
  <c r="M18" i="24"/>
  <c r="M252" i="24" s="1"/>
  <c r="L18" i="24"/>
  <c r="K18" i="24"/>
  <c r="J18" i="24"/>
  <c r="J252" i="24" s="1"/>
  <c r="I18" i="24"/>
  <c r="H18" i="24"/>
  <c r="G18" i="24"/>
  <c r="G252" i="24" s="1"/>
  <c r="F18" i="24"/>
  <c r="F252" i="24" s="1"/>
  <c r="E18" i="24"/>
  <c r="D18" i="24"/>
  <c r="D97" i="24" s="1"/>
  <c r="V17" i="24"/>
  <c r="V96" i="24" s="1"/>
  <c r="U17" i="24"/>
  <c r="T17" i="24"/>
  <c r="S17" i="24"/>
  <c r="R17" i="24"/>
  <c r="Q17" i="24"/>
  <c r="P17" i="24"/>
  <c r="P251" i="24" s="1"/>
  <c r="O17" i="24"/>
  <c r="O174" i="24" s="1"/>
  <c r="N17" i="24"/>
  <c r="M17" i="24"/>
  <c r="M251" i="24" s="1"/>
  <c r="L17" i="24"/>
  <c r="K17" i="24"/>
  <c r="J17" i="24"/>
  <c r="J251" i="24" s="1"/>
  <c r="I17" i="24"/>
  <c r="H17" i="24"/>
  <c r="G17" i="24"/>
  <c r="G96" i="24" s="1"/>
  <c r="F17" i="24"/>
  <c r="E17" i="24"/>
  <c r="D17" i="24"/>
  <c r="V16" i="24"/>
  <c r="U16" i="24"/>
  <c r="T16" i="24"/>
  <c r="S16" i="24"/>
  <c r="R16" i="24"/>
  <c r="R173" i="24" s="1"/>
  <c r="Q16" i="24"/>
  <c r="P16" i="24"/>
  <c r="P250" i="24" s="1"/>
  <c r="O16" i="24"/>
  <c r="N16" i="24"/>
  <c r="M16" i="24"/>
  <c r="M250" i="24" s="1"/>
  <c r="L16" i="24"/>
  <c r="L250" i="24" s="1"/>
  <c r="K16" i="24"/>
  <c r="J16" i="24"/>
  <c r="I16" i="24"/>
  <c r="H16" i="24"/>
  <c r="G16" i="24"/>
  <c r="F16" i="24"/>
  <c r="E16" i="24"/>
  <c r="D16" i="24"/>
  <c r="V15" i="24"/>
  <c r="U15" i="24"/>
  <c r="U172" i="24" s="1"/>
  <c r="T15" i="24"/>
  <c r="T172" i="24" s="1"/>
  <c r="S15" i="24"/>
  <c r="R15" i="24"/>
  <c r="R249" i="24" s="1"/>
  <c r="Q15" i="24"/>
  <c r="P15" i="24"/>
  <c r="P249" i="24" s="1"/>
  <c r="O15" i="24"/>
  <c r="N15" i="24"/>
  <c r="N249" i="24" s="1"/>
  <c r="M15" i="24"/>
  <c r="L15" i="24"/>
  <c r="L94" i="24" s="1"/>
  <c r="K15" i="24"/>
  <c r="J15" i="24"/>
  <c r="I15" i="24"/>
  <c r="H15" i="24"/>
  <c r="G15" i="24"/>
  <c r="F15" i="24"/>
  <c r="E15" i="24"/>
  <c r="E172" i="24" s="1"/>
  <c r="D15" i="24"/>
  <c r="D172" i="24" s="1"/>
  <c r="V14" i="24"/>
  <c r="U14" i="24"/>
  <c r="T14" i="24"/>
  <c r="S14" i="24"/>
  <c r="S248" i="24" s="1"/>
  <c r="R14" i="24"/>
  <c r="R248" i="24" s="1"/>
  <c r="Q14" i="24"/>
  <c r="P14" i="24"/>
  <c r="O14" i="24"/>
  <c r="O93" i="24" s="1"/>
  <c r="N14" i="24"/>
  <c r="M14" i="24"/>
  <c r="M93" i="24" s="1"/>
  <c r="L14" i="24"/>
  <c r="L42" i="24" s="1"/>
  <c r="K14" i="24"/>
  <c r="J14" i="24"/>
  <c r="I14" i="24"/>
  <c r="I248" i="24" s="1"/>
  <c r="H14" i="24"/>
  <c r="G14" i="24"/>
  <c r="G171" i="24" s="1"/>
  <c r="F14" i="24"/>
  <c r="F248" i="24" s="1"/>
  <c r="E14" i="24"/>
  <c r="D14" i="24"/>
  <c r="V13" i="24"/>
  <c r="U13" i="24"/>
  <c r="T13" i="24"/>
  <c r="S13" i="24"/>
  <c r="S42" i="24" s="1"/>
  <c r="R13" i="24"/>
  <c r="R42" i="24" s="1"/>
  <c r="Q13" i="24"/>
  <c r="P13" i="24"/>
  <c r="P42" i="24" s="1"/>
  <c r="O13" i="24"/>
  <c r="N13" i="24"/>
  <c r="N42" i="24" s="1"/>
  <c r="M13" i="24"/>
  <c r="L13" i="24"/>
  <c r="L247" i="24" s="1"/>
  <c r="K13" i="24"/>
  <c r="K170" i="24" s="1"/>
  <c r="J13" i="24"/>
  <c r="J170" i="24" s="1"/>
  <c r="I13" i="24"/>
  <c r="I42" i="24" s="1"/>
  <c r="H13" i="24"/>
  <c r="G13" i="24"/>
  <c r="F13" i="24"/>
  <c r="E13" i="24"/>
  <c r="D13" i="24"/>
  <c r="C299" i="23"/>
  <c r="G296" i="23"/>
  <c r="F296" i="23"/>
  <c r="G294" i="23"/>
  <c r="F294" i="23"/>
  <c r="G292" i="23"/>
  <c r="F292" i="23"/>
  <c r="D291" i="23"/>
  <c r="K290" i="23"/>
  <c r="F290" i="23"/>
  <c r="K289" i="23"/>
  <c r="F288" i="23"/>
  <c r="K287" i="23"/>
  <c r="F286" i="23"/>
  <c r="E286" i="23"/>
  <c r="K285" i="23"/>
  <c r="F284" i="23"/>
  <c r="K283" i="23"/>
  <c r="F282" i="23"/>
  <c r="D282" i="23"/>
  <c r="K281" i="23"/>
  <c r="F280" i="23"/>
  <c r="K279" i="23"/>
  <c r="D279" i="23"/>
  <c r="F278" i="23"/>
  <c r="K277" i="23"/>
  <c r="F276" i="23"/>
  <c r="K275" i="23"/>
  <c r="F274" i="23"/>
  <c r="K273" i="23"/>
  <c r="F272" i="23"/>
  <c r="K271" i="23"/>
  <c r="F270" i="23"/>
  <c r="K269" i="23"/>
  <c r="F268" i="23"/>
  <c r="K267" i="23"/>
  <c r="C257" i="23"/>
  <c r="K256" i="23"/>
  <c r="K255" i="23"/>
  <c r="K297" i="23" s="1"/>
  <c r="J255" i="23"/>
  <c r="I255" i="23"/>
  <c r="H255" i="23"/>
  <c r="G255" i="23"/>
  <c r="G297" i="23" s="1"/>
  <c r="F255" i="23"/>
  <c r="F297" i="23" s="1"/>
  <c r="E255" i="23"/>
  <c r="E297" i="23" s="1"/>
  <c r="D255" i="23"/>
  <c r="K254" i="23"/>
  <c r="J254" i="23"/>
  <c r="I254" i="23"/>
  <c r="H254" i="23"/>
  <c r="G254" i="23"/>
  <c r="F254" i="23"/>
  <c r="E254" i="23"/>
  <c r="D254" i="23"/>
  <c r="K253" i="23"/>
  <c r="K295" i="23" s="1"/>
  <c r="J253" i="23"/>
  <c r="I253" i="23"/>
  <c r="H253" i="23"/>
  <c r="G253" i="23"/>
  <c r="G295" i="23" s="1"/>
  <c r="F253" i="23"/>
  <c r="F295" i="23" s="1"/>
  <c r="E253" i="23"/>
  <c r="E295" i="23" s="1"/>
  <c r="D253" i="23"/>
  <c r="K252" i="23"/>
  <c r="J252" i="23"/>
  <c r="I252" i="23"/>
  <c r="H252" i="23"/>
  <c r="G252" i="23"/>
  <c r="F252" i="23"/>
  <c r="E252" i="23"/>
  <c r="D252" i="23"/>
  <c r="K251" i="23"/>
  <c r="K293" i="23" s="1"/>
  <c r="J251" i="23"/>
  <c r="I251" i="23"/>
  <c r="H251" i="23"/>
  <c r="G251" i="23"/>
  <c r="F251" i="23"/>
  <c r="F293" i="23" s="1"/>
  <c r="E251" i="23"/>
  <c r="E293" i="23" s="1"/>
  <c r="D251" i="23"/>
  <c r="K250" i="23"/>
  <c r="J250" i="23"/>
  <c r="I250" i="23"/>
  <c r="H250" i="23"/>
  <c r="G250" i="23"/>
  <c r="F250" i="23"/>
  <c r="E250" i="23"/>
  <c r="E292" i="23" s="1"/>
  <c r="D250" i="23"/>
  <c r="D292" i="23" s="1"/>
  <c r="K249" i="23"/>
  <c r="K291" i="23" s="1"/>
  <c r="J249" i="23"/>
  <c r="I249" i="23"/>
  <c r="H249" i="23"/>
  <c r="G249" i="23"/>
  <c r="F249" i="23"/>
  <c r="F291" i="23" s="1"/>
  <c r="E249" i="23"/>
  <c r="E291" i="23" s="1"/>
  <c r="D249" i="23"/>
  <c r="K248" i="23"/>
  <c r="J248" i="23"/>
  <c r="I248" i="23"/>
  <c r="H248" i="23"/>
  <c r="G248" i="23"/>
  <c r="G290" i="23" s="1"/>
  <c r="F248" i="23"/>
  <c r="E248" i="23"/>
  <c r="E290" i="23" s="1"/>
  <c r="D248" i="23"/>
  <c r="D290" i="23" s="1"/>
  <c r="K247" i="23"/>
  <c r="J247" i="23"/>
  <c r="I247" i="23"/>
  <c r="H247" i="23"/>
  <c r="G247" i="23"/>
  <c r="F247" i="23"/>
  <c r="F289" i="23" s="1"/>
  <c r="E247" i="23"/>
  <c r="E289" i="23" s="1"/>
  <c r="D247" i="23"/>
  <c r="D289" i="23" s="1"/>
  <c r="K246" i="23"/>
  <c r="J246" i="23"/>
  <c r="I246" i="23"/>
  <c r="H246" i="23"/>
  <c r="G246" i="23"/>
  <c r="G288" i="23" s="1"/>
  <c r="F246" i="23"/>
  <c r="E246" i="23"/>
  <c r="E288" i="23" s="1"/>
  <c r="D246" i="23"/>
  <c r="D288" i="23" s="1"/>
  <c r="K245" i="23"/>
  <c r="J245" i="23"/>
  <c r="I245" i="23"/>
  <c r="H245" i="23"/>
  <c r="G245" i="23"/>
  <c r="F245" i="23"/>
  <c r="F287" i="23" s="1"/>
  <c r="E245" i="23"/>
  <c r="E287" i="23" s="1"/>
  <c r="D245" i="23"/>
  <c r="D287" i="23" s="1"/>
  <c r="K244" i="23"/>
  <c r="K286" i="23" s="1"/>
  <c r="J244" i="23"/>
  <c r="I244" i="23"/>
  <c r="H244" i="23"/>
  <c r="G244" i="23"/>
  <c r="G286" i="23" s="1"/>
  <c r="F244" i="23"/>
  <c r="E244" i="23"/>
  <c r="D244" i="23"/>
  <c r="K243" i="23"/>
  <c r="J243" i="23"/>
  <c r="I243" i="23"/>
  <c r="H243" i="23"/>
  <c r="G243" i="23"/>
  <c r="F243" i="23"/>
  <c r="F285" i="23" s="1"/>
  <c r="E243" i="23"/>
  <c r="E285" i="23" s="1"/>
  <c r="D243" i="23"/>
  <c r="D285" i="23" s="1"/>
  <c r="K242" i="23"/>
  <c r="K284" i="23" s="1"/>
  <c r="J242" i="23"/>
  <c r="I242" i="23"/>
  <c r="H242" i="23"/>
  <c r="G242" i="23"/>
  <c r="G284" i="23" s="1"/>
  <c r="F242" i="23"/>
  <c r="E242" i="23"/>
  <c r="E284" i="23" s="1"/>
  <c r="D242" i="23"/>
  <c r="D284" i="23" s="1"/>
  <c r="K241" i="23"/>
  <c r="J241" i="23"/>
  <c r="I241" i="23"/>
  <c r="H241" i="23"/>
  <c r="G241" i="23"/>
  <c r="F241" i="23"/>
  <c r="F283" i="23" s="1"/>
  <c r="E241" i="23"/>
  <c r="E283" i="23" s="1"/>
  <c r="D241" i="23"/>
  <c r="D283" i="23" s="1"/>
  <c r="K240" i="23"/>
  <c r="K282" i="23" s="1"/>
  <c r="J240" i="23"/>
  <c r="I240" i="23"/>
  <c r="H240" i="23"/>
  <c r="G240" i="23"/>
  <c r="G282" i="23" s="1"/>
  <c r="F240" i="23"/>
  <c r="E240" i="23"/>
  <c r="E282" i="23" s="1"/>
  <c r="D240" i="23"/>
  <c r="K239" i="23"/>
  <c r="J239" i="23"/>
  <c r="I239" i="23"/>
  <c r="H239" i="23"/>
  <c r="G239" i="23"/>
  <c r="F239" i="23"/>
  <c r="F281" i="23" s="1"/>
  <c r="E239" i="23"/>
  <c r="E281" i="23" s="1"/>
  <c r="D239" i="23"/>
  <c r="K238" i="23"/>
  <c r="K280" i="23" s="1"/>
  <c r="J238" i="23"/>
  <c r="I238" i="23"/>
  <c r="H238" i="23"/>
  <c r="G238" i="23"/>
  <c r="G280" i="23" s="1"/>
  <c r="F238" i="23"/>
  <c r="E238" i="23"/>
  <c r="E280" i="23" s="1"/>
  <c r="D238" i="23"/>
  <c r="K237" i="23"/>
  <c r="J237" i="23"/>
  <c r="I237" i="23"/>
  <c r="H237" i="23"/>
  <c r="H279" i="23" s="1"/>
  <c r="G237" i="23"/>
  <c r="G279" i="23" s="1"/>
  <c r="F237" i="23"/>
  <c r="F279" i="23" s="1"/>
  <c r="E237" i="23"/>
  <c r="E279" i="23" s="1"/>
  <c r="D237" i="23"/>
  <c r="K236" i="23"/>
  <c r="K278" i="23" s="1"/>
  <c r="J236" i="23"/>
  <c r="I236" i="23"/>
  <c r="H236" i="23"/>
  <c r="G236" i="23"/>
  <c r="G278" i="23" s="1"/>
  <c r="F236" i="23"/>
  <c r="E236" i="23"/>
  <c r="E278" i="23" s="1"/>
  <c r="D236" i="23"/>
  <c r="D278" i="23" s="1"/>
  <c r="K235" i="23"/>
  <c r="J235" i="23"/>
  <c r="I235" i="23"/>
  <c r="H235" i="23"/>
  <c r="G235" i="23"/>
  <c r="F235" i="23"/>
  <c r="F277" i="23" s="1"/>
  <c r="E235" i="23"/>
  <c r="E277" i="23" s="1"/>
  <c r="D235" i="23"/>
  <c r="K234" i="23"/>
  <c r="K276" i="23" s="1"/>
  <c r="J234" i="23"/>
  <c r="I234" i="23"/>
  <c r="H234" i="23"/>
  <c r="G234" i="23"/>
  <c r="G276" i="23" s="1"/>
  <c r="F234" i="23"/>
  <c r="E234" i="23"/>
  <c r="E276" i="23" s="1"/>
  <c r="D234" i="23"/>
  <c r="K233" i="23"/>
  <c r="J233" i="23"/>
  <c r="I233" i="23"/>
  <c r="H233" i="23"/>
  <c r="G233" i="23"/>
  <c r="F233" i="23"/>
  <c r="F275" i="23" s="1"/>
  <c r="E233" i="23"/>
  <c r="E275" i="23" s="1"/>
  <c r="D233" i="23"/>
  <c r="K232" i="23"/>
  <c r="K274" i="23" s="1"/>
  <c r="J232" i="23"/>
  <c r="I232" i="23"/>
  <c r="H232" i="23"/>
  <c r="G232" i="23"/>
  <c r="G274" i="23" s="1"/>
  <c r="F232" i="23"/>
  <c r="E232" i="23"/>
  <c r="E274" i="23" s="1"/>
  <c r="D232" i="23"/>
  <c r="D274" i="23" s="1"/>
  <c r="K231" i="23"/>
  <c r="J231" i="23"/>
  <c r="I231" i="23"/>
  <c r="H231" i="23"/>
  <c r="G231" i="23"/>
  <c r="F231" i="23"/>
  <c r="F273" i="23" s="1"/>
  <c r="E231" i="23"/>
  <c r="E273" i="23" s="1"/>
  <c r="D231" i="23"/>
  <c r="K230" i="23"/>
  <c r="K272" i="23" s="1"/>
  <c r="J230" i="23"/>
  <c r="I230" i="23"/>
  <c r="H230" i="23"/>
  <c r="G230" i="23"/>
  <c r="G272" i="23" s="1"/>
  <c r="F230" i="23"/>
  <c r="E230" i="23"/>
  <c r="E272" i="23" s="1"/>
  <c r="D230" i="23"/>
  <c r="K229" i="23"/>
  <c r="J229" i="23"/>
  <c r="I229" i="23"/>
  <c r="H229" i="23"/>
  <c r="G229" i="23"/>
  <c r="F229" i="23"/>
  <c r="F271" i="23" s="1"/>
  <c r="E229" i="23"/>
  <c r="E271" i="23" s="1"/>
  <c r="D229" i="23"/>
  <c r="K228" i="23"/>
  <c r="K270" i="23" s="1"/>
  <c r="J228" i="23"/>
  <c r="I228" i="23"/>
  <c r="H228" i="23"/>
  <c r="G228" i="23"/>
  <c r="G270" i="23" s="1"/>
  <c r="F228" i="23"/>
  <c r="E228" i="23"/>
  <c r="E270" i="23" s="1"/>
  <c r="D228" i="23"/>
  <c r="D270" i="23" s="1"/>
  <c r="K227" i="23"/>
  <c r="J227" i="23"/>
  <c r="I227" i="23"/>
  <c r="H227" i="23"/>
  <c r="G227" i="23"/>
  <c r="F227" i="23"/>
  <c r="F269" i="23" s="1"/>
  <c r="E227" i="23"/>
  <c r="E269" i="23" s="1"/>
  <c r="D227" i="23"/>
  <c r="K226" i="23"/>
  <c r="K268" i="23" s="1"/>
  <c r="J226" i="23"/>
  <c r="I226" i="23"/>
  <c r="H226" i="23"/>
  <c r="G226" i="23"/>
  <c r="G268" i="23" s="1"/>
  <c r="F226" i="23"/>
  <c r="E226" i="23"/>
  <c r="E268" i="23" s="1"/>
  <c r="D226" i="23"/>
  <c r="K225" i="23"/>
  <c r="J225" i="23"/>
  <c r="J256" i="23" s="1"/>
  <c r="I225" i="23"/>
  <c r="H225" i="23"/>
  <c r="G225" i="23"/>
  <c r="F225" i="23"/>
  <c r="E225" i="23"/>
  <c r="E267" i="23" s="1"/>
  <c r="D225" i="23"/>
  <c r="D256" i="23" s="1"/>
  <c r="C216" i="23"/>
  <c r="K214" i="23"/>
  <c r="F213" i="23"/>
  <c r="K212" i="23"/>
  <c r="F212" i="23"/>
  <c r="E212" i="23"/>
  <c r="K210" i="23"/>
  <c r="G210" i="23"/>
  <c r="F210" i="23"/>
  <c r="E210" i="23"/>
  <c r="F209" i="23"/>
  <c r="E209" i="23"/>
  <c r="K208" i="23"/>
  <c r="E208" i="23"/>
  <c r="F207" i="23"/>
  <c r="K206" i="23"/>
  <c r="G206" i="23"/>
  <c r="F206" i="23"/>
  <c r="E206" i="23"/>
  <c r="E205" i="23"/>
  <c r="K204" i="23"/>
  <c r="F204" i="23"/>
  <c r="H203" i="23"/>
  <c r="F203" i="23"/>
  <c r="K202" i="23"/>
  <c r="F202" i="23"/>
  <c r="E202" i="23"/>
  <c r="F201" i="23"/>
  <c r="K200" i="23"/>
  <c r="H200" i="23"/>
  <c r="G200" i="23"/>
  <c r="F200" i="23"/>
  <c r="E200" i="23"/>
  <c r="F199" i="23"/>
  <c r="K198" i="23"/>
  <c r="I197" i="23"/>
  <c r="H197" i="23"/>
  <c r="F197" i="23"/>
  <c r="K196" i="23"/>
  <c r="G196" i="23"/>
  <c r="F196" i="23"/>
  <c r="E196" i="23"/>
  <c r="D196" i="23"/>
  <c r="K194" i="23"/>
  <c r="H194" i="23"/>
  <c r="F194" i="23"/>
  <c r="F193" i="23"/>
  <c r="K192" i="23"/>
  <c r="E192" i="23"/>
  <c r="D192" i="23"/>
  <c r="I191" i="23"/>
  <c r="F191" i="23"/>
  <c r="K190" i="23"/>
  <c r="F190" i="23"/>
  <c r="E190" i="23"/>
  <c r="F189" i="23"/>
  <c r="D189" i="23"/>
  <c r="K188" i="23"/>
  <c r="F187" i="23"/>
  <c r="K186" i="23"/>
  <c r="F186" i="23"/>
  <c r="E186" i="23"/>
  <c r="D186" i="23"/>
  <c r="K184" i="23"/>
  <c r="F184" i="23"/>
  <c r="E184" i="23"/>
  <c r="C174" i="23"/>
  <c r="E173" i="23"/>
  <c r="K172" i="23"/>
  <c r="J172" i="23"/>
  <c r="I172" i="23"/>
  <c r="H172" i="23"/>
  <c r="G172" i="23"/>
  <c r="G214" i="23" s="1"/>
  <c r="F172" i="23"/>
  <c r="F214" i="23" s="1"/>
  <c r="E172" i="23"/>
  <c r="E214" i="23" s="1"/>
  <c r="D172" i="23"/>
  <c r="K171" i="23"/>
  <c r="K213" i="23" s="1"/>
  <c r="J171" i="23"/>
  <c r="J213" i="23" s="1"/>
  <c r="I171" i="23"/>
  <c r="I213" i="23" s="1"/>
  <c r="H171" i="23"/>
  <c r="G171" i="23"/>
  <c r="G213" i="23" s="1"/>
  <c r="F171" i="23"/>
  <c r="E171" i="23"/>
  <c r="D171" i="23"/>
  <c r="K170" i="23"/>
  <c r="J170" i="23"/>
  <c r="I170" i="23"/>
  <c r="H170" i="23"/>
  <c r="G170" i="23"/>
  <c r="G212" i="23" s="1"/>
  <c r="F170" i="23"/>
  <c r="E170" i="23"/>
  <c r="D170" i="23"/>
  <c r="K169" i="23"/>
  <c r="K211" i="23" s="1"/>
  <c r="J169" i="23"/>
  <c r="J211" i="23" s="1"/>
  <c r="I169" i="23"/>
  <c r="I211" i="23" s="1"/>
  <c r="H169" i="23"/>
  <c r="H211" i="23" s="1"/>
  <c r="G169" i="23"/>
  <c r="G211" i="23" s="1"/>
  <c r="F169" i="23"/>
  <c r="F211" i="23" s="1"/>
  <c r="E169" i="23"/>
  <c r="E211" i="23" s="1"/>
  <c r="D169" i="23"/>
  <c r="K168" i="23"/>
  <c r="J168" i="23"/>
  <c r="I168" i="23"/>
  <c r="H168" i="23"/>
  <c r="G168" i="23"/>
  <c r="F168" i="23"/>
  <c r="E168" i="23"/>
  <c r="D168" i="23"/>
  <c r="D210" i="23" s="1"/>
  <c r="K167" i="23"/>
  <c r="K209" i="23" s="1"/>
  <c r="J167" i="23"/>
  <c r="J209" i="23" s="1"/>
  <c r="I167" i="23"/>
  <c r="I209" i="23" s="1"/>
  <c r="H167" i="23"/>
  <c r="H209" i="23" s="1"/>
  <c r="G167" i="23"/>
  <c r="G209" i="23" s="1"/>
  <c r="F167" i="23"/>
  <c r="E167" i="23"/>
  <c r="D167" i="23"/>
  <c r="K166" i="23"/>
  <c r="J166" i="23"/>
  <c r="I166" i="23"/>
  <c r="H166" i="23"/>
  <c r="G166" i="23"/>
  <c r="G208" i="23" s="1"/>
  <c r="F166" i="23"/>
  <c r="F208" i="23" s="1"/>
  <c r="E166" i="23"/>
  <c r="D166" i="23"/>
  <c r="K165" i="23"/>
  <c r="K207" i="23" s="1"/>
  <c r="J165" i="23"/>
  <c r="J207" i="23" s="1"/>
  <c r="I165" i="23"/>
  <c r="I207" i="23" s="1"/>
  <c r="H165" i="23"/>
  <c r="G165" i="23"/>
  <c r="G207" i="23" s="1"/>
  <c r="F165" i="23"/>
  <c r="E165" i="23"/>
  <c r="D165" i="23"/>
  <c r="K164" i="23"/>
  <c r="J164" i="23"/>
  <c r="I164" i="23"/>
  <c r="H164" i="23"/>
  <c r="G164" i="23"/>
  <c r="F164" i="23"/>
  <c r="E164" i="23"/>
  <c r="D164" i="23"/>
  <c r="D206" i="23" s="1"/>
  <c r="K163" i="23"/>
  <c r="K205" i="23" s="1"/>
  <c r="J163" i="23"/>
  <c r="J205" i="23" s="1"/>
  <c r="I163" i="23"/>
  <c r="I205" i="23" s="1"/>
  <c r="H163" i="23"/>
  <c r="H205" i="23" s="1"/>
  <c r="G163" i="23"/>
  <c r="G205" i="23" s="1"/>
  <c r="F163" i="23"/>
  <c r="F205" i="23" s="1"/>
  <c r="E163" i="23"/>
  <c r="D163" i="23"/>
  <c r="K162" i="23"/>
  <c r="J162" i="23"/>
  <c r="I162" i="23"/>
  <c r="H162" i="23"/>
  <c r="G162" i="23"/>
  <c r="G204" i="23" s="1"/>
  <c r="F162" i="23"/>
  <c r="E162" i="23"/>
  <c r="E204" i="23" s="1"/>
  <c r="D162" i="23"/>
  <c r="D204" i="23" s="1"/>
  <c r="K161" i="23"/>
  <c r="K203" i="23" s="1"/>
  <c r="J161" i="23"/>
  <c r="J203" i="23" s="1"/>
  <c r="I161" i="23"/>
  <c r="I203" i="23" s="1"/>
  <c r="H161" i="23"/>
  <c r="G161" i="23"/>
  <c r="G203" i="23" s="1"/>
  <c r="F161" i="23"/>
  <c r="E161" i="23"/>
  <c r="D161" i="23"/>
  <c r="K160" i="23"/>
  <c r="J160" i="23"/>
  <c r="I160" i="23"/>
  <c r="H160" i="23"/>
  <c r="G160" i="23"/>
  <c r="G202" i="23" s="1"/>
  <c r="F160" i="23"/>
  <c r="E160" i="23"/>
  <c r="D160" i="23"/>
  <c r="K159" i="23"/>
  <c r="K201" i="23" s="1"/>
  <c r="J159" i="23"/>
  <c r="J201" i="23" s="1"/>
  <c r="I159" i="23"/>
  <c r="I201" i="23" s="1"/>
  <c r="H159" i="23"/>
  <c r="H201" i="23" s="1"/>
  <c r="G159" i="23"/>
  <c r="G201" i="23" s="1"/>
  <c r="F159" i="23"/>
  <c r="E159" i="23"/>
  <c r="E201" i="23" s="1"/>
  <c r="D159" i="23"/>
  <c r="K158" i="23"/>
  <c r="J158" i="23"/>
  <c r="I158" i="23"/>
  <c r="H158" i="23"/>
  <c r="G158" i="23"/>
  <c r="F158" i="23"/>
  <c r="E158" i="23"/>
  <c r="D158" i="23"/>
  <c r="D200" i="23" s="1"/>
  <c r="K157" i="23"/>
  <c r="K199" i="23" s="1"/>
  <c r="J157" i="23"/>
  <c r="J199" i="23" s="1"/>
  <c r="I157" i="23"/>
  <c r="I199" i="23" s="1"/>
  <c r="H157" i="23"/>
  <c r="H199" i="23" s="1"/>
  <c r="G157" i="23"/>
  <c r="G199" i="23" s="1"/>
  <c r="F157" i="23"/>
  <c r="E157" i="23"/>
  <c r="D157" i="23"/>
  <c r="K156" i="23"/>
  <c r="J156" i="23"/>
  <c r="I156" i="23"/>
  <c r="H156" i="23"/>
  <c r="G156" i="23"/>
  <c r="G198" i="23" s="1"/>
  <c r="F156" i="23"/>
  <c r="F198" i="23" s="1"/>
  <c r="E156" i="23"/>
  <c r="E198" i="23" s="1"/>
  <c r="D156" i="23"/>
  <c r="D198" i="23" s="1"/>
  <c r="K155" i="23"/>
  <c r="K197" i="23" s="1"/>
  <c r="J155" i="23"/>
  <c r="J197" i="23" s="1"/>
  <c r="I155" i="23"/>
  <c r="H155" i="23"/>
  <c r="G155" i="23"/>
  <c r="G197" i="23" s="1"/>
  <c r="F155" i="23"/>
  <c r="E155" i="23"/>
  <c r="D155" i="23"/>
  <c r="K154" i="23"/>
  <c r="J154" i="23"/>
  <c r="I154" i="23"/>
  <c r="H154" i="23"/>
  <c r="G154" i="23"/>
  <c r="F154" i="23"/>
  <c r="E154" i="23"/>
  <c r="D154" i="23"/>
  <c r="K153" i="23"/>
  <c r="K195" i="23" s="1"/>
  <c r="J153" i="23"/>
  <c r="J195" i="23" s="1"/>
  <c r="I153" i="23"/>
  <c r="I195" i="23" s="1"/>
  <c r="H153" i="23"/>
  <c r="H195" i="23" s="1"/>
  <c r="G153" i="23"/>
  <c r="G195" i="23" s="1"/>
  <c r="F153" i="23"/>
  <c r="F195" i="23" s="1"/>
  <c r="E153" i="23"/>
  <c r="E195" i="23" s="1"/>
  <c r="D153" i="23"/>
  <c r="K152" i="23"/>
  <c r="J152" i="23"/>
  <c r="I152" i="23"/>
  <c r="H152" i="23"/>
  <c r="G152" i="23"/>
  <c r="G194" i="23" s="1"/>
  <c r="F152" i="23"/>
  <c r="E152" i="23"/>
  <c r="E194" i="23" s="1"/>
  <c r="D152" i="23"/>
  <c r="D194" i="23" s="1"/>
  <c r="K151" i="23"/>
  <c r="K193" i="23" s="1"/>
  <c r="J151" i="23"/>
  <c r="J193" i="23" s="1"/>
  <c r="I151" i="23"/>
  <c r="I193" i="23" s="1"/>
  <c r="H151" i="23"/>
  <c r="G151" i="23"/>
  <c r="G193" i="23" s="1"/>
  <c r="F151" i="23"/>
  <c r="E151" i="23"/>
  <c r="D151" i="23"/>
  <c r="K150" i="23"/>
  <c r="J150" i="23"/>
  <c r="I150" i="23"/>
  <c r="H150" i="23"/>
  <c r="G150" i="23"/>
  <c r="G192" i="23" s="1"/>
  <c r="F150" i="23"/>
  <c r="F192" i="23" s="1"/>
  <c r="E150" i="23"/>
  <c r="D150" i="23"/>
  <c r="K149" i="23"/>
  <c r="K191" i="23" s="1"/>
  <c r="J149" i="23"/>
  <c r="J191" i="23" s="1"/>
  <c r="I149" i="23"/>
  <c r="H149" i="23"/>
  <c r="H191" i="23" s="1"/>
  <c r="G149" i="23"/>
  <c r="G191" i="23" s="1"/>
  <c r="F149" i="23"/>
  <c r="E149" i="23"/>
  <c r="E191" i="23" s="1"/>
  <c r="D149" i="23"/>
  <c r="K148" i="23"/>
  <c r="J148" i="23"/>
  <c r="I148" i="23"/>
  <c r="H148" i="23"/>
  <c r="G148" i="23"/>
  <c r="G190" i="23" s="1"/>
  <c r="F148" i="23"/>
  <c r="E148" i="23"/>
  <c r="D148" i="23"/>
  <c r="D190" i="23" s="1"/>
  <c r="K147" i="23"/>
  <c r="K189" i="23" s="1"/>
  <c r="J147" i="23"/>
  <c r="J189" i="23" s="1"/>
  <c r="I147" i="23"/>
  <c r="I189" i="23" s="1"/>
  <c r="H147" i="23"/>
  <c r="H189" i="23" s="1"/>
  <c r="G147" i="23"/>
  <c r="G189" i="23" s="1"/>
  <c r="F147" i="23"/>
  <c r="E147" i="23"/>
  <c r="D147" i="23"/>
  <c r="K146" i="23"/>
  <c r="J146" i="23"/>
  <c r="I146" i="23"/>
  <c r="H146" i="23"/>
  <c r="G146" i="23"/>
  <c r="G188" i="23" s="1"/>
  <c r="F146" i="23"/>
  <c r="F188" i="23" s="1"/>
  <c r="E146" i="23"/>
  <c r="E188" i="23" s="1"/>
  <c r="D146" i="23"/>
  <c r="D188" i="23" s="1"/>
  <c r="K145" i="23"/>
  <c r="K187" i="23" s="1"/>
  <c r="J145" i="23"/>
  <c r="J187" i="23" s="1"/>
  <c r="I145" i="23"/>
  <c r="I187" i="23" s="1"/>
  <c r="H145" i="23"/>
  <c r="G145" i="23"/>
  <c r="G187" i="23" s="1"/>
  <c r="F145" i="23"/>
  <c r="E145" i="23"/>
  <c r="D145" i="23"/>
  <c r="K144" i="23"/>
  <c r="J144" i="23"/>
  <c r="I144" i="23"/>
  <c r="H144" i="23"/>
  <c r="G144" i="23"/>
  <c r="G186" i="23" s="1"/>
  <c r="F144" i="23"/>
  <c r="E144" i="23"/>
  <c r="D144" i="23"/>
  <c r="K143" i="23"/>
  <c r="K185" i="23" s="1"/>
  <c r="J143" i="23"/>
  <c r="J185" i="23" s="1"/>
  <c r="I143" i="23"/>
  <c r="I185" i="23" s="1"/>
  <c r="H143" i="23"/>
  <c r="H173" i="23" s="1"/>
  <c r="G143" i="23"/>
  <c r="G185" i="23" s="1"/>
  <c r="F143" i="23"/>
  <c r="F185" i="23" s="1"/>
  <c r="E143" i="23"/>
  <c r="E185" i="23" s="1"/>
  <c r="D143" i="23"/>
  <c r="K142" i="23"/>
  <c r="J142" i="23"/>
  <c r="I142" i="23"/>
  <c r="I173" i="23" s="1"/>
  <c r="H142" i="23"/>
  <c r="G142" i="23"/>
  <c r="G173" i="23" s="1"/>
  <c r="F142" i="23"/>
  <c r="F173" i="23" s="1"/>
  <c r="E142" i="23"/>
  <c r="D142" i="23"/>
  <c r="D173" i="23" s="1"/>
  <c r="C132" i="23"/>
  <c r="F130" i="23"/>
  <c r="E130" i="23"/>
  <c r="F129" i="23"/>
  <c r="K128" i="23"/>
  <c r="F128" i="23"/>
  <c r="E128" i="23"/>
  <c r="H127" i="23"/>
  <c r="G127" i="23"/>
  <c r="F126" i="23"/>
  <c r="E126" i="23"/>
  <c r="F124" i="23"/>
  <c r="E124" i="23"/>
  <c r="G123" i="23"/>
  <c r="F123" i="23"/>
  <c r="F122" i="23"/>
  <c r="E122" i="23"/>
  <c r="H121" i="23"/>
  <c r="F120" i="23"/>
  <c r="E120" i="23"/>
  <c r="F118" i="23"/>
  <c r="E118" i="23"/>
  <c r="H117" i="23"/>
  <c r="G117" i="23"/>
  <c r="F116" i="23"/>
  <c r="E116" i="23"/>
  <c r="H114" i="23"/>
  <c r="G114" i="23"/>
  <c r="F114" i="23"/>
  <c r="E114" i="23"/>
  <c r="K112" i="23"/>
  <c r="F112" i="23"/>
  <c r="E112" i="23"/>
  <c r="I111" i="23"/>
  <c r="H111" i="23"/>
  <c r="F110" i="23"/>
  <c r="E110" i="23"/>
  <c r="H108" i="23"/>
  <c r="F108" i="23"/>
  <c r="E108" i="23"/>
  <c r="K106" i="23"/>
  <c r="F106" i="23"/>
  <c r="E106" i="23"/>
  <c r="J105" i="23"/>
  <c r="I105" i="23"/>
  <c r="F104" i="23"/>
  <c r="E104" i="23"/>
  <c r="K102" i="23"/>
  <c r="F102" i="23"/>
  <c r="E102" i="23"/>
  <c r="G101" i="23"/>
  <c r="F100" i="23"/>
  <c r="E100" i="23"/>
  <c r="C90" i="23"/>
  <c r="I89" i="23"/>
  <c r="K88" i="23"/>
  <c r="K130" i="23" s="1"/>
  <c r="J88" i="23"/>
  <c r="I88" i="23"/>
  <c r="H88" i="23"/>
  <c r="H130" i="23" s="1"/>
  <c r="G88" i="23"/>
  <c r="G130" i="23" s="1"/>
  <c r="F88" i="23"/>
  <c r="E88" i="23"/>
  <c r="D88" i="23"/>
  <c r="K87" i="23"/>
  <c r="J87" i="23"/>
  <c r="I87" i="23"/>
  <c r="I129" i="23" s="1"/>
  <c r="H87" i="23"/>
  <c r="H129" i="23" s="1"/>
  <c r="G87" i="23"/>
  <c r="G129" i="23" s="1"/>
  <c r="F87" i="23"/>
  <c r="E87" i="23"/>
  <c r="E129" i="23" s="1"/>
  <c r="D87" i="23"/>
  <c r="K86" i="23"/>
  <c r="J86" i="23"/>
  <c r="I86" i="23"/>
  <c r="H86" i="23"/>
  <c r="H128" i="23" s="1"/>
  <c r="G86" i="23"/>
  <c r="G128" i="23" s="1"/>
  <c r="F86" i="23"/>
  <c r="E86" i="23"/>
  <c r="D86" i="23"/>
  <c r="K85" i="23"/>
  <c r="J85" i="23"/>
  <c r="I85" i="23"/>
  <c r="H85" i="23"/>
  <c r="G85" i="23"/>
  <c r="F85" i="23"/>
  <c r="F127" i="23" s="1"/>
  <c r="E85" i="23"/>
  <c r="E127" i="23" s="1"/>
  <c r="D85" i="23"/>
  <c r="K84" i="23"/>
  <c r="K126" i="23" s="1"/>
  <c r="J84" i="23"/>
  <c r="J126" i="23" s="1"/>
  <c r="I84" i="23"/>
  <c r="H84" i="23"/>
  <c r="H126" i="23" s="1"/>
  <c r="G84" i="23"/>
  <c r="G126" i="23" s="1"/>
  <c r="F84" i="23"/>
  <c r="E84" i="23"/>
  <c r="D84" i="23"/>
  <c r="K83" i="23"/>
  <c r="J83" i="23"/>
  <c r="I83" i="23"/>
  <c r="H83" i="23"/>
  <c r="H125" i="23" s="1"/>
  <c r="G83" i="23"/>
  <c r="G125" i="23" s="1"/>
  <c r="F83" i="23"/>
  <c r="F125" i="23" s="1"/>
  <c r="E83" i="23"/>
  <c r="E125" i="23" s="1"/>
  <c r="D83" i="23"/>
  <c r="K82" i="23"/>
  <c r="K124" i="23" s="1"/>
  <c r="J82" i="23"/>
  <c r="I82" i="23"/>
  <c r="H82" i="23"/>
  <c r="G82" i="23"/>
  <c r="G124" i="23" s="1"/>
  <c r="F82" i="23"/>
  <c r="E82" i="23"/>
  <c r="D82" i="23"/>
  <c r="K81" i="23"/>
  <c r="J81" i="23"/>
  <c r="I81" i="23"/>
  <c r="I123" i="23" s="1"/>
  <c r="H81" i="23"/>
  <c r="H123" i="23" s="1"/>
  <c r="G81" i="23"/>
  <c r="F81" i="23"/>
  <c r="E81" i="23"/>
  <c r="E123" i="23" s="1"/>
  <c r="D81" i="23"/>
  <c r="K80" i="23"/>
  <c r="K122" i="23" s="1"/>
  <c r="J80" i="23"/>
  <c r="I80" i="23"/>
  <c r="H80" i="23"/>
  <c r="H122" i="23" s="1"/>
  <c r="G80" i="23"/>
  <c r="G122" i="23" s="1"/>
  <c r="F80" i="23"/>
  <c r="E80" i="23"/>
  <c r="D80" i="23"/>
  <c r="K79" i="23"/>
  <c r="J79" i="23"/>
  <c r="I79" i="23"/>
  <c r="H79" i="23"/>
  <c r="G79" i="23"/>
  <c r="G121" i="23" s="1"/>
  <c r="F79" i="23"/>
  <c r="F121" i="23" s="1"/>
  <c r="E79" i="23"/>
  <c r="E121" i="23" s="1"/>
  <c r="D79" i="23"/>
  <c r="K78" i="23"/>
  <c r="K120" i="23" s="1"/>
  <c r="J78" i="23"/>
  <c r="J120" i="23" s="1"/>
  <c r="I78" i="23"/>
  <c r="H78" i="23"/>
  <c r="H120" i="23" s="1"/>
  <c r="G78" i="23"/>
  <c r="G120" i="23" s="1"/>
  <c r="F78" i="23"/>
  <c r="E78" i="23"/>
  <c r="D78" i="23"/>
  <c r="K77" i="23"/>
  <c r="J77" i="23"/>
  <c r="I77" i="23"/>
  <c r="I119" i="23" s="1"/>
  <c r="H77" i="23"/>
  <c r="H119" i="23" s="1"/>
  <c r="G77" i="23"/>
  <c r="G119" i="23" s="1"/>
  <c r="F77" i="23"/>
  <c r="F119" i="23" s="1"/>
  <c r="E77" i="23"/>
  <c r="E119" i="23" s="1"/>
  <c r="D77" i="23"/>
  <c r="K76" i="23"/>
  <c r="K118" i="23" s="1"/>
  <c r="J76" i="23"/>
  <c r="I76" i="23"/>
  <c r="H76" i="23"/>
  <c r="G76" i="23"/>
  <c r="G118" i="23" s="1"/>
  <c r="F76" i="23"/>
  <c r="E76" i="23"/>
  <c r="D76" i="23"/>
  <c r="K75" i="23"/>
  <c r="J75" i="23"/>
  <c r="I75" i="23"/>
  <c r="H75" i="23"/>
  <c r="G75" i="23"/>
  <c r="F75" i="23"/>
  <c r="F117" i="23" s="1"/>
  <c r="E75" i="23"/>
  <c r="E117" i="23" s="1"/>
  <c r="D75" i="23"/>
  <c r="K74" i="23"/>
  <c r="K116" i="23" s="1"/>
  <c r="J74" i="23"/>
  <c r="J116" i="23" s="1"/>
  <c r="I74" i="23"/>
  <c r="H74" i="23"/>
  <c r="H116" i="23" s="1"/>
  <c r="G74" i="23"/>
  <c r="G116" i="23" s="1"/>
  <c r="F74" i="23"/>
  <c r="E74" i="23"/>
  <c r="D74" i="23"/>
  <c r="K73" i="23"/>
  <c r="J73" i="23"/>
  <c r="I73" i="23"/>
  <c r="H73" i="23"/>
  <c r="H115" i="23" s="1"/>
  <c r="G73" i="23"/>
  <c r="G115" i="23" s="1"/>
  <c r="F73" i="23"/>
  <c r="F115" i="23" s="1"/>
  <c r="E73" i="23"/>
  <c r="E115" i="23" s="1"/>
  <c r="D73" i="23"/>
  <c r="K72" i="23"/>
  <c r="K114" i="23" s="1"/>
  <c r="J72" i="23"/>
  <c r="I72" i="23"/>
  <c r="H72" i="23"/>
  <c r="G72" i="23"/>
  <c r="F72" i="23"/>
  <c r="E72" i="23"/>
  <c r="D72" i="23"/>
  <c r="K71" i="23"/>
  <c r="J71" i="23"/>
  <c r="I71" i="23"/>
  <c r="I113" i="23" s="1"/>
  <c r="H71" i="23"/>
  <c r="H113" i="23" s="1"/>
  <c r="G71" i="23"/>
  <c r="G113" i="23" s="1"/>
  <c r="F71" i="23"/>
  <c r="F113" i="23" s="1"/>
  <c r="E71" i="23"/>
  <c r="E113" i="23" s="1"/>
  <c r="D71" i="23"/>
  <c r="K70" i="23"/>
  <c r="J70" i="23"/>
  <c r="I70" i="23"/>
  <c r="H70" i="23"/>
  <c r="H112" i="23" s="1"/>
  <c r="G70" i="23"/>
  <c r="G112" i="23" s="1"/>
  <c r="F70" i="23"/>
  <c r="E70" i="23"/>
  <c r="D70" i="23"/>
  <c r="D112" i="23" s="1"/>
  <c r="K69" i="23"/>
  <c r="J69" i="23"/>
  <c r="I69" i="23"/>
  <c r="H69" i="23"/>
  <c r="G69" i="23"/>
  <c r="G111" i="23" s="1"/>
  <c r="F69" i="23"/>
  <c r="F111" i="23" s="1"/>
  <c r="E69" i="23"/>
  <c r="E111" i="23" s="1"/>
  <c r="D69" i="23"/>
  <c r="K68" i="23"/>
  <c r="K110" i="23" s="1"/>
  <c r="J68" i="23"/>
  <c r="J110" i="23" s="1"/>
  <c r="I68" i="23"/>
  <c r="H68" i="23"/>
  <c r="H110" i="23" s="1"/>
  <c r="G68" i="23"/>
  <c r="G110" i="23" s="1"/>
  <c r="F68" i="23"/>
  <c r="E68" i="23"/>
  <c r="D68" i="23"/>
  <c r="K67" i="23"/>
  <c r="J67" i="23"/>
  <c r="I67" i="23"/>
  <c r="H67" i="23"/>
  <c r="H109" i="23" s="1"/>
  <c r="G67" i="23"/>
  <c r="G109" i="23" s="1"/>
  <c r="F67" i="23"/>
  <c r="F109" i="23" s="1"/>
  <c r="E67" i="23"/>
  <c r="E109" i="23" s="1"/>
  <c r="D67" i="23"/>
  <c r="K66" i="23"/>
  <c r="K108" i="23" s="1"/>
  <c r="J66" i="23"/>
  <c r="I66" i="23"/>
  <c r="H66" i="23"/>
  <c r="G66" i="23"/>
  <c r="G108" i="23" s="1"/>
  <c r="F66" i="23"/>
  <c r="E66" i="23"/>
  <c r="D66" i="23"/>
  <c r="K65" i="23"/>
  <c r="J65" i="23"/>
  <c r="I65" i="23"/>
  <c r="I107" i="23" s="1"/>
  <c r="H65" i="23"/>
  <c r="H107" i="23" s="1"/>
  <c r="G65" i="23"/>
  <c r="G107" i="23" s="1"/>
  <c r="F65" i="23"/>
  <c r="F107" i="23" s="1"/>
  <c r="E65" i="23"/>
  <c r="E107" i="23" s="1"/>
  <c r="D65" i="23"/>
  <c r="K64" i="23"/>
  <c r="J64" i="23"/>
  <c r="I64" i="23"/>
  <c r="H64" i="23"/>
  <c r="H106" i="23" s="1"/>
  <c r="G64" i="23"/>
  <c r="G106" i="23" s="1"/>
  <c r="F64" i="23"/>
  <c r="E64" i="23"/>
  <c r="D64" i="23"/>
  <c r="K63" i="23"/>
  <c r="J63" i="23"/>
  <c r="I63" i="23"/>
  <c r="H63" i="23"/>
  <c r="H105" i="23" s="1"/>
  <c r="G63" i="23"/>
  <c r="G105" i="23" s="1"/>
  <c r="F63" i="23"/>
  <c r="F105" i="23" s="1"/>
  <c r="E63" i="23"/>
  <c r="E105" i="23" s="1"/>
  <c r="D63" i="23"/>
  <c r="K62" i="23"/>
  <c r="K104" i="23" s="1"/>
  <c r="J62" i="23"/>
  <c r="J104" i="23" s="1"/>
  <c r="I62" i="23"/>
  <c r="H62" i="23"/>
  <c r="G62" i="23"/>
  <c r="G104" i="23" s="1"/>
  <c r="F62" i="23"/>
  <c r="E62" i="23"/>
  <c r="D62" i="23"/>
  <c r="K61" i="23"/>
  <c r="J61" i="23"/>
  <c r="I61" i="23"/>
  <c r="H61" i="23"/>
  <c r="H103" i="23" s="1"/>
  <c r="G61" i="23"/>
  <c r="G103" i="23" s="1"/>
  <c r="F61" i="23"/>
  <c r="F103" i="23" s="1"/>
  <c r="E61" i="23"/>
  <c r="E103" i="23" s="1"/>
  <c r="D61" i="23"/>
  <c r="K60" i="23"/>
  <c r="J60" i="23"/>
  <c r="I60" i="23"/>
  <c r="H60" i="23"/>
  <c r="G60" i="23"/>
  <c r="G102" i="23" s="1"/>
  <c r="F60" i="23"/>
  <c r="E60" i="23"/>
  <c r="D60" i="23"/>
  <c r="K59" i="23"/>
  <c r="J59" i="23"/>
  <c r="I59" i="23"/>
  <c r="H59" i="23"/>
  <c r="H101" i="23" s="1"/>
  <c r="G59" i="23"/>
  <c r="F59" i="23"/>
  <c r="F101" i="23" s="1"/>
  <c r="E59" i="23"/>
  <c r="E101" i="23" s="1"/>
  <c r="D59" i="23"/>
  <c r="K58" i="23"/>
  <c r="K89" i="23" s="1"/>
  <c r="J58" i="23"/>
  <c r="J89" i="23" s="1"/>
  <c r="I58" i="23"/>
  <c r="H58" i="23"/>
  <c r="H100" i="23" s="1"/>
  <c r="G58" i="23"/>
  <c r="F58" i="23"/>
  <c r="E58" i="23"/>
  <c r="D58" i="23"/>
  <c r="C47" i="23"/>
  <c r="K46" i="23"/>
  <c r="K45" i="23"/>
  <c r="J45" i="23"/>
  <c r="I45" i="23"/>
  <c r="H45" i="23"/>
  <c r="H297" i="23" s="1"/>
  <c r="G45" i="23"/>
  <c r="F45" i="23"/>
  <c r="E45" i="23"/>
  <c r="D45" i="23"/>
  <c r="D214" i="23" s="1"/>
  <c r="K44" i="23"/>
  <c r="J44" i="23"/>
  <c r="J129" i="23" s="1"/>
  <c r="I44" i="23"/>
  <c r="I296" i="23" s="1"/>
  <c r="H44" i="23"/>
  <c r="H213" i="23" s="1"/>
  <c r="G44" i="23"/>
  <c r="F44" i="23"/>
  <c r="E44" i="23"/>
  <c r="E213" i="23" s="1"/>
  <c r="D44" i="23"/>
  <c r="D213" i="23" s="1"/>
  <c r="K43" i="23"/>
  <c r="J43" i="23"/>
  <c r="I43" i="23"/>
  <c r="I295" i="23" s="1"/>
  <c r="H43" i="23"/>
  <c r="H212" i="23" s="1"/>
  <c r="G43" i="23"/>
  <c r="F43" i="23"/>
  <c r="E43" i="23"/>
  <c r="D43" i="23"/>
  <c r="D212" i="23" s="1"/>
  <c r="K42" i="23"/>
  <c r="J42" i="23"/>
  <c r="J127" i="23" s="1"/>
  <c r="I42" i="23"/>
  <c r="I294" i="23" s="1"/>
  <c r="H42" i="23"/>
  <c r="H294" i="23" s="1"/>
  <c r="G42" i="23"/>
  <c r="F42" i="23"/>
  <c r="E42" i="23"/>
  <c r="E294" i="23" s="1"/>
  <c r="D42" i="23"/>
  <c r="D211" i="23" s="1"/>
  <c r="K41" i="23"/>
  <c r="J41" i="23"/>
  <c r="I41" i="23"/>
  <c r="I293" i="23" s="1"/>
  <c r="H41" i="23"/>
  <c r="H293" i="23" s="1"/>
  <c r="G41" i="23"/>
  <c r="F41" i="23"/>
  <c r="E41" i="23"/>
  <c r="D41" i="23"/>
  <c r="D293" i="23" s="1"/>
  <c r="K40" i="23"/>
  <c r="J40" i="23"/>
  <c r="J125" i="23" s="1"/>
  <c r="I40" i="23"/>
  <c r="I292" i="23" s="1"/>
  <c r="H40" i="23"/>
  <c r="G40" i="23"/>
  <c r="F40" i="23"/>
  <c r="E40" i="23"/>
  <c r="D40" i="23"/>
  <c r="D209" i="23" s="1"/>
  <c r="K39" i="23"/>
  <c r="J39" i="23"/>
  <c r="J124" i="23" s="1"/>
  <c r="I39" i="23"/>
  <c r="H39" i="23"/>
  <c r="H291" i="23" s="1"/>
  <c r="G39" i="23"/>
  <c r="F39" i="23"/>
  <c r="E39" i="23"/>
  <c r="D39" i="23"/>
  <c r="D208" i="23" s="1"/>
  <c r="K38" i="23"/>
  <c r="J38" i="23"/>
  <c r="J123" i="23" s="1"/>
  <c r="I38" i="23"/>
  <c r="I290" i="23" s="1"/>
  <c r="H38" i="23"/>
  <c r="H207" i="23" s="1"/>
  <c r="G38" i="23"/>
  <c r="F38" i="23"/>
  <c r="E38" i="23"/>
  <c r="E207" i="23" s="1"/>
  <c r="D38" i="23"/>
  <c r="D207" i="23" s="1"/>
  <c r="K37" i="23"/>
  <c r="J37" i="23"/>
  <c r="I37" i="23"/>
  <c r="H37" i="23"/>
  <c r="H206" i="23" s="1"/>
  <c r="G37" i="23"/>
  <c r="F37" i="23"/>
  <c r="E37" i="23"/>
  <c r="D37" i="23"/>
  <c r="K36" i="23"/>
  <c r="K288" i="23" s="1"/>
  <c r="J36" i="23"/>
  <c r="J288" i="23" s="1"/>
  <c r="I36" i="23"/>
  <c r="I288" i="23" s="1"/>
  <c r="H36" i="23"/>
  <c r="G36" i="23"/>
  <c r="F36" i="23"/>
  <c r="E36" i="23"/>
  <c r="D36" i="23"/>
  <c r="D205" i="23" s="1"/>
  <c r="K35" i="23"/>
  <c r="J35" i="23"/>
  <c r="J287" i="23" s="1"/>
  <c r="I35" i="23"/>
  <c r="H35" i="23"/>
  <c r="H204" i="23" s="1"/>
  <c r="G35" i="23"/>
  <c r="F35" i="23"/>
  <c r="E35" i="23"/>
  <c r="D35" i="23"/>
  <c r="K34" i="23"/>
  <c r="J34" i="23"/>
  <c r="J286" i="23" s="1"/>
  <c r="I34" i="23"/>
  <c r="I286" i="23" s="1"/>
  <c r="H34" i="23"/>
  <c r="G34" i="23"/>
  <c r="F34" i="23"/>
  <c r="E34" i="23"/>
  <c r="E203" i="23" s="1"/>
  <c r="D34" i="23"/>
  <c r="D286" i="23" s="1"/>
  <c r="K33" i="23"/>
  <c r="J33" i="23"/>
  <c r="I33" i="23"/>
  <c r="H33" i="23"/>
  <c r="H202" i="23" s="1"/>
  <c r="G33" i="23"/>
  <c r="F33" i="23"/>
  <c r="E33" i="23"/>
  <c r="D33" i="23"/>
  <c r="D202" i="23" s="1"/>
  <c r="K32" i="23"/>
  <c r="J32" i="23"/>
  <c r="J284" i="23" s="1"/>
  <c r="I32" i="23"/>
  <c r="I284" i="23" s="1"/>
  <c r="H32" i="23"/>
  <c r="G32" i="23"/>
  <c r="F32" i="23"/>
  <c r="E32" i="23"/>
  <c r="D32" i="23"/>
  <c r="D201" i="23" s="1"/>
  <c r="K31" i="23"/>
  <c r="J31" i="23"/>
  <c r="J283" i="23" s="1"/>
  <c r="I31" i="23"/>
  <c r="H31" i="23"/>
  <c r="G31" i="23"/>
  <c r="F31" i="23"/>
  <c r="E31" i="23"/>
  <c r="D31" i="23"/>
  <c r="K30" i="23"/>
  <c r="J30" i="23"/>
  <c r="J115" i="23" s="1"/>
  <c r="I30" i="23"/>
  <c r="I282" i="23" s="1"/>
  <c r="H30" i="23"/>
  <c r="G30" i="23"/>
  <c r="F30" i="23"/>
  <c r="E30" i="23"/>
  <c r="E199" i="23" s="1"/>
  <c r="D30" i="23"/>
  <c r="D199" i="23" s="1"/>
  <c r="K29" i="23"/>
  <c r="J29" i="23"/>
  <c r="I29" i="23"/>
  <c r="H29" i="23"/>
  <c r="H198" i="23" s="1"/>
  <c r="G29" i="23"/>
  <c r="F29" i="23"/>
  <c r="E29" i="23"/>
  <c r="D29" i="23"/>
  <c r="D281" i="23" s="1"/>
  <c r="K28" i="23"/>
  <c r="J28" i="23"/>
  <c r="J280" i="23" s="1"/>
  <c r="I28" i="23"/>
  <c r="I280" i="23" s="1"/>
  <c r="H28" i="23"/>
  <c r="G28" i="23"/>
  <c r="F28" i="23"/>
  <c r="E28" i="23"/>
  <c r="E197" i="23" s="1"/>
  <c r="D28" i="23"/>
  <c r="D197" i="23" s="1"/>
  <c r="K27" i="23"/>
  <c r="J27" i="23"/>
  <c r="I27" i="23"/>
  <c r="H27" i="23"/>
  <c r="H196" i="23" s="1"/>
  <c r="G27" i="23"/>
  <c r="F27" i="23"/>
  <c r="E27" i="23"/>
  <c r="D27" i="23"/>
  <c r="K26" i="23"/>
  <c r="J26" i="23"/>
  <c r="J278" i="23" s="1"/>
  <c r="I26" i="23"/>
  <c r="I278" i="23" s="1"/>
  <c r="H26" i="23"/>
  <c r="G26" i="23"/>
  <c r="F26" i="23"/>
  <c r="E26" i="23"/>
  <c r="D26" i="23"/>
  <c r="D195" i="23" s="1"/>
  <c r="K25" i="23"/>
  <c r="J25" i="23"/>
  <c r="J277" i="23" s="1"/>
  <c r="I25" i="23"/>
  <c r="H25" i="23"/>
  <c r="G25" i="23"/>
  <c r="F25" i="23"/>
  <c r="E25" i="23"/>
  <c r="D25" i="23"/>
  <c r="D277" i="23" s="1"/>
  <c r="K24" i="23"/>
  <c r="J24" i="23"/>
  <c r="J276" i="23" s="1"/>
  <c r="I24" i="23"/>
  <c r="I276" i="23" s="1"/>
  <c r="H24" i="23"/>
  <c r="H193" i="23" s="1"/>
  <c r="G24" i="23"/>
  <c r="F24" i="23"/>
  <c r="E24" i="23"/>
  <c r="E193" i="23" s="1"/>
  <c r="D24" i="23"/>
  <c r="D276" i="23" s="1"/>
  <c r="K23" i="23"/>
  <c r="J23" i="23"/>
  <c r="J275" i="23" s="1"/>
  <c r="I23" i="23"/>
  <c r="H23" i="23"/>
  <c r="H192" i="23" s="1"/>
  <c r="G23" i="23"/>
  <c r="F23" i="23"/>
  <c r="E23" i="23"/>
  <c r="D23" i="23"/>
  <c r="D275" i="23" s="1"/>
  <c r="K22" i="23"/>
  <c r="J22" i="23"/>
  <c r="J107" i="23" s="1"/>
  <c r="I22" i="23"/>
  <c r="I274" i="23" s="1"/>
  <c r="H22" i="23"/>
  <c r="G22" i="23"/>
  <c r="F22" i="23"/>
  <c r="E22" i="23"/>
  <c r="D22" i="23"/>
  <c r="D191" i="23" s="1"/>
  <c r="K21" i="23"/>
  <c r="J21" i="23"/>
  <c r="J106" i="23" s="1"/>
  <c r="I21" i="23"/>
  <c r="H21" i="23"/>
  <c r="H190" i="23" s="1"/>
  <c r="G21" i="23"/>
  <c r="F21" i="23"/>
  <c r="E21" i="23"/>
  <c r="D21" i="23"/>
  <c r="D273" i="23" s="1"/>
  <c r="K20" i="23"/>
  <c r="J20" i="23"/>
  <c r="J272" i="23" s="1"/>
  <c r="I20" i="23"/>
  <c r="I272" i="23" s="1"/>
  <c r="H20" i="23"/>
  <c r="G20" i="23"/>
  <c r="F20" i="23"/>
  <c r="E20" i="23"/>
  <c r="E189" i="23" s="1"/>
  <c r="D20" i="23"/>
  <c r="D272" i="23" s="1"/>
  <c r="K19" i="23"/>
  <c r="J19" i="23"/>
  <c r="J271" i="23" s="1"/>
  <c r="I19" i="23"/>
  <c r="H19" i="23"/>
  <c r="H104" i="23" s="1"/>
  <c r="G19" i="23"/>
  <c r="F19" i="23"/>
  <c r="E19" i="23"/>
  <c r="D19" i="23"/>
  <c r="D271" i="23" s="1"/>
  <c r="K18" i="23"/>
  <c r="J18" i="23"/>
  <c r="J103" i="23" s="1"/>
  <c r="I18" i="23"/>
  <c r="I270" i="23" s="1"/>
  <c r="H18" i="23"/>
  <c r="H187" i="23" s="1"/>
  <c r="G18" i="23"/>
  <c r="F18" i="23"/>
  <c r="E18" i="23"/>
  <c r="E187" i="23" s="1"/>
  <c r="D18" i="23"/>
  <c r="D187" i="23" s="1"/>
  <c r="K17" i="23"/>
  <c r="J17" i="23"/>
  <c r="J269" i="23" s="1"/>
  <c r="I17" i="23"/>
  <c r="H17" i="23"/>
  <c r="H186" i="23" s="1"/>
  <c r="G17" i="23"/>
  <c r="F17" i="23"/>
  <c r="E17" i="23"/>
  <c r="D17" i="23"/>
  <c r="D269" i="23" s="1"/>
  <c r="K16" i="23"/>
  <c r="J16" i="23"/>
  <c r="J268" i="23" s="1"/>
  <c r="I16" i="23"/>
  <c r="I268" i="23" s="1"/>
  <c r="H16" i="23"/>
  <c r="G16" i="23"/>
  <c r="F16" i="23"/>
  <c r="E16" i="23"/>
  <c r="E46" i="23" s="1"/>
  <c r="D16" i="23"/>
  <c r="D185" i="23" s="1"/>
  <c r="K15" i="23"/>
  <c r="J15" i="23"/>
  <c r="I15" i="23"/>
  <c r="I46" i="23" s="1"/>
  <c r="H15" i="23"/>
  <c r="H184" i="23" s="1"/>
  <c r="G15" i="23"/>
  <c r="G46" i="23" s="1"/>
  <c r="F15" i="23"/>
  <c r="F46" i="23" s="1"/>
  <c r="E15" i="23"/>
  <c r="D15" i="23"/>
  <c r="D267" i="23" s="1"/>
  <c r="Q271" i="22"/>
  <c r="O271" i="22"/>
  <c r="L271" i="22"/>
  <c r="H271" i="22"/>
  <c r="G271" i="22"/>
  <c r="F271" i="22"/>
  <c r="F262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U256" i="22"/>
  <c r="T256" i="22"/>
  <c r="H250" i="22"/>
  <c r="G250" i="22"/>
  <c r="S246" i="22"/>
  <c r="V235" i="22"/>
  <c r="U235" i="22"/>
  <c r="T235" i="22"/>
  <c r="S235" i="22"/>
  <c r="R235" i="22"/>
  <c r="Q235" i="22"/>
  <c r="P235" i="22"/>
  <c r="P274" i="22" s="1"/>
  <c r="O235" i="22"/>
  <c r="N235" i="22"/>
  <c r="M235" i="22"/>
  <c r="L235" i="22"/>
  <c r="K235" i="22"/>
  <c r="J235" i="22"/>
  <c r="I235" i="22"/>
  <c r="H235" i="22"/>
  <c r="G235" i="22"/>
  <c r="F235" i="22"/>
  <c r="E235" i="22"/>
  <c r="D235" i="22"/>
  <c r="V234" i="22"/>
  <c r="U234" i="22"/>
  <c r="T234" i="22"/>
  <c r="S234" i="22"/>
  <c r="S273" i="22" s="1"/>
  <c r="R234" i="22"/>
  <c r="Q234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V233" i="22"/>
  <c r="V272" i="22" s="1"/>
  <c r="U233" i="22"/>
  <c r="T233" i="22"/>
  <c r="S233" i="22"/>
  <c r="R233" i="22"/>
  <c r="Q233" i="22"/>
  <c r="P233" i="22"/>
  <c r="O233" i="22"/>
  <c r="N233" i="22"/>
  <c r="M233" i="22"/>
  <c r="L233" i="22"/>
  <c r="K233" i="22"/>
  <c r="J233" i="22"/>
  <c r="I233" i="22"/>
  <c r="H233" i="22"/>
  <c r="G233" i="22"/>
  <c r="F233" i="22"/>
  <c r="F272" i="22" s="1"/>
  <c r="E233" i="22"/>
  <c r="D233" i="22"/>
  <c r="V232" i="22"/>
  <c r="U232" i="22"/>
  <c r="U271" i="22" s="1"/>
  <c r="T232" i="22"/>
  <c r="T271" i="22" s="1"/>
  <c r="S232" i="22"/>
  <c r="S271" i="22" s="1"/>
  <c r="R232" i="22"/>
  <c r="R271" i="22" s="1"/>
  <c r="Q232" i="22"/>
  <c r="P232" i="22"/>
  <c r="P271" i="22" s="1"/>
  <c r="O232" i="22"/>
  <c r="N232" i="22"/>
  <c r="N271" i="22" s="1"/>
  <c r="M232" i="22"/>
  <c r="M271" i="22" s="1"/>
  <c r="L232" i="22"/>
  <c r="K232" i="22"/>
  <c r="K271" i="22" s="1"/>
  <c r="J232" i="22"/>
  <c r="J271" i="22" s="1"/>
  <c r="I232" i="22"/>
  <c r="I271" i="22" s="1"/>
  <c r="H232" i="22"/>
  <c r="G232" i="22"/>
  <c r="F232" i="22"/>
  <c r="E232" i="22"/>
  <c r="E271" i="22" s="1"/>
  <c r="D232" i="22"/>
  <c r="D271" i="22" s="1"/>
  <c r="V231" i="22"/>
  <c r="U231" i="22"/>
  <c r="T231" i="22"/>
  <c r="S231" i="22"/>
  <c r="R231" i="22"/>
  <c r="Q231" i="22"/>
  <c r="P231" i="22"/>
  <c r="O231" i="22"/>
  <c r="N231" i="22"/>
  <c r="M231" i="22"/>
  <c r="L231" i="22"/>
  <c r="L270" i="22" s="1"/>
  <c r="K231" i="22"/>
  <c r="J231" i="22"/>
  <c r="I231" i="22"/>
  <c r="H231" i="22"/>
  <c r="G231" i="22"/>
  <c r="F231" i="22"/>
  <c r="E231" i="22"/>
  <c r="D231" i="22"/>
  <c r="V230" i="22"/>
  <c r="U230" i="22"/>
  <c r="T230" i="22"/>
  <c r="S230" i="22"/>
  <c r="R230" i="22"/>
  <c r="Q230" i="22"/>
  <c r="P230" i="22"/>
  <c r="O230" i="22"/>
  <c r="O269" i="22" s="1"/>
  <c r="N230" i="22"/>
  <c r="M230" i="22"/>
  <c r="L230" i="22"/>
  <c r="K230" i="22"/>
  <c r="J230" i="22"/>
  <c r="I230" i="22"/>
  <c r="H230" i="22"/>
  <c r="G230" i="22"/>
  <c r="F230" i="22"/>
  <c r="E230" i="22"/>
  <c r="D230" i="22"/>
  <c r="V229" i="22"/>
  <c r="U229" i="22"/>
  <c r="T229" i="22"/>
  <c r="S229" i="22"/>
  <c r="R229" i="22"/>
  <c r="R268" i="22" s="1"/>
  <c r="Q229" i="22"/>
  <c r="P229" i="22"/>
  <c r="O229" i="22"/>
  <c r="N229" i="22"/>
  <c r="M229" i="22"/>
  <c r="L229" i="22"/>
  <c r="K229" i="22"/>
  <c r="J229" i="22"/>
  <c r="I229" i="22"/>
  <c r="H229" i="22"/>
  <c r="G229" i="22"/>
  <c r="F229" i="22"/>
  <c r="E229" i="22"/>
  <c r="D229" i="22"/>
  <c r="V228" i="22"/>
  <c r="U228" i="22"/>
  <c r="U267" i="22" s="1"/>
  <c r="T228" i="22"/>
  <c r="S228" i="22"/>
  <c r="R228" i="22"/>
  <c r="Q228" i="22"/>
  <c r="P228" i="22"/>
  <c r="O228" i="22"/>
  <c r="N228" i="22"/>
  <c r="M228" i="22"/>
  <c r="L228" i="22"/>
  <c r="K228" i="22"/>
  <c r="J228" i="22"/>
  <c r="I228" i="22"/>
  <c r="H228" i="22"/>
  <c r="G228" i="22"/>
  <c r="F228" i="22"/>
  <c r="E228" i="22"/>
  <c r="E267" i="22" s="1"/>
  <c r="D228" i="22"/>
  <c r="V227" i="22"/>
  <c r="U227" i="22"/>
  <c r="T227" i="22"/>
  <c r="S227" i="22"/>
  <c r="R227" i="22"/>
  <c r="Q227" i="22"/>
  <c r="P227" i="22"/>
  <c r="O227" i="22"/>
  <c r="N227" i="22"/>
  <c r="M227" i="22"/>
  <c r="L227" i="22"/>
  <c r="K227" i="22"/>
  <c r="J227" i="22"/>
  <c r="I227" i="22"/>
  <c r="H227" i="22"/>
  <c r="H266" i="22" s="1"/>
  <c r="G227" i="22"/>
  <c r="F227" i="22"/>
  <c r="E227" i="22"/>
  <c r="D227" i="22"/>
  <c r="V226" i="22"/>
  <c r="U226" i="22"/>
  <c r="T226" i="22"/>
  <c r="S226" i="22"/>
  <c r="R226" i="22"/>
  <c r="Q226" i="22"/>
  <c r="P226" i="22"/>
  <c r="O226" i="22"/>
  <c r="N226" i="22"/>
  <c r="M226" i="22"/>
  <c r="L226" i="22"/>
  <c r="K226" i="22"/>
  <c r="K265" i="22" s="1"/>
  <c r="J226" i="22"/>
  <c r="I226" i="22"/>
  <c r="H226" i="22"/>
  <c r="G226" i="22"/>
  <c r="F226" i="22"/>
  <c r="E226" i="22"/>
  <c r="D226" i="22"/>
  <c r="V225" i="22"/>
  <c r="U225" i="22"/>
  <c r="T225" i="22"/>
  <c r="S225" i="22"/>
  <c r="R225" i="22"/>
  <c r="Q225" i="22"/>
  <c r="P225" i="22"/>
  <c r="O225" i="22"/>
  <c r="N225" i="22"/>
  <c r="N264" i="22" s="1"/>
  <c r="M225" i="22"/>
  <c r="L225" i="22"/>
  <c r="K225" i="22"/>
  <c r="J225" i="22"/>
  <c r="I225" i="22"/>
  <c r="H225" i="22"/>
  <c r="G225" i="22"/>
  <c r="F225" i="22"/>
  <c r="E225" i="22"/>
  <c r="D225" i="22"/>
  <c r="V224" i="22"/>
  <c r="U224" i="22"/>
  <c r="T224" i="22"/>
  <c r="S224" i="22"/>
  <c r="R224" i="22"/>
  <c r="Q224" i="22"/>
  <c r="Q263" i="22" s="1"/>
  <c r="P224" i="22"/>
  <c r="O224" i="22"/>
  <c r="N224" i="22"/>
  <c r="M224" i="22"/>
  <c r="L224" i="22"/>
  <c r="K224" i="22"/>
  <c r="J224" i="22"/>
  <c r="I224" i="22"/>
  <c r="H224" i="22"/>
  <c r="G224" i="22"/>
  <c r="F224" i="22"/>
  <c r="E224" i="22"/>
  <c r="D224" i="22"/>
  <c r="V223" i="22"/>
  <c r="U223" i="22"/>
  <c r="T223" i="22"/>
  <c r="T262" i="22" s="1"/>
  <c r="S223" i="22"/>
  <c r="R223" i="22"/>
  <c r="Q223" i="22"/>
  <c r="P223" i="22"/>
  <c r="O223" i="22"/>
  <c r="N223" i="22"/>
  <c r="M223" i="22"/>
  <c r="L223" i="22"/>
  <c r="K223" i="22"/>
  <c r="J223" i="22"/>
  <c r="I223" i="22"/>
  <c r="H223" i="22"/>
  <c r="G223" i="22"/>
  <c r="F223" i="22"/>
  <c r="E223" i="22"/>
  <c r="D223" i="22"/>
  <c r="D262" i="22" s="1"/>
  <c r="V222" i="22"/>
  <c r="U222" i="22"/>
  <c r="T222" i="22"/>
  <c r="S222" i="22"/>
  <c r="R222" i="22"/>
  <c r="Q222" i="22"/>
  <c r="P222" i="22"/>
  <c r="O222" i="22"/>
  <c r="N222" i="22"/>
  <c r="M222" i="22"/>
  <c r="L222" i="22"/>
  <c r="K222" i="22"/>
  <c r="J222" i="22"/>
  <c r="I222" i="22"/>
  <c r="H222" i="22"/>
  <c r="G222" i="22"/>
  <c r="G261" i="22" s="1"/>
  <c r="F222" i="22"/>
  <c r="E222" i="22"/>
  <c r="D222" i="22"/>
  <c r="V221" i="22"/>
  <c r="U221" i="22"/>
  <c r="T221" i="22"/>
  <c r="S221" i="22"/>
  <c r="R221" i="22"/>
  <c r="Q221" i="22"/>
  <c r="P221" i="22"/>
  <c r="O221" i="22"/>
  <c r="N221" i="22"/>
  <c r="M221" i="22"/>
  <c r="L221" i="22"/>
  <c r="K221" i="22"/>
  <c r="J221" i="22"/>
  <c r="J260" i="22" s="1"/>
  <c r="I221" i="22"/>
  <c r="H221" i="22"/>
  <c r="G221" i="22"/>
  <c r="F221" i="22"/>
  <c r="E221" i="22"/>
  <c r="D221" i="22"/>
  <c r="V220" i="22"/>
  <c r="U220" i="22"/>
  <c r="T220" i="22"/>
  <c r="S220" i="22"/>
  <c r="R220" i="22"/>
  <c r="Q220" i="22"/>
  <c r="P220" i="22"/>
  <c r="O220" i="22"/>
  <c r="N220" i="22"/>
  <c r="M220" i="22"/>
  <c r="M259" i="22" s="1"/>
  <c r="L220" i="22"/>
  <c r="K220" i="22"/>
  <c r="J220" i="22"/>
  <c r="I220" i="22"/>
  <c r="H220" i="22"/>
  <c r="G220" i="22"/>
  <c r="F220" i="22"/>
  <c r="E220" i="22"/>
  <c r="D220" i="22"/>
  <c r="V218" i="22"/>
  <c r="U218" i="22"/>
  <c r="T218" i="22"/>
  <c r="S218" i="22"/>
  <c r="R218" i="22"/>
  <c r="Q218" i="22"/>
  <c r="P218" i="22"/>
  <c r="P257" i="22" s="1"/>
  <c r="O218" i="22"/>
  <c r="N218" i="22"/>
  <c r="M218" i="22"/>
  <c r="L218" i="22"/>
  <c r="K218" i="22"/>
  <c r="J218" i="22"/>
  <c r="I218" i="22"/>
  <c r="H218" i="22"/>
  <c r="G218" i="22"/>
  <c r="F218" i="22"/>
  <c r="E218" i="22"/>
  <c r="D218" i="22"/>
  <c r="V217" i="22"/>
  <c r="U217" i="22"/>
  <c r="T217" i="22"/>
  <c r="S217" i="22"/>
  <c r="S256" i="22" s="1"/>
  <c r="R217" i="22"/>
  <c r="Q217" i="22"/>
  <c r="P217" i="22"/>
  <c r="O217" i="22"/>
  <c r="N217" i="22"/>
  <c r="M217" i="22"/>
  <c r="L217" i="22"/>
  <c r="K217" i="22"/>
  <c r="J217" i="22"/>
  <c r="I217" i="22"/>
  <c r="H217" i="22"/>
  <c r="G217" i="22"/>
  <c r="F217" i="22"/>
  <c r="E217" i="22"/>
  <c r="D217" i="22"/>
  <c r="V216" i="22"/>
  <c r="V255" i="22" s="1"/>
  <c r="U216" i="22"/>
  <c r="T216" i="22"/>
  <c r="S216" i="22"/>
  <c r="R216" i="22"/>
  <c r="Q216" i="22"/>
  <c r="P216" i="22"/>
  <c r="O216" i="22"/>
  <c r="N216" i="22"/>
  <c r="M216" i="22"/>
  <c r="L216" i="22"/>
  <c r="K216" i="22"/>
  <c r="J216" i="22"/>
  <c r="I216" i="22"/>
  <c r="H216" i="22"/>
  <c r="G216" i="22"/>
  <c r="F216" i="22"/>
  <c r="F255" i="22" s="1"/>
  <c r="E216" i="22"/>
  <c r="D216" i="22"/>
  <c r="V215" i="22"/>
  <c r="U215" i="22"/>
  <c r="T215" i="22"/>
  <c r="S215" i="22"/>
  <c r="R215" i="22"/>
  <c r="Q215" i="22"/>
  <c r="P215" i="22"/>
  <c r="O215" i="22"/>
  <c r="N215" i="22"/>
  <c r="M215" i="22"/>
  <c r="L215" i="22"/>
  <c r="K215" i="22"/>
  <c r="J215" i="22"/>
  <c r="I215" i="22"/>
  <c r="I254" i="22" s="1"/>
  <c r="H215" i="22"/>
  <c r="G215" i="22"/>
  <c r="F215" i="22"/>
  <c r="E215" i="22"/>
  <c r="D215" i="22"/>
  <c r="V214" i="22"/>
  <c r="U214" i="22"/>
  <c r="T214" i="22"/>
  <c r="S214" i="22"/>
  <c r="R214" i="22"/>
  <c r="Q214" i="22"/>
  <c r="P214" i="22"/>
  <c r="O214" i="22"/>
  <c r="N214" i="22"/>
  <c r="M214" i="22"/>
  <c r="M253" i="22" s="1"/>
  <c r="L214" i="22"/>
  <c r="L253" i="22" s="1"/>
  <c r="K214" i="22"/>
  <c r="J214" i="22"/>
  <c r="I214" i="22"/>
  <c r="H214" i="22"/>
  <c r="G214" i="22"/>
  <c r="F214" i="22"/>
  <c r="E214" i="22"/>
  <c r="D214" i="22"/>
  <c r="V213" i="22"/>
  <c r="U213" i="22"/>
  <c r="T213" i="22"/>
  <c r="S213" i="22"/>
  <c r="R213" i="22"/>
  <c r="Q213" i="22"/>
  <c r="P213" i="22"/>
  <c r="O213" i="22"/>
  <c r="O252" i="22" s="1"/>
  <c r="N213" i="22"/>
  <c r="M213" i="22"/>
  <c r="L213" i="22"/>
  <c r="K213" i="22"/>
  <c r="J213" i="22"/>
  <c r="I213" i="22"/>
  <c r="H213" i="22"/>
  <c r="G213" i="22"/>
  <c r="F213" i="22"/>
  <c r="E213" i="22"/>
  <c r="D213" i="22"/>
  <c r="V212" i="22"/>
  <c r="U212" i="22"/>
  <c r="T212" i="22"/>
  <c r="S212" i="22"/>
  <c r="S251" i="22" s="1"/>
  <c r="R212" i="22"/>
  <c r="R251" i="22" s="1"/>
  <c r="Q212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V211" i="22"/>
  <c r="U211" i="22"/>
  <c r="U250" i="22" s="1"/>
  <c r="T211" i="22"/>
  <c r="S211" i="22"/>
  <c r="R211" i="22"/>
  <c r="Q211" i="22"/>
  <c r="P211" i="22"/>
  <c r="O211" i="22"/>
  <c r="N211" i="22"/>
  <c r="M211" i="22"/>
  <c r="L211" i="22"/>
  <c r="K211" i="22"/>
  <c r="J211" i="22"/>
  <c r="I211" i="22"/>
  <c r="H211" i="22"/>
  <c r="G211" i="22"/>
  <c r="F211" i="22"/>
  <c r="F250" i="22" s="1"/>
  <c r="E211" i="22"/>
  <c r="E250" i="22" s="1"/>
  <c r="D211" i="22"/>
  <c r="D250" i="22" s="1"/>
  <c r="V210" i="22"/>
  <c r="U210" i="22"/>
  <c r="T210" i="22"/>
  <c r="S210" i="22"/>
  <c r="R210" i="22"/>
  <c r="Q210" i="22"/>
  <c r="P210" i="22"/>
  <c r="O210" i="22"/>
  <c r="N210" i="22"/>
  <c r="M210" i="22"/>
  <c r="L210" i="22"/>
  <c r="K210" i="22"/>
  <c r="J210" i="22"/>
  <c r="I210" i="22"/>
  <c r="H210" i="22"/>
  <c r="H249" i="22" s="1"/>
  <c r="G210" i="22"/>
  <c r="F210" i="22"/>
  <c r="E210" i="22"/>
  <c r="D210" i="22"/>
  <c r="V209" i="22"/>
  <c r="U209" i="22"/>
  <c r="T209" i="22"/>
  <c r="S209" i="22"/>
  <c r="R209" i="22"/>
  <c r="Q209" i="22"/>
  <c r="P209" i="22"/>
  <c r="O209" i="22"/>
  <c r="N209" i="22"/>
  <c r="M209" i="22"/>
  <c r="L209" i="22"/>
  <c r="L248" i="22" s="1"/>
  <c r="K209" i="22"/>
  <c r="K248" i="22" s="1"/>
  <c r="J209" i="22"/>
  <c r="I209" i="22"/>
  <c r="H209" i="22"/>
  <c r="G209" i="22"/>
  <c r="F209" i="22"/>
  <c r="E209" i="22"/>
  <c r="D209" i="22"/>
  <c r="V208" i="22"/>
  <c r="U208" i="22"/>
  <c r="T208" i="22"/>
  <c r="S208" i="22"/>
  <c r="R208" i="22"/>
  <c r="Q208" i="22"/>
  <c r="P208" i="22"/>
  <c r="O208" i="22"/>
  <c r="N208" i="22"/>
  <c r="M208" i="22"/>
  <c r="L208" i="22"/>
  <c r="K208" i="22"/>
  <c r="J208" i="22"/>
  <c r="I208" i="22"/>
  <c r="H208" i="22"/>
  <c r="G208" i="22"/>
  <c r="F208" i="22"/>
  <c r="E208" i="22"/>
  <c r="D208" i="22"/>
  <c r="V207" i="22"/>
  <c r="U207" i="22"/>
  <c r="T207" i="22"/>
  <c r="S207" i="22"/>
  <c r="R207" i="22"/>
  <c r="R246" i="22" s="1"/>
  <c r="Q207" i="22"/>
  <c r="P207" i="22"/>
  <c r="O207" i="22"/>
  <c r="N207" i="22"/>
  <c r="M207" i="22"/>
  <c r="L207" i="22"/>
  <c r="K207" i="22"/>
  <c r="J207" i="22"/>
  <c r="I207" i="22"/>
  <c r="H207" i="22"/>
  <c r="G207" i="22"/>
  <c r="F207" i="22"/>
  <c r="E207" i="22"/>
  <c r="D207" i="22"/>
  <c r="I197" i="22"/>
  <c r="G197" i="22"/>
  <c r="O195" i="22"/>
  <c r="S194" i="22"/>
  <c r="R194" i="22"/>
  <c r="Q194" i="22"/>
  <c r="J194" i="22"/>
  <c r="I194" i="22"/>
  <c r="P192" i="22"/>
  <c r="Q189" i="22"/>
  <c r="L188" i="22"/>
  <c r="K188" i="22"/>
  <c r="T185" i="22"/>
  <c r="Q180" i="22"/>
  <c r="P180" i="22"/>
  <c r="L179" i="22"/>
  <c r="J179" i="22"/>
  <c r="F178" i="22"/>
  <c r="D178" i="22"/>
  <c r="V173" i="22"/>
  <c r="U173" i="22"/>
  <c r="K171" i="22"/>
  <c r="R159" i="22"/>
  <c r="V158" i="22"/>
  <c r="V197" i="22" s="1"/>
  <c r="U158" i="22"/>
  <c r="T158" i="22"/>
  <c r="S158" i="22"/>
  <c r="R158" i="22"/>
  <c r="Q158" i="22"/>
  <c r="P158" i="22"/>
  <c r="P197" i="22" s="1"/>
  <c r="O158" i="22"/>
  <c r="N158" i="22"/>
  <c r="M158" i="22"/>
  <c r="M197" i="22" s="1"/>
  <c r="L158" i="22"/>
  <c r="K158" i="22"/>
  <c r="J158" i="22"/>
  <c r="I158" i="22"/>
  <c r="H158" i="22"/>
  <c r="G158" i="22"/>
  <c r="F158" i="22"/>
  <c r="F197" i="22" s="1"/>
  <c r="E158" i="22"/>
  <c r="D158" i="22"/>
  <c r="V157" i="22"/>
  <c r="U157" i="22"/>
  <c r="T157" i="22"/>
  <c r="S157" i="22"/>
  <c r="S196" i="22" s="1"/>
  <c r="R157" i="22"/>
  <c r="Q157" i="22"/>
  <c r="P157" i="22"/>
  <c r="P196" i="22" s="1"/>
  <c r="O157" i="22"/>
  <c r="N157" i="22"/>
  <c r="M157" i="22"/>
  <c r="L157" i="22"/>
  <c r="K157" i="22"/>
  <c r="K196" i="22" s="1"/>
  <c r="J157" i="22"/>
  <c r="I157" i="22"/>
  <c r="I196" i="22" s="1"/>
  <c r="H157" i="22"/>
  <c r="G157" i="22"/>
  <c r="F157" i="22"/>
  <c r="E157" i="22"/>
  <c r="D157" i="22"/>
  <c r="D196" i="22" s="1"/>
  <c r="V156" i="22"/>
  <c r="V195" i="22" s="1"/>
  <c r="U156" i="22"/>
  <c r="T156" i="22"/>
  <c r="S156" i="22"/>
  <c r="S195" i="22" s="1"/>
  <c r="R156" i="22"/>
  <c r="Q156" i="22"/>
  <c r="P156" i="22"/>
  <c r="O156" i="22"/>
  <c r="N156" i="22"/>
  <c r="M156" i="22"/>
  <c r="L156" i="22"/>
  <c r="L195" i="22" s="1"/>
  <c r="K156" i="22"/>
  <c r="J156" i="22"/>
  <c r="I156" i="22"/>
  <c r="H156" i="22"/>
  <c r="G156" i="22"/>
  <c r="G195" i="22" s="1"/>
  <c r="F156" i="22"/>
  <c r="F195" i="22" s="1"/>
  <c r="E156" i="22"/>
  <c r="D156" i="22"/>
  <c r="V155" i="22"/>
  <c r="V194" i="22" s="1"/>
  <c r="U155" i="22"/>
  <c r="U194" i="22" s="1"/>
  <c r="T155" i="22"/>
  <c r="T194" i="22" s="1"/>
  <c r="S155" i="22"/>
  <c r="R155" i="22"/>
  <c r="Q155" i="22"/>
  <c r="P155" i="22"/>
  <c r="P194" i="22" s="1"/>
  <c r="O155" i="22"/>
  <c r="O194" i="22" s="1"/>
  <c r="N155" i="22"/>
  <c r="N194" i="22" s="1"/>
  <c r="M155" i="22"/>
  <c r="M194" i="22" s="1"/>
  <c r="L155" i="22"/>
  <c r="L194" i="22" s="1"/>
  <c r="K155" i="22"/>
  <c r="K194" i="22" s="1"/>
  <c r="J155" i="22"/>
  <c r="I155" i="22"/>
  <c r="H155" i="22"/>
  <c r="H194" i="22" s="1"/>
  <c r="G155" i="22"/>
  <c r="G194" i="22" s="1"/>
  <c r="F155" i="22"/>
  <c r="F194" i="22" s="1"/>
  <c r="E155" i="22"/>
  <c r="E194" i="22" s="1"/>
  <c r="D155" i="22"/>
  <c r="D194" i="22" s="1"/>
  <c r="V154" i="22"/>
  <c r="U154" i="22"/>
  <c r="T154" i="22"/>
  <c r="T193" i="22" s="1"/>
  <c r="S154" i="22"/>
  <c r="R154" i="22"/>
  <c r="R193" i="22" s="1"/>
  <c r="Q154" i="22"/>
  <c r="P154" i="22"/>
  <c r="O154" i="22"/>
  <c r="N154" i="22"/>
  <c r="M154" i="22"/>
  <c r="M193" i="22" s="1"/>
  <c r="L154" i="22"/>
  <c r="L193" i="22" s="1"/>
  <c r="K154" i="22"/>
  <c r="J154" i="22"/>
  <c r="I154" i="22"/>
  <c r="I193" i="22" s="1"/>
  <c r="H154" i="22"/>
  <c r="G154" i="22"/>
  <c r="F154" i="22"/>
  <c r="E154" i="22"/>
  <c r="D154" i="22"/>
  <c r="V153" i="22"/>
  <c r="U153" i="22"/>
  <c r="T153" i="22"/>
  <c r="S153" i="22"/>
  <c r="R153" i="22"/>
  <c r="Q153" i="22"/>
  <c r="P153" i="22"/>
  <c r="O153" i="22"/>
  <c r="O192" i="22" s="1"/>
  <c r="N153" i="22"/>
  <c r="M153" i="22"/>
  <c r="L153" i="22"/>
  <c r="L192" i="22" s="1"/>
  <c r="K153" i="22"/>
  <c r="J153" i="22"/>
  <c r="I153" i="22"/>
  <c r="H153" i="22"/>
  <c r="G153" i="22"/>
  <c r="F153" i="22"/>
  <c r="E153" i="22"/>
  <c r="E192" i="22" s="1"/>
  <c r="D153" i="22"/>
  <c r="V152" i="22"/>
  <c r="U152" i="22"/>
  <c r="T152" i="22"/>
  <c r="S152" i="22"/>
  <c r="S191" i="22" s="1"/>
  <c r="R152" i="22"/>
  <c r="R191" i="22" s="1"/>
  <c r="Q152" i="22"/>
  <c r="P152" i="22"/>
  <c r="O152" i="22"/>
  <c r="O191" i="22" s="1"/>
  <c r="N152" i="22"/>
  <c r="M152" i="22"/>
  <c r="L152" i="22"/>
  <c r="K152" i="22"/>
  <c r="J152" i="22"/>
  <c r="I152" i="22"/>
  <c r="H152" i="22"/>
  <c r="H191" i="22" s="1"/>
  <c r="G152" i="22"/>
  <c r="F152" i="22"/>
  <c r="E152" i="22"/>
  <c r="D152" i="22"/>
  <c r="V151" i="22"/>
  <c r="V190" i="22" s="1"/>
  <c r="U151" i="22"/>
  <c r="U190" i="22" s="1"/>
  <c r="T151" i="22"/>
  <c r="S151" i="22"/>
  <c r="R151" i="22"/>
  <c r="R190" i="22" s="1"/>
  <c r="Q151" i="22"/>
  <c r="P151" i="22"/>
  <c r="O151" i="22"/>
  <c r="N151" i="22"/>
  <c r="M151" i="22"/>
  <c r="M190" i="22" s="1"/>
  <c r="L151" i="22"/>
  <c r="K151" i="22"/>
  <c r="K190" i="22" s="1"/>
  <c r="J151" i="22"/>
  <c r="I151" i="22"/>
  <c r="H151" i="22"/>
  <c r="G151" i="22"/>
  <c r="F151" i="22"/>
  <c r="F190" i="22" s="1"/>
  <c r="E151" i="22"/>
  <c r="E190" i="22" s="1"/>
  <c r="D151" i="22"/>
  <c r="V150" i="22"/>
  <c r="U150" i="22"/>
  <c r="U189" i="22" s="1"/>
  <c r="T150" i="22"/>
  <c r="S150" i="22"/>
  <c r="R150" i="22"/>
  <c r="Q150" i="22"/>
  <c r="P150" i="22"/>
  <c r="O150" i="22"/>
  <c r="N150" i="22"/>
  <c r="N189" i="22" s="1"/>
  <c r="M150" i="22"/>
  <c r="L150" i="22"/>
  <c r="K150" i="22"/>
  <c r="J150" i="22"/>
  <c r="I150" i="22"/>
  <c r="I189" i="22" s="1"/>
  <c r="H150" i="22"/>
  <c r="H189" i="22" s="1"/>
  <c r="G150" i="22"/>
  <c r="F150" i="22"/>
  <c r="E150" i="22"/>
  <c r="E189" i="22" s="1"/>
  <c r="D150" i="22"/>
  <c r="V149" i="22"/>
  <c r="U149" i="22"/>
  <c r="T149" i="22"/>
  <c r="S149" i="22"/>
  <c r="R149" i="22"/>
  <c r="Q149" i="22"/>
  <c r="Q188" i="22" s="1"/>
  <c r="P149" i="22"/>
  <c r="O149" i="22"/>
  <c r="N149" i="22"/>
  <c r="M149" i="22"/>
  <c r="L149" i="22"/>
  <c r="K149" i="22"/>
  <c r="J149" i="22"/>
  <c r="I149" i="22"/>
  <c r="H149" i="22"/>
  <c r="H188" i="22" s="1"/>
  <c r="G149" i="22"/>
  <c r="F149" i="22"/>
  <c r="E149" i="22"/>
  <c r="D149" i="22"/>
  <c r="V148" i="22"/>
  <c r="V187" i="22" s="1"/>
  <c r="U148" i="22"/>
  <c r="T148" i="22"/>
  <c r="T187" i="22" s="1"/>
  <c r="S148" i="22"/>
  <c r="R148" i="22"/>
  <c r="Q148" i="22"/>
  <c r="P148" i="22"/>
  <c r="O148" i="22"/>
  <c r="O187" i="22" s="1"/>
  <c r="N148" i="22"/>
  <c r="N187" i="22" s="1"/>
  <c r="M148" i="22"/>
  <c r="L148" i="22"/>
  <c r="K148" i="22"/>
  <c r="K187" i="22" s="1"/>
  <c r="J148" i="22"/>
  <c r="I148" i="22"/>
  <c r="H148" i="22"/>
  <c r="G148" i="22"/>
  <c r="F148" i="22"/>
  <c r="E148" i="22"/>
  <c r="D148" i="22"/>
  <c r="D187" i="22" s="1"/>
  <c r="V147" i="22"/>
  <c r="U147" i="22"/>
  <c r="T147" i="22"/>
  <c r="S147" i="22"/>
  <c r="R147" i="22"/>
  <c r="R186" i="22" s="1"/>
  <c r="Q147" i="22"/>
  <c r="Q186" i="22" s="1"/>
  <c r="P147" i="22"/>
  <c r="O147" i="22"/>
  <c r="N147" i="22"/>
  <c r="N186" i="22" s="1"/>
  <c r="M147" i="22"/>
  <c r="L147" i="22"/>
  <c r="K147" i="22"/>
  <c r="J147" i="22"/>
  <c r="I147" i="22"/>
  <c r="H147" i="22"/>
  <c r="G147" i="22"/>
  <c r="G186" i="22" s="1"/>
  <c r="F147" i="22"/>
  <c r="E147" i="22"/>
  <c r="D147" i="22"/>
  <c r="V146" i="22"/>
  <c r="U146" i="22"/>
  <c r="U185" i="22" s="1"/>
  <c r="T146" i="22"/>
  <c r="S146" i="22"/>
  <c r="R146" i="22"/>
  <c r="R185" i="22" s="1"/>
  <c r="Q146" i="22"/>
  <c r="Q185" i="22" s="1"/>
  <c r="P146" i="22"/>
  <c r="O146" i="22"/>
  <c r="N146" i="22"/>
  <c r="M146" i="22"/>
  <c r="L146" i="22"/>
  <c r="L185" i="22" s="1"/>
  <c r="K146" i="22"/>
  <c r="J146" i="22"/>
  <c r="J185" i="22" s="1"/>
  <c r="I146" i="22"/>
  <c r="H146" i="22"/>
  <c r="G146" i="22"/>
  <c r="F146" i="22"/>
  <c r="E146" i="22"/>
  <c r="E185" i="22" s="1"/>
  <c r="D146" i="22"/>
  <c r="D185" i="22" s="1"/>
  <c r="V145" i="22"/>
  <c r="U145" i="22"/>
  <c r="T145" i="22"/>
  <c r="T184" i="22" s="1"/>
  <c r="S145" i="22"/>
  <c r="R145" i="22"/>
  <c r="Q145" i="22"/>
  <c r="P145" i="22"/>
  <c r="O145" i="22"/>
  <c r="N145" i="22"/>
  <c r="M145" i="22"/>
  <c r="L145" i="22"/>
  <c r="K145" i="22"/>
  <c r="J145" i="22"/>
  <c r="I145" i="22"/>
  <c r="H145" i="22"/>
  <c r="H184" i="22" s="1"/>
  <c r="G145" i="22"/>
  <c r="G184" i="22" s="1"/>
  <c r="F145" i="22"/>
  <c r="E145" i="22"/>
  <c r="D145" i="22"/>
  <c r="D184" i="22" s="1"/>
  <c r="V144" i="22"/>
  <c r="U144" i="22"/>
  <c r="T144" i="22"/>
  <c r="S144" i="22"/>
  <c r="R144" i="22"/>
  <c r="Q144" i="22"/>
  <c r="P144" i="22"/>
  <c r="P183" i="22" s="1"/>
  <c r="O144" i="22"/>
  <c r="N144" i="22"/>
  <c r="M144" i="22"/>
  <c r="L144" i="22"/>
  <c r="K144" i="22"/>
  <c r="K183" i="22" s="1"/>
  <c r="J144" i="22"/>
  <c r="J183" i="22" s="1"/>
  <c r="I144" i="22"/>
  <c r="H144" i="22"/>
  <c r="H183" i="22" s="1"/>
  <c r="G144" i="22"/>
  <c r="G183" i="22" s="1"/>
  <c r="F144" i="22"/>
  <c r="E144" i="22"/>
  <c r="D144" i="22"/>
  <c r="V143" i="22"/>
  <c r="U143" i="22"/>
  <c r="U182" i="22" s="1"/>
  <c r="T143" i="22"/>
  <c r="S143" i="22"/>
  <c r="S182" i="22" s="1"/>
  <c r="R143" i="22"/>
  <c r="Q143" i="22"/>
  <c r="P143" i="22"/>
  <c r="O143" i="22"/>
  <c r="N143" i="22"/>
  <c r="N182" i="22" s="1"/>
  <c r="M143" i="22"/>
  <c r="M182" i="22" s="1"/>
  <c r="L143" i="22"/>
  <c r="K143" i="22"/>
  <c r="J143" i="22"/>
  <c r="I143" i="22"/>
  <c r="H143" i="22"/>
  <c r="G143" i="22"/>
  <c r="F143" i="22"/>
  <c r="E143" i="22"/>
  <c r="D143" i="22"/>
  <c r="V141" i="22"/>
  <c r="V180" i="22" s="1"/>
  <c r="U141" i="22"/>
  <c r="T141" i="22"/>
  <c r="S141" i="22"/>
  <c r="R141" i="22"/>
  <c r="Q141" i="22"/>
  <c r="P141" i="22"/>
  <c r="O141" i="22"/>
  <c r="N141" i="22"/>
  <c r="M141" i="22"/>
  <c r="L141" i="22"/>
  <c r="K141" i="22"/>
  <c r="J141" i="22"/>
  <c r="I141" i="22"/>
  <c r="H141" i="22"/>
  <c r="H180" i="22" s="1"/>
  <c r="G141" i="22"/>
  <c r="F141" i="22"/>
  <c r="F180" i="22" s="1"/>
  <c r="E141" i="22"/>
  <c r="D141" i="22"/>
  <c r="V140" i="22"/>
  <c r="U140" i="22"/>
  <c r="T140" i="22"/>
  <c r="T179" i="22" s="1"/>
  <c r="S140" i="22"/>
  <c r="S179" i="22" s="1"/>
  <c r="R140" i="22"/>
  <c r="Q140" i="22"/>
  <c r="P140" i="22"/>
  <c r="O140" i="22"/>
  <c r="N140" i="22"/>
  <c r="M140" i="22"/>
  <c r="L140" i="22"/>
  <c r="K140" i="22"/>
  <c r="J140" i="22"/>
  <c r="I140" i="22"/>
  <c r="I179" i="22" s="1"/>
  <c r="H140" i="22"/>
  <c r="G140" i="22"/>
  <c r="F140" i="22"/>
  <c r="E140" i="22"/>
  <c r="D140" i="22"/>
  <c r="D179" i="22" s="1"/>
  <c r="V139" i="22"/>
  <c r="V178" i="22" s="1"/>
  <c r="U139" i="22"/>
  <c r="T139" i="22"/>
  <c r="S139" i="22"/>
  <c r="R139" i="22"/>
  <c r="Q139" i="22"/>
  <c r="P139" i="22"/>
  <c r="O139" i="22"/>
  <c r="N139" i="22"/>
  <c r="M139" i="22"/>
  <c r="L139" i="22"/>
  <c r="L178" i="22" s="1"/>
  <c r="K139" i="22"/>
  <c r="J139" i="22"/>
  <c r="I139" i="22"/>
  <c r="H139" i="22"/>
  <c r="G139" i="22"/>
  <c r="G178" i="22" s="1"/>
  <c r="F139" i="22"/>
  <c r="E139" i="22"/>
  <c r="D139" i="22"/>
  <c r="V138" i="22"/>
  <c r="U138" i="22"/>
  <c r="T138" i="22"/>
  <c r="S138" i="22"/>
  <c r="R138" i="22"/>
  <c r="Q138" i="22"/>
  <c r="Q177" i="22" s="1"/>
  <c r="P138" i="22"/>
  <c r="O138" i="22"/>
  <c r="O177" i="22" s="1"/>
  <c r="N138" i="22"/>
  <c r="M138" i="22"/>
  <c r="L138" i="22"/>
  <c r="K138" i="22"/>
  <c r="J138" i="22"/>
  <c r="J177" i="22" s="1"/>
  <c r="I138" i="22"/>
  <c r="I177" i="22" s="1"/>
  <c r="H138" i="22"/>
  <c r="G138" i="22"/>
  <c r="F138" i="22"/>
  <c r="E138" i="22"/>
  <c r="D138" i="22"/>
  <c r="V137" i="22"/>
  <c r="U137" i="22"/>
  <c r="T137" i="22"/>
  <c r="S137" i="22"/>
  <c r="R137" i="22"/>
  <c r="Q137" i="22"/>
  <c r="P137" i="22"/>
  <c r="O137" i="22"/>
  <c r="N137" i="22"/>
  <c r="M137" i="22"/>
  <c r="M176" i="22" s="1"/>
  <c r="L137" i="22"/>
  <c r="L176" i="22" s="1"/>
  <c r="K137" i="22"/>
  <c r="J137" i="22"/>
  <c r="I137" i="22"/>
  <c r="H137" i="22"/>
  <c r="G137" i="22"/>
  <c r="F137" i="22"/>
  <c r="E137" i="22"/>
  <c r="D137" i="22"/>
  <c r="V136" i="22"/>
  <c r="U136" i="22"/>
  <c r="U175" i="22" s="1"/>
  <c r="T136" i="22"/>
  <c r="S136" i="22"/>
  <c r="R136" i="22"/>
  <c r="Q136" i="22"/>
  <c r="P136" i="22"/>
  <c r="P175" i="22" s="1"/>
  <c r="O136" i="22"/>
  <c r="O175" i="22" s="1"/>
  <c r="N136" i="22"/>
  <c r="M136" i="22"/>
  <c r="M175" i="22" s="1"/>
  <c r="L136" i="22"/>
  <c r="K136" i="22"/>
  <c r="J136" i="22"/>
  <c r="I136" i="22"/>
  <c r="H136" i="22"/>
  <c r="G136" i="22"/>
  <c r="G175" i="22" s="1"/>
  <c r="F136" i="22"/>
  <c r="E136" i="22"/>
  <c r="E175" i="22" s="1"/>
  <c r="D136" i="22"/>
  <c r="V135" i="22"/>
  <c r="U135" i="22"/>
  <c r="T135" i="22"/>
  <c r="S135" i="22"/>
  <c r="S174" i="22" s="1"/>
  <c r="R135" i="22"/>
  <c r="R174" i="22" s="1"/>
  <c r="Q135" i="22"/>
  <c r="P135" i="22"/>
  <c r="O135" i="22"/>
  <c r="N135" i="22"/>
  <c r="M135" i="22"/>
  <c r="L135" i="22"/>
  <c r="K135" i="22"/>
  <c r="J135" i="22"/>
  <c r="I135" i="22"/>
  <c r="H135" i="22"/>
  <c r="H174" i="22" s="1"/>
  <c r="G135" i="22"/>
  <c r="F135" i="22"/>
  <c r="E135" i="22"/>
  <c r="D135" i="22"/>
  <c r="V134" i="22"/>
  <c r="U134" i="22"/>
  <c r="T134" i="22"/>
  <c r="S134" i="22"/>
  <c r="R134" i="22"/>
  <c r="Q134" i="22"/>
  <c r="P134" i="22"/>
  <c r="O134" i="22"/>
  <c r="N134" i="22"/>
  <c r="M134" i="22"/>
  <c r="M173" i="22" s="1"/>
  <c r="L134" i="22"/>
  <c r="K134" i="22"/>
  <c r="K173" i="22" s="1"/>
  <c r="J134" i="22"/>
  <c r="I134" i="22"/>
  <c r="H134" i="22"/>
  <c r="H173" i="22" s="1"/>
  <c r="G134" i="22"/>
  <c r="F134" i="22"/>
  <c r="F173" i="22" s="1"/>
  <c r="E134" i="22"/>
  <c r="E173" i="22" s="1"/>
  <c r="D134" i="22"/>
  <c r="D173" i="22" s="1"/>
  <c r="V133" i="22"/>
  <c r="U133" i="22"/>
  <c r="T133" i="22"/>
  <c r="S133" i="22"/>
  <c r="R133" i="22"/>
  <c r="Q133" i="22"/>
  <c r="P133" i="22"/>
  <c r="O133" i="22"/>
  <c r="N133" i="22"/>
  <c r="N172" i="22" s="1"/>
  <c r="M133" i="22"/>
  <c r="L133" i="22"/>
  <c r="K133" i="22"/>
  <c r="J133" i="22"/>
  <c r="I133" i="22"/>
  <c r="I172" i="22" s="1"/>
  <c r="H133" i="22"/>
  <c r="H172" i="22" s="1"/>
  <c r="G133" i="22"/>
  <c r="F133" i="22"/>
  <c r="E133" i="22"/>
  <c r="D133" i="22"/>
  <c r="V132" i="22"/>
  <c r="U132" i="22"/>
  <c r="T132" i="22"/>
  <c r="S132" i="22"/>
  <c r="R132" i="22"/>
  <c r="Q132" i="22"/>
  <c r="Q171" i="22" s="1"/>
  <c r="P132" i="22"/>
  <c r="O132" i="22"/>
  <c r="N132" i="22"/>
  <c r="M132" i="22"/>
  <c r="L132" i="22"/>
  <c r="L171" i="22" s="1"/>
  <c r="K132" i="22"/>
  <c r="J132" i="22"/>
  <c r="I132" i="22"/>
  <c r="I171" i="22" s="1"/>
  <c r="H132" i="22"/>
  <c r="G132" i="22"/>
  <c r="F132" i="22"/>
  <c r="E132" i="22"/>
  <c r="D132" i="22"/>
  <c r="V131" i="22"/>
  <c r="V170" i="22" s="1"/>
  <c r="U131" i="22"/>
  <c r="T131" i="22"/>
  <c r="T170" i="22" s="1"/>
  <c r="S131" i="22"/>
  <c r="R131" i="22"/>
  <c r="Q131" i="22"/>
  <c r="P131" i="22"/>
  <c r="O131" i="22"/>
  <c r="O170" i="22" s="1"/>
  <c r="N131" i="22"/>
  <c r="N170" i="22" s="1"/>
  <c r="M131" i="22"/>
  <c r="M159" i="22" s="1"/>
  <c r="L131" i="22"/>
  <c r="K131" i="22"/>
  <c r="J131" i="22"/>
  <c r="I131" i="22"/>
  <c r="H131" i="22"/>
  <c r="G131" i="22"/>
  <c r="F131" i="22"/>
  <c r="E131" i="22"/>
  <c r="D131" i="22"/>
  <c r="V130" i="22"/>
  <c r="U130" i="22"/>
  <c r="T130" i="22"/>
  <c r="S130" i="22"/>
  <c r="R130" i="22"/>
  <c r="R169" i="22" s="1"/>
  <c r="Q130" i="22"/>
  <c r="Q169" i="22" s="1"/>
  <c r="P130" i="22"/>
  <c r="O130" i="22"/>
  <c r="N130" i="22"/>
  <c r="M130" i="22"/>
  <c r="L130" i="22"/>
  <c r="K130" i="22"/>
  <c r="J130" i="22"/>
  <c r="I130" i="22"/>
  <c r="I159" i="22" s="1"/>
  <c r="H130" i="22"/>
  <c r="G130" i="22"/>
  <c r="G169" i="22" s="1"/>
  <c r="F130" i="22"/>
  <c r="E130" i="22"/>
  <c r="D130" i="22"/>
  <c r="L119" i="22"/>
  <c r="J117" i="22"/>
  <c r="T116" i="22"/>
  <c r="S116" i="22"/>
  <c r="O116" i="22"/>
  <c r="L116" i="22"/>
  <c r="E116" i="22"/>
  <c r="D116" i="22"/>
  <c r="S112" i="22"/>
  <c r="Q112" i="22"/>
  <c r="J109" i="22"/>
  <c r="H107" i="22"/>
  <c r="E106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Q100" i="22"/>
  <c r="P100" i="22"/>
  <c r="Q99" i="22"/>
  <c r="I97" i="22"/>
  <c r="N95" i="22"/>
  <c r="E95" i="22"/>
  <c r="O91" i="22"/>
  <c r="V80" i="22"/>
  <c r="U80" i="22"/>
  <c r="T80" i="22"/>
  <c r="S80" i="22"/>
  <c r="R80" i="22"/>
  <c r="R119" i="22" s="1"/>
  <c r="Q80" i="22"/>
  <c r="Q119" i="22" s="1"/>
  <c r="P80" i="22"/>
  <c r="P119" i="22" s="1"/>
  <c r="O80" i="22"/>
  <c r="N80" i="22"/>
  <c r="M80" i="22"/>
  <c r="M119" i="22" s="1"/>
  <c r="L80" i="22"/>
  <c r="K80" i="22"/>
  <c r="J80" i="22"/>
  <c r="I80" i="22"/>
  <c r="H80" i="22"/>
  <c r="G80" i="22"/>
  <c r="F80" i="22"/>
  <c r="E80" i="22"/>
  <c r="D80" i="22"/>
  <c r="V79" i="22"/>
  <c r="U79" i="22"/>
  <c r="U118" i="22" s="1"/>
  <c r="T79" i="22"/>
  <c r="T118" i="22" s="1"/>
  <c r="S79" i="22"/>
  <c r="S118" i="22" s="1"/>
  <c r="R79" i="22"/>
  <c r="Q79" i="22"/>
  <c r="P79" i="22"/>
  <c r="P118" i="22" s="1"/>
  <c r="O79" i="22"/>
  <c r="N79" i="22"/>
  <c r="M79" i="22"/>
  <c r="L79" i="22"/>
  <c r="K79" i="22"/>
  <c r="J79" i="22"/>
  <c r="I79" i="22"/>
  <c r="H79" i="22"/>
  <c r="G79" i="22"/>
  <c r="F79" i="22"/>
  <c r="E79" i="22"/>
  <c r="E118" i="22" s="1"/>
  <c r="D79" i="22"/>
  <c r="D118" i="22" s="1"/>
  <c r="V78" i="22"/>
  <c r="V117" i="22" s="1"/>
  <c r="U78" i="22"/>
  <c r="T78" i="22"/>
  <c r="S78" i="22"/>
  <c r="S117" i="22" s="1"/>
  <c r="R78" i="22"/>
  <c r="R117" i="22" s="1"/>
  <c r="Q78" i="22"/>
  <c r="P78" i="22"/>
  <c r="O78" i="22"/>
  <c r="N78" i="22"/>
  <c r="M78" i="22"/>
  <c r="L78" i="22"/>
  <c r="K78" i="22"/>
  <c r="J78" i="22"/>
  <c r="I78" i="22"/>
  <c r="H78" i="22"/>
  <c r="H117" i="22" s="1"/>
  <c r="G78" i="22"/>
  <c r="G117" i="22" s="1"/>
  <c r="F78" i="22"/>
  <c r="F117" i="22" s="1"/>
  <c r="E78" i="22"/>
  <c r="D78" i="22"/>
  <c r="V77" i="22"/>
  <c r="V116" i="22" s="1"/>
  <c r="U77" i="22"/>
  <c r="U116" i="22" s="1"/>
  <c r="T77" i="22"/>
  <c r="S77" i="22"/>
  <c r="R77" i="22"/>
  <c r="R116" i="22" s="1"/>
  <c r="Q77" i="22"/>
  <c r="Q116" i="22" s="1"/>
  <c r="P77" i="22"/>
  <c r="P116" i="22" s="1"/>
  <c r="O77" i="22"/>
  <c r="N77" i="22"/>
  <c r="N116" i="22" s="1"/>
  <c r="M77" i="22"/>
  <c r="M116" i="22" s="1"/>
  <c r="L77" i="22"/>
  <c r="K77" i="22"/>
  <c r="K116" i="22" s="1"/>
  <c r="J77" i="22"/>
  <c r="J116" i="22" s="1"/>
  <c r="I77" i="22"/>
  <c r="I116" i="22" s="1"/>
  <c r="H77" i="22"/>
  <c r="H116" i="22" s="1"/>
  <c r="G77" i="22"/>
  <c r="G116" i="22" s="1"/>
  <c r="F77" i="22"/>
  <c r="F116" i="22" s="1"/>
  <c r="E77" i="22"/>
  <c r="D77" i="22"/>
  <c r="V76" i="22"/>
  <c r="U76" i="22"/>
  <c r="T76" i="22"/>
  <c r="S76" i="22"/>
  <c r="R76" i="22"/>
  <c r="Q76" i="22"/>
  <c r="P76" i="22"/>
  <c r="O76" i="22"/>
  <c r="N76" i="22"/>
  <c r="N115" i="22" s="1"/>
  <c r="M76" i="22"/>
  <c r="M115" i="22" s="1"/>
  <c r="L76" i="22"/>
  <c r="L115" i="22" s="1"/>
  <c r="K76" i="22"/>
  <c r="J76" i="22"/>
  <c r="I76" i="22"/>
  <c r="I115" i="22" s="1"/>
  <c r="H76" i="22"/>
  <c r="G76" i="22"/>
  <c r="F76" i="22"/>
  <c r="E76" i="22"/>
  <c r="D76" i="22"/>
  <c r="V75" i="22"/>
  <c r="U75" i="22"/>
  <c r="T75" i="22"/>
  <c r="S75" i="22"/>
  <c r="R75" i="22"/>
  <c r="Q75" i="22"/>
  <c r="Q114" i="22" s="1"/>
  <c r="P75" i="22"/>
  <c r="P114" i="22" s="1"/>
  <c r="O75" i="22"/>
  <c r="O114" i="22" s="1"/>
  <c r="N75" i="22"/>
  <c r="M75" i="22"/>
  <c r="L75" i="22"/>
  <c r="L114" i="22" s="1"/>
  <c r="K75" i="22"/>
  <c r="K114" i="22" s="1"/>
  <c r="J75" i="22"/>
  <c r="I75" i="22"/>
  <c r="H75" i="22"/>
  <c r="G75" i="22"/>
  <c r="F75" i="22"/>
  <c r="E75" i="22"/>
  <c r="D75" i="22"/>
  <c r="D114" i="22" s="1"/>
  <c r="V74" i="22"/>
  <c r="V113" i="22" s="1"/>
  <c r="U74" i="22"/>
  <c r="T74" i="22"/>
  <c r="T113" i="22" s="1"/>
  <c r="S74" i="22"/>
  <c r="S113" i="22" s="1"/>
  <c r="R74" i="22"/>
  <c r="R113" i="22" s="1"/>
  <c r="Q74" i="22"/>
  <c r="P74" i="22"/>
  <c r="O74" i="22"/>
  <c r="O113" i="22" s="1"/>
  <c r="N74" i="22"/>
  <c r="N113" i="22" s="1"/>
  <c r="M74" i="22"/>
  <c r="L74" i="22"/>
  <c r="K74" i="22"/>
  <c r="J74" i="22"/>
  <c r="I74" i="22"/>
  <c r="H74" i="22"/>
  <c r="G74" i="22"/>
  <c r="F74" i="22"/>
  <c r="E74" i="22"/>
  <c r="D74" i="22"/>
  <c r="D113" i="22" s="1"/>
  <c r="V73" i="22"/>
  <c r="V112" i="22" s="1"/>
  <c r="U73" i="22"/>
  <c r="U112" i="22" s="1"/>
  <c r="T73" i="22"/>
  <c r="S73" i="22"/>
  <c r="R73" i="22"/>
  <c r="R112" i="22" s="1"/>
  <c r="Q73" i="22"/>
  <c r="P73" i="22"/>
  <c r="O73" i="22"/>
  <c r="N73" i="22"/>
  <c r="M73" i="22"/>
  <c r="L73" i="22"/>
  <c r="K73" i="22"/>
  <c r="J73" i="22"/>
  <c r="I73" i="22"/>
  <c r="H73" i="22"/>
  <c r="G73" i="22"/>
  <c r="G112" i="22" s="1"/>
  <c r="F73" i="22"/>
  <c r="F112" i="22" s="1"/>
  <c r="E73" i="22"/>
  <c r="E112" i="22" s="1"/>
  <c r="D73" i="22"/>
  <c r="V72" i="22"/>
  <c r="U72" i="22"/>
  <c r="U111" i="22" s="1"/>
  <c r="T72" i="22"/>
  <c r="S72" i="22"/>
  <c r="R72" i="22"/>
  <c r="Q72" i="22"/>
  <c r="P72" i="22"/>
  <c r="O72" i="22"/>
  <c r="O111" i="22" s="1"/>
  <c r="N72" i="22"/>
  <c r="M72" i="22"/>
  <c r="L72" i="22"/>
  <c r="K72" i="22"/>
  <c r="J72" i="22"/>
  <c r="J111" i="22" s="1"/>
  <c r="I72" i="22"/>
  <c r="I111" i="22" s="1"/>
  <c r="H72" i="22"/>
  <c r="H111" i="22" s="1"/>
  <c r="G72" i="22"/>
  <c r="F72" i="22"/>
  <c r="E72" i="22"/>
  <c r="E111" i="22" s="1"/>
  <c r="D72" i="22"/>
  <c r="D111" i="22" s="1"/>
  <c r="V71" i="22"/>
  <c r="U71" i="22"/>
  <c r="T71" i="22"/>
  <c r="S71" i="22"/>
  <c r="R71" i="22"/>
  <c r="Q71" i="22"/>
  <c r="P71" i="22"/>
  <c r="P110" i="22" s="1"/>
  <c r="O71" i="22"/>
  <c r="O110" i="22" s="1"/>
  <c r="N71" i="22"/>
  <c r="M71" i="22"/>
  <c r="M110" i="22" s="1"/>
  <c r="L71" i="22"/>
  <c r="L110" i="22" s="1"/>
  <c r="K71" i="22"/>
  <c r="K110" i="22" s="1"/>
  <c r="J71" i="22"/>
  <c r="I71" i="22"/>
  <c r="H71" i="22"/>
  <c r="H110" i="22" s="1"/>
  <c r="G71" i="22"/>
  <c r="G110" i="22" s="1"/>
  <c r="F71" i="22"/>
  <c r="E71" i="22"/>
  <c r="D71" i="22"/>
  <c r="V70" i="22"/>
  <c r="U70" i="22"/>
  <c r="T70" i="22"/>
  <c r="S70" i="22"/>
  <c r="R70" i="22"/>
  <c r="Q70" i="22"/>
  <c r="P70" i="22"/>
  <c r="P109" i="22" s="1"/>
  <c r="O70" i="22"/>
  <c r="O109" i="22" s="1"/>
  <c r="N70" i="22"/>
  <c r="N109" i="22" s="1"/>
  <c r="M70" i="22"/>
  <c r="L70" i="22"/>
  <c r="K70" i="22"/>
  <c r="K109" i="22" s="1"/>
  <c r="J70" i="22"/>
  <c r="I70" i="22"/>
  <c r="H70" i="22"/>
  <c r="G70" i="22"/>
  <c r="F70" i="22"/>
  <c r="E70" i="22"/>
  <c r="D70" i="22"/>
  <c r="V69" i="22"/>
  <c r="U69" i="22"/>
  <c r="T69" i="22"/>
  <c r="S69" i="22"/>
  <c r="S108" i="22" s="1"/>
  <c r="R69" i="22"/>
  <c r="R108" i="22" s="1"/>
  <c r="Q69" i="22"/>
  <c r="Q108" i="22" s="1"/>
  <c r="P69" i="22"/>
  <c r="O69" i="22"/>
  <c r="N69" i="22"/>
  <c r="N108" i="22" s="1"/>
  <c r="M69" i="22"/>
  <c r="L69" i="22"/>
  <c r="K69" i="22"/>
  <c r="J69" i="22"/>
  <c r="I69" i="22"/>
  <c r="H69" i="22"/>
  <c r="H108" i="22" s="1"/>
  <c r="G69" i="22"/>
  <c r="F69" i="22"/>
  <c r="E69" i="22"/>
  <c r="D69" i="22"/>
  <c r="V68" i="22"/>
  <c r="V107" i="22" s="1"/>
  <c r="U68" i="22"/>
  <c r="U107" i="22" s="1"/>
  <c r="T68" i="22"/>
  <c r="T107" i="22" s="1"/>
  <c r="S68" i="22"/>
  <c r="R68" i="22"/>
  <c r="Q68" i="22"/>
  <c r="Q107" i="22" s="1"/>
  <c r="P68" i="22"/>
  <c r="P107" i="22" s="1"/>
  <c r="O68" i="22"/>
  <c r="N68" i="22"/>
  <c r="M68" i="22"/>
  <c r="L68" i="22"/>
  <c r="K68" i="22"/>
  <c r="J68" i="22"/>
  <c r="I68" i="22"/>
  <c r="H68" i="22"/>
  <c r="G68" i="22"/>
  <c r="F68" i="22"/>
  <c r="F107" i="22" s="1"/>
  <c r="E68" i="22"/>
  <c r="E107" i="22" s="1"/>
  <c r="D68" i="22"/>
  <c r="D107" i="22" s="1"/>
  <c r="V67" i="22"/>
  <c r="U67" i="22"/>
  <c r="T67" i="22"/>
  <c r="T106" i="22" s="1"/>
  <c r="S67" i="22"/>
  <c r="S106" i="22" s="1"/>
  <c r="R67" i="22"/>
  <c r="Q67" i="22"/>
  <c r="P67" i="22"/>
  <c r="O67" i="22"/>
  <c r="N67" i="22"/>
  <c r="M67" i="22"/>
  <c r="L67" i="22"/>
  <c r="K67" i="22"/>
  <c r="J67" i="22"/>
  <c r="I67" i="22"/>
  <c r="I106" i="22" s="1"/>
  <c r="H67" i="22"/>
  <c r="H106" i="22" s="1"/>
  <c r="G67" i="22"/>
  <c r="G106" i="22" s="1"/>
  <c r="F67" i="22"/>
  <c r="E67" i="22"/>
  <c r="D67" i="22"/>
  <c r="D106" i="22" s="1"/>
  <c r="V66" i="22"/>
  <c r="U66" i="22"/>
  <c r="T66" i="22"/>
  <c r="S66" i="22"/>
  <c r="R66" i="22"/>
  <c r="Q66" i="22"/>
  <c r="P66" i="22"/>
  <c r="O66" i="22"/>
  <c r="N66" i="22"/>
  <c r="M66" i="22"/>
  <c r="L66" i="22"/>
  <c r="L105" i="22" s="1"/>
  <c r="K66" i="22"/>
  <c r="K105" i="22" s="1"/>
  <c r="J66" i="22"/>
  <c r="J105" i="22" s="1"/>
  <c r="I66" i="22"/>
  <c r="H66" i="22"/>
  <c r="G66" i="22"/>
  <c r="G105" i="22" s="1"/>
  <c r="F66" i="22"/>
  <c r="E66" i="22"/>
  <c r="D66" i="22"/>
  <c r="V65" i="22"/>
  <c r="U65" i="22"/>
  <c r="T65" i="22"/>
  <c r="T104" i="22" s="1"/>
  <c r="S65" i="22"/>
  <c r="R65" i="22"/>
  <c r="Q65" i="22"/>
  <c r="P65" i="22"/>
  <c r="O65" i="22"/>
  <c r="O104" i="22" s="1"/>
  <c r="N65" i="22"/>
  <c r="N104" i="22" s="1"/>
  <c r="M65" i="22"/>
  <c r="M104" i="22" s="1"/>
  <c r="L65" i="22"/>
  <c r="K65" i="22"/>
  <c r="J65" i="22"/>
  <c r="I65" i="22"/>
  <c r="I104" i="22" s="1"/>
  <c r="H65" i="22"/>
  <c r="G65" i="22"/>
  <c r="F65" i="22"/>
  <c r="E65" i="22"/>
  <c r="D65" i="22"/>
  <c r="V63" i="22"/>
  <c r="U63" i="22"/>
  <c r="T63" i="22"/>
  <c r="S63" i="22"/>
  <c r="R63" i="22"/>
  <c r="R102" i="22" s="1"/>
  <c r="Q63" i="22"/>
  <c r="Q102" i="22" s="1"/>
  <c r="P63" i="22"/>
  <c r="P102" i="22" s="1"/>
  <c r="O63" i="22"/>
  <c r="N63" i="22"/>
  <c r="M63" i="22"/>
  <c r="L63" i="22"/>
  <c r="K63" i="22"/>
  <c r="J63" i="22"/>
  <c r="I63" i="22"/>
  <c r="H63" i="22"/>
  <c r="G63" i="22"/>
  <c r="F63" i="22"/>
  <c r="E63" i="22"/>
  <c r="D63" i="22"/>
  <c r="V62" i="22"/>
  <c r="U62" i="22"/>
  <c r="U101" i="22" s="1"/>
  <c r="T62" i="22"/>
  <c r="T101" i="22" s="1"/>
  <c r="S62" i="22"/>
  <c r="S101" i="22" s="1"/>
  <c r="R62" i="22"/>
  <c r="Q62" i="22"/>
  <c r="P62" i="22"/>
  <c r="O62" i="22"/>
  <c r="N62" i="22"/>
  <c r="M62" i="22"/>
  <c r="M101" i="22" s="1"/>
  <c r="L62" i="22"/>
  <c r="K62" i="22"/>
  <c r="J62" i="22"/>
  <c r="I62" i="22"/>
  <c r="H62" i="22"/>
  <c r="G62" i="22"/>
  <c r="F62" i="22"/>
  <c r="E62" i="22"/>
  <c r="E101" i="22" s="1"/>
  <c r="D62" i="22"/>
  <c r="D101" i="22" s="1"/>
  <c r="V61" i="22"/>
  <c r="V100" i="22" s="1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H100" i="22" s="1"/>
  <c r="G61" i="22"/>
  <c r="G100" i="22" s="1"/>
  <c r="F61" i="22"/>
  <c r="F100" i="22" s="1"/>
  <c r="E61" i="22"/>
  <c r="D61" i="22"/>
  <c r="V60" i="22"/>
  <c r="U60" i="22"/>
  <c r="T60" i="22"/>
  <c r="S60" i="22"/>
  <c r="R60" i="22"/>
  <c r="Q60" i="22"/>
  <c r="P60" i="22"/>
  <c r="P99" i="22" s="1"/>
  <c r="O60" i="22"/>
  <c r="N60" i="22"/>
  <c r="M60" i="22"/>
  <c r="L60" i="22"/>
  <c r="K60" i="22"/>
  <c r="K99" i="22" s="1"/>
  <c r="J60" i="22"/>
  <c r="J99" i="22" s="1"/>
  <c r="I60" i="22"/>
  <c r="I99" i="22" s="1"/>
  <c r="H60" i="22"/>
  <c r="G60" i="22"/>
  <c r="F60" i="22"/>
  <c r="E60" i="22"/>
  <c r="D60" i="22"/>
  <c r="V59" i="22"/>
  <c r="U59" i="22"/>
  <c r="T59" i="22"/>
  <c r="S59" i="22"/>
  <c r="R59" i="22"/>
  <c r="Q59" i="22"/>
  <c r="P59" i="22"/>
  <c r="O59" i="22"/>
  <c r="N59" i="22"/>
  <c r="N98" i="22" s="1"/>
  <c r="M59" i="22"/>
  <c r="M98" i="22" s="1"/>
  <c r="L59" i="22"/>
  <c r="L98" i="22" s="1"/>
  <c r="K59" i="22"/>
  <c r="J59" i="22"/>
  <c r="I59" i="22"/>
  <c r="H59" i="22"/>
  <c r="G59" i="22"/>
  <c r="F59" i="22"/>
  <c r="F98" i="22" s="1"/>
  <c r="E59" i="22"/>
  <c r="D59" i="22"/>
  <c r="V58" i="22"/>
  <c r="U58" i="22"/>
  <c r="T58" i="22"/>
  <c r="S58" i="22"/>
  <c r="R58" i="22"/>
  <c r="Q58" i="22"/>
  <c r="Q97" i="22" s="1"/>
  <c r="P58" i="22"/>
  <c r="P97" i="22" s="1"/>
  <c r="O58" i="22"/>
  <c r="O97" i="22" s="1"/>
  <c r="N58" i="22"/>
  <c r="M58" i="22"/>
  <c r="L58" i="22"/>
  <c r="K58" i="22"/>
  <c r="J58" i="22"/>
  <c r="I58" i="22"/>
  <c r="H58" i="22"/>
  <c r="G58" i="22"/>
  <c r="F58" i="22"/>
  <c r="E58" i="22"/>
  <c r="D58" i="22"/>
  <c r="V57" i="22"/>
  <c r="U57" i="22"/>
  <c r="T57" i="22"/>
  <c r="T96" i="22" s="1"/>
  <c r="S57" i="22"/>
  <c r="S96" i="22" s="1"/>
  <c r="R57" i="22"/>
  <c r="R96" i="22" s="1"/>
  <c r="Q57" i="22"/>
  <c r="P57" i="22"/>
  <c r="P96" i="22" s="1"/>
  <c r="O57" i="22"/>
  <c r="N57" i="22"/>
  <c r="N96" i="22" s="1"/>
  <c r="M57" i="22"/>
  <c r="L57" i="22"/>
  <c r="K57" i="22"/>
  <c r="J57" i="22"/>
  <c r="J96" i="22" s="1"/>
  <c r="I57" i="22"/>
  <c r="I96" i="22" s="1"/>
  <c r="H57" i="22"/>
  <c r="G57" i="22"/>
  <c r="F57" i="22"/>
  <c r="E57" i="22"/>
  <c r="D57" i="22"/>
  <c r="D96" i="22" s="1"/>
  <c r="V56" i="22"/>
  <c r="V95" i="22" s="1"/>
  <c r="U56" i="22"/>
  <c r="U95" i="22" s="1"/>
  <c r="T56" i="22"/>
  <c r="S56" i="22"/>
  <c r="R56" i="22"/>
  <c r="Q56" i="22"/>
  <c r="Q95" i="22" s="1"/>
  <c r="P56" i="22"/>
  <c r="O56" i="22"/>
  <c r="N56" i="22"/>
  <c r="M56" i="22"/>
  <c r="L56" i="22"/>
  <c r="K56" i="22"/>
  <c r="J56" i="22"/>
  <c r="I56" i="22"/>
  <c r="H56" i="22"/>
  <c r="H95" i="22" s="1"/>
  <c r="G56" i="22"/>
  <c r="G95" i="22" s="1"/>
  <c r="F56" i="22"/>
  <c r="F95" i="22" s="1"/>
  <c r="E56" i="22"/>
  <c r="D56" i="22"/>
  <c r="D95" i="22" s="1"/>
  <c r="V55" i="22"/>
  <c r="U55" i="22"/>
  <c r="T55" i="22"/>
  <c r="T94" i="22" s="1"/>
  <c r="S55" i="22"/>
  <c r="R55" i="22"/>
  <c r="R94" i="22" s="1"/>
  <c r="Q55" i="22"/>
  <c r="P55" i="22"/>
  <c r="O55" i="22"/>
  <c r="N55" i="22"/>
  <c r="M55" i="22"/>
  <c r="L55" i="22"/>
  <c r="K55" i="22"/>
  <c r="J55" i="22"/>
  <c r="J94" i="22" s="1"/>
  <c r="I55" i="22"/>
  <c r="I94" i="22" s="1"/>
  <c r="H55" i="22"/>
  <c r="H94" i="22" s="1"/>
  <c r="G55" i="22"/>
  <c r="F55" i="22"/>
  <c r="E55" i="22"/>
  <c r="D55" i="22"/>
  <c r="D94" i="22" s="1"/>
  <c r="V54" i="22"/>
  <c r="U54" i="22"/>
  <c r="T54" i="22"/>
  <c r="S54" i="22"/>
  <c r="R54" i="22"/>
  <c r="Q54" i="22"/>
  <c r="P54" i="22"/>
  <c r="O54" i="22"/>
  <c r="N54" i="22"/>
  <c r="M54" i="22"/>
  <c r="M93" i="22" s="1"/>
  <c r="L54" i="22"/>
  <c r="L93" i="22" s="1"/>
  <c r="K54" i="22"/>
  <c r="K93" i="22" s="1"/>
  <c r="J54" i="22"/>
  <c r="I54" i="22"/>
  <c r="I93" i="22" s="1"/>
  <c r="H54" i="22"/>
  <c r="G54" i="22"/>
  <c r="G93" i="22" s="1"/>
  <c r="F54" i="22"/>
  <c r="E54" i="22"/>
  <c r="D54" i="22"/>
  <c r="V53" i="22"/>
  <c r="U53" i="22"/>
  <c r="U92" i="22" s="1"/>
  <c r="T53" i="22"/>
  <c r="S53" i="22"/>
  <c r="R53" i="22"/>
  <c r="Q53" i="22"/>
  <c r="P53" i="22"/>
  <c r="P92" i="22" s="1"/>
  <c r="O53" i="22"/>
  <c r="O92" i="22" s="1"/>
  <c r="N53" i="22"/>
  <c r="N92" i="22" s="1"/>
  <c r="M53" i="22"/>
  <c r="L53" i="22"/>
  <c r="K53" i="22"/>
  <c r="J53" i="22"/>
  <c r="J92" i="22" s="1"/>
  <c r="I53" i="22"/>
  <c r="H53" i="22"/>
  <c r="G53" i="22"/>
  <c r="F53" i="22"/>
  <c r="E53" i="22"/>
  <c r="D53" i="22"/>
  <c r="V52" i="22"/>
  <c r="U52" i="22"/>
  <c r="T52" i="22"/>
  <c r="S52" i="22"/>
  <c r="R52" i="22"/>
  <c r="R91" i="22" s="1"/>
  <c r="Q52" i="22"/>
  <c r="Q91" i="22" s="1"/>
  <c r="P52" i="22"/>
  <c r="O52" i="22"/>
  <c r="O81" i="22" s="1"/>
  <c r="N52" i="22"/>
  <c r="M52" i="22"/>
  <c r="L52" i="22"/>
  <c r="K52" i="22"/>
  <c r="K81" i="22" s="1"/>
  <c r="J52" i="22"/>
  <c r="I52" i="22"/>
  <c r="H52" i="22"/>
  <c r="G52" i="22"/>
  <c r="F52" i="22"/>
  <c r="E52" i="22"/>
  <c r="D52" i="22"/>
  <c r="P42" i="22"/>
  <c r="V41" i="22"/>
  <c r="U41" i="22"/>
  <c r="T41" i="22"/>
  <c r="S41" i="22"/>
  <c r="R41" i="22"/>
  <c r="Q41" i="22"/>
  <c r="Q197" i="22" s="1"/>
  <c r="P41" i="22"/>
  <c r="O41" i="22"/>
  <c r="O274" i="22" s="1"/>
  <c r="N41" i="22"/>
  <c r="N274" i="22" s="1"/>
  <c r="M41" i="22"/>
  <c r="M274" i="22" s="1"/>
  <c r="L41" i="22"/>
  <c r="K41" i="22"/>
  <c r="K119" i="22" s="1"/>
  <c r="J41" i="22"/>
  <c r="I41" i="22"/>
  <c r="H41" i="22"/>
  <c r="H197" i="22" s="1"/>
  <c r="G41" i="22"/>
  <c r="F41" i="22"/>
  <c r="F274" i="22" s="1"/>
  <c r="E41" i="22"/>
  <c r="D41" i="22"/>
  <c r="V40" i="22"/>
  <c r="V273" i="22" s="1"/>
  <c r="U40" i="22"/>
  <c r="T40" i="22"/>
  <c r="T196" i="22" s="1"/>
  <c r="S40" i="22"/>
  <c r="R40" i="22"/>
  <c r="R273" i="22" s="1"/>
  <c r="Q40" i="22"/>
  <c r="Q273" i="22" s="1"/>
  <c r="P40" i="22"/>
  <c r="P273" i="22" s="1"/>
  <c r="O40" i="22"/>
  <c r="O118" i="22" s="1"/>
  <c r="N40" i="22"/>
  <c r="N118" i="22" s="1"/>
  <c r="M40" i="22"/>
  <c r="M196" i="22" s="1"/>
  <c r="L40" i="22"/>
  <c r="K40" i="22"/>
  <c r="K118" i="22" s="1"/>
  <c r="J40" i="22"/>
  <c r="J118" i="22" s="1"/>
  <c r="I40" i="22"/>
  <c r="H40" i="22"/>
  <c r="G40" i="22"/>
  <c r="F40" i="22"/>
  <c r="E40" i="22"/>
  <c r="D40" i="22"/>
  <c r="V39" i="22"/>
  <c r="U39" i="22"/>
  <c r="U272" i="22" s="1"/>
  <c r="T39" i="22"/>
  <c r="T272" i="22" s="1"/>
  <c r="S39" i="22"/>
  <c r="S272" i="22" s="1"/>
  <c r="R39" i="22"/>
  <c r="R195" i="22" s="1"/>
  <c r="Q39" i="22"/>
  <c r="Q117" i="22" s="1"/>
  <c r="P39" i="22"/>
  <c r="O39" i="22"/>
  <c r="N39" i="22"/>
  <c r="N195" i="22" s="1"/>
  <c r="M39" i="22"/>
  <c r="L39" i="22"/>
  <c r="K39" i="22"/>
  <c r="K117" i="22" s="1"/>
  <c r="J39" i="22"/>
  <c r="I39" i="22"/>
  <c r="I272" i="22" s="1"/>
  <c r="H39" i="22"/>
  <c r="H272" i="22" s="1"/>
  <c r="G39" i="22"/>
  <c r="F39" i="22"/>
  <c r="E39" i="22"/>
  <c r="E272" i="22" s="1"/>
  <c r="D39" i="22"/>
  <c r="D272" i="22" s="1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V37" i="22"/>
  <c r="U37" i="22"/>
  <c r="T37" i="22"/>
  <c r="S37" i="22"/>
  <c r="R37" i="22"/>
  <c r="R270" i="22" s="1"/>
  <c r="Q37" i="22"/>
  <c r="P37" i="22"/>
  <c r="O37" i="22"/>
  <c r="N37" i="22"/>
  <c r="M37" i="22"/>
  <c r="L37" i="22"/>
  <c r="K37" i="22"/>
  <c r="K270" i="22" s="1"/>
  <c r="J37" i="22"/>
  <c r="J270" i="22" s="1"/>
  <c r="I37" i="22"/>
  <c r="I270" i="22" s="1"/>
  <c r="H37" i="22"/>
  <c r="H115" i="22" s="1"/>
  <c r="G37" i="22"/>
  <c r="G115" i="22" s="1"/>
  <c r="F37" i="22"/>
  <c r="F193" i="22" s="1"/>
  <c r="E37" i="22"/>
  <c r="E193" i="22" s="1"/>
  <c r="D37" i="22"/>
  <c r="D193" i="22" s="1"/>
  <c r="V36" i="22"/>
  <c r="V192" i="22" s="1"/>
  <c r="U36" i="22"/>
  <c r="T36" i="22"/>
  <c r="S36" i="22"/>
  <c r="R36" i="22"/>
  <c r="R269" i="22" s="1"/>
  <c r="Q36" i="22"/>
  <c r="Q269" i="22" s="1"/>
  <c r="P36" i="22"/>
  <c r="O36" i="22"/>
  <c r="N36" i="22"/>
  <c r="N269" i="22" s="1"/>
  <c r="M36" i="22"/>
  <c r="M269" i="22" s="1"/>
  <c r="L36" i="22"/>
  <c r="K36" i="22"/>
  <c r="J36" i="22"/>
  <c r="J114" i="22" s="1"/>
  <c r="I36" i="22"/>
  <c r="H36" i="22"/>
  <c r="H192" i="22" s="1"/>
  <c r="G36" i="22"/>
  <c r="F36" i="22"/>
  <c r="E36" i="22"/>
  <c r="D36" i="22"/>
  <c r="V35" i="22"/>
  <c r="U35" i="22"/>
  <c r="U113" i="22" s="1"/>
  <c r="T35" i="22"/>
  <c r="S35" i="22"/>
  <c r="R35" i="22"/>
  <c r="Q35" i="22"/>
  <c r="Q268" i="22" s="1"/>
  <c r="P35" i="22"/>
  <c r="P268" i="22" s="1"/>
  <c r="O35" i="22"/>
  <c r="O268" i="22" s="1"/>
  <c r="N35" i="22"/>
  <c r="M35" i="22"/>
  <c r="M113" i="22" s="1"/>
  <c r="L35" i="22"/>
  <c r="K35" i="22"/>
  <c r="K191" i="22" s="1"/>
  <c r="J35" i="22"/>
  <c r="J191" i="22" s="1"/>
  <c r="I35" i="22"/>
  <c r="I191" i="22" s="1"/>
  <c r="H35" i="22"/>
  <c r="G35" i="22"/>
  <c r="F35" i="22"/>
  <c r="E35" i="22"/>
  <c r="D35" i="22"/>
  <c r="D268" i="22" s="1"/>
  <c r="V34" i="22"/>
  <c r="U34" i="22"/>
  <c r="T34" i="22"/>
  <c r="T267" i="22" s="1"/>
  <c r="S34" i="22"/>
  <c r="S267" i="22" s="1"/>
  <c r="R34" i="22"/>
  <c r="Q34" i="22"/>
  <c r="P34" i="22"/>
  <c r="P112" i="22" s="1"/>
  <c r="O34" i="22"/>
  <c r="N34" i="22"/>
  <c r="N190" i="22" s="1"/>
  <c r="M34" i="22"/>
  <c r="L34" i="22"/>
  <c r="K34" i="22"/>
  <c r="K267" i="22" s="1"/>
  <c r="J34" i="22"/>
  <c r="I34" i="22"/>
  <c r="H34" i="22"/>
  <c r="H267" i="22" s="1"/>
  <c r="G34" i="22"/>
  <c r="F34" i="22"/>
  <c r="E34" i="22"/>
  <c r="D34" i="22"/>
  <c r="D267" i="22" s="1"/>
  <c r="V33" i="22"/>
  <c r="V266" i="22" s="1"/>
  <c r="U33" i="22"/>
  <c r="U266" i="22" s="1"/>
  <c r="T33" i="22"/>
  <c r="S33" i="22"/>
  <c r="S111" i="22" s="1"/>
  <c r="R33" i="22"/>
  <c r="Q33" i="22"/>
  <c r="Q266" i="22" s="1"/>
  <c r="P33" i="22"/>
  <c r="P189" i="22" s="1"/>
  <c r="O33" i="22"/>
  <c r="N33" i="22"/>
  <c r="M33" i="22"/>
  <c r="L33" i="22"/>
  <c r="K33" i="22"/>
  <c r="J33" i="22"/>
  <c r="I33" i="22"/>
  <c r="H33" i="22"/>
  <c r="G33" i="22"/>
  <c r="G266" i="22" s="1"/>
  <c r="F33" i="22"/>
  <c r="F266" i="22" s="1"/>
  <c r="E33" i="22"/>
  <c r="E266" i="22" s="1"/>
  <c r="D33" i="22"/>
  <c r="V32" i="22"/>
  <c r="V110" i="22" s="1"/>
  <c r="U32" i="22"/>
  <c r="T32" i="22"/>
  <c r="T188" i="22" s="1"/>
  <c r="S32" i="22"/>
  <c r="S188" i="22" s="1"/>
  <c r="R32" i="22"/>
  <c r="Q32" i="22"/>
  <c r="P32" i="22"/>
  <c r="P188" i="22" s="1"/>
  <c r="O32" i="22"/>
  <c r="N32" i="22"/>
  <c r="N265" i="22" s="1"/>
  <c r="M32" i="22"/>
  <c r="M265" i="22" s="1"/>
  <c r="L32" i="22"/>
  <c r="K32" i="22"/>
  <c r="J32" i="22"/>
  <c r="J265" i="22" s="1"/>
  <c r="I32" i="22"/>
  <c r="I265" i="22" s="1"/>
  <c r="H32" i="22"/>
  <c r="G32" i="22"/>
  <c r="F32" i="22"/>
  <c r="F110" i="22" s="1"/>
  <c r="E32" i="22"/>
  <c r="D32" i="22"/>
  <c r="D188" i="22" s="1"/>
  <c r="V31" i="22"/>
  <c r="U31" i="22"/>
  <c r="T31" i="22"/>
  <c r="S31" i="22"/>
  <c r="R31" i="22"/>
  <c r="Q31" i="22"/>
  <c r="Q109" i="22" s="1"/>
  <c r="P31" i="22"/>
  <c r="O31" i="22"/>
  <c r="N31" i="22"/>
  <c r="M31" i="22"/>
  <c r="M264" i="22" s="1"/>
  <c r="L31" i="22"/>
  <c r="L264" i="22" s="1"/>
  <c r="K31" i="22"/>
  <c r="K264" i="22" s="1"/>
  <c r="J31" i="22"/>
  <c r="I31" i="22"/>
  <c r="H31" i="22"/>
  <c r="G31" i="22"/>
  <c r="G187" i="22" s="1"/>
  <c r="F31" i="22"/>
  <c r="F187" i="22" s="1"/>
  <c r="E31" i="22"/>
  <c r="E187" i="22" s="1"/>
  <c r="D31" i="22"/>
  <c r="D264" i="22" s="1"/>
  <c r="V30" i="22"/>
  <c r="V186" i="22" s="1"/>
  <c r="U30" i="22"/>
  <c r="T30" i="22"/>
  <c r="T263" i="22" s="1"/>
  <c r="S30" i="22"/>
  <c r="R30" i="22"/>
  <c r="Q30" i="22"/>
  <c r="P30" i="22"/>
  <c r="P263" i="22" s="1"/>
  <c r="O30" i="22"/>
  <c r="O263" i="22" s="1"/>
  <c r="N30" i="22"/>
  <c r="N263" i="22" s="1"/>
  <c r="M30" i="22"/>
  <c r="L30" i="22"/>
  <c r="L108" i="22" s="1"/>
  <c r="K30" i="22"/>
  <c r="K186" i="22" s="1"/>
  <c r="J30" i="22"/>
  <c r="J186" i="22" s="1"/>
  <c r="I30" i="22"/>
  <c r="I186" i="22" s="1"/>
  <c r="H30" i="22"/>
  <c r="H263" i="22" s="1"/>
  <c r="G30" i="22"/>
  <c r="G263" i="22" s="1"/>
  <c r="F30" i="22"/>
  <c r="F186" i="22" s="1"/>
  <c r="E30" i="22"/>
  <c r="D30" i="22"/>
  <c r="D263" i="22" s="1"/>
  <c r="V29" i="22"/>
  <c r="U29" i="22"/>
  <c r="T29" i="22"/>
  <c r="S29" i="22"/>
  <c r="S262" i="22" s="1"/>
  <c r="R29" i="22"/>
  <c r="R262" i="22" s="1"/>
  <c r="Q29" i="22"/>
  <c r="Q262" i="22" s="1"/>
  <c r="P29" i="22"/>
  <c r="O29" i="22"/>
  <c r="N29" i="22"/>
  <c r="M29" i="22"/>
  <c r="M185" i="22" s="1"/>
  <c r="L29" i="22"/>
  <c r="K29" i="22"/>
  <c r="J29" i="22"/>
  <c r="J107" i="22" s="1"/>
  <c r="I29" i="22"/>
  <c r="I185" i="22" s="1"/>
  <c r="H29" i="22"/>
  <c r="G29" i="22"/>
  <c r="G262" i="22" s="1"/>
  <c r="F29" i="22"/>
  <c r="E29" i="22"/>
  <c r="D29" i="22"/>
  <c r="V28" i="22"/>
  <c r="V261" i="22" s="1"/>
  <c r="U28" i="22"/>
  <c r="U261" i="22" s="1"/>
  <c r="T28" i="22"/>
  <c r="S28" i="22"/>
  <c r="R28" i="22"/>
  <c r="R106" i="22" s="1"/>
  <c r="Q28" i="22"/>
  <c r="P28" i="22"/>
  <c r="P184" i="22" s="1"/>
  <c r="O28" i="22"/>
  <c r="O184" i="22" s="1"/>
  <c r="N28" i="22"/>
  <c r="N184" i="22" s="1"/>
  <c r="M28" i="22"/>
  <c r="L28" i="22"/>
  <c r="L184" i="22" s="1"/>
  <c r="K28" i="22"/>
  <c r="J28" i="22"/>
  <c r="J106" i="22" s="1"/>
  <c r="I28" i="22"/>
  <c r="H28" i="22"/>
  <c r="G28" i="22"/>
  <c r="F28" i="22"/>
  <c r="F261" i="22" s="1"/>
  <c r="E28" i="22"/>
  <c r="E261" i="22" s="1"/>
  <c r="D28" i="22"/>
  <c r="D261" i="22" s="1"/>
  <c r="V27" i="22"/>
  <c r="V105" i="22" s="1"/>
  <c r="U27" i="22"/>
  <c r="T27" i="22"/>
  <c r="S27" i="22"/>
  <c r="S183" i="22" s="1"/>
  <c r="R27" i="22"/>
  <c r="R183" i="22" s="1"/>
  <c r="Q27" i="22"/>
  <c r="P27" i="22"/>
  <c r="O27" i="22"/>
  <c r="N27" i="22"/>
  <c r="M27" i="22"/>
  <c r="M260" i="22" s="1"/>
  <c r="L27" i="22"/>
  <c r="K27" i="22"/>
  <c r="J27" i="22"/>
  <c r="I27" i="22"/>
  <c r="I260" i="22" s="1"/>
  <c r="H27" i="22"/>
  <c r="H260" i="22" s="1"/>
  <c r="G27" i="22"/>
  <c r="G260" i="22" s="1"/>
  <c r="F27" i="22"/>
  <c r="E27" i="22"/>
  <c r="E105" i="22" s="1"/>
  <c r="D27" i="22"/>
  <c r="D183" i="22" s="1"/>
  <c r="V26" i="22"/>
  <c r="V182" i="22" s="1"/>
  <c r="U26" i="22"/>
  <c r="U104" i="22" s="1"/>
  <c r="T26" i="22"/>
  <c r="S26" i="22"/>
  <c r="S259" i="22" s="1"/>
  <c r="R26" i="22"/>
  <c r="Q26" i="22"/>
  <c r="P26" i="22"/>
  <c r="P259" i="22" s="1"/>
  <c r="O26" i="22"/>
  <c r="N26" i="22"/>
  <c r="M26" i="22"/>
  <c r="L26" i="22"/>
  <c r="L259" i="22" s="1"/>
  <c r="K26" i="22"/>
  <c r="K259" i="22" s="1"/>
  <c r="J26" i="22"/>
  <c r="J259" i="22" s="1"/>
  <c r="I26" i="22"/>
  <c r="H26" i="22"/>
  <c r="G26" i="22"/>
  <c r="F26" i="22"/>
  <c r="F182" i="22" s="1"/>
  <c r="E26" i="22"/>
  <c r="E182" i="22" s="1"/>
  <c r="D26" i="22"/>
  <c r="V24" i="22"/>
  <c r="V257" i="22" s="1"/>
  <c r="U24" i="22"/>
  <c r="U180" i="22" s="1"/>
  <c r="T24" i="22"/>
  <c r="S24" i="22"/>
  <c r="S257" i="22" s="1"/>
  <c r="R24" i="22"/>
  <c r="Q24" i="22"/>
  <c r="P24" i="22"/>
  <c r="O24" i="22"/>
  <c r="N24" i="22"/>
  <c r="N257" i="22" s="1"/>
  <c r="M24" i="22"/>
  <c r="M257" i="22" s="1"/>
  <c r="L24" i="22"/>
  <c r="L257" i="22" s="1"/>
  <c r="K24" i="22"/>
  <c r="J24" i="22"/>
  <c r="I24" i="22"/>
  <c r="H24" i="22"/>
  <c r="G24" i="22"/>
  <c r="F24" i="22"/>
  <c r="F102" i="22" s="1"/>
  <c r="E24" i="22"/>
  <c r="D24" i="22"/>
  <c r="V23" i="22"/>
  <c r="V256" i="22" s="1"/>
  <c r="U23" i="22"/>
  <c r="T23" i="22"/>
  <c r="S23" i="22"/>
  <c r="R23" i="22"/>
  <c r="Q23" i="22"/>
  <c r="Q256" i="22" s="1"/>
  <c r="P23" i="22"/>
  <c r="O23" i="22"/>
  <c r="N23" i="22"/>
  <c r="M23" i="22"/>
  <c r="M179" i="22" s="1"/>
  <c r="L23" i="22"/>
  <c r="K23" i="22"/>
  <c r="K179" i="22" s="1"/>
  <c r="J23" i="22"/>
  <c r="I23" i="22"/>
  <c r="I256" i="22" s="1"/>
  <c r="H23" i="22"/>
  <c r="H256" i="22" s="1"/>
  <c r="G23" i="22"/>
  <c r="F23" i="22"/>
  <c r="E23" i="22"/>
  <c r="D23" i="22"/>
  <c r="V22" i="22"/>
  <c r="U22" i="22"/>
  <c r="T22" i="22"/>
  <c r="T255" i="22" s="1"/>
  <c r="S22" i="22"/>
  <c r="S255" i="22" s="1"/>
  <c r="R22" i="22"/>
  <c r="R255" i="22" s="1"/>
  <c r="Q22" i="22"/>
  <c r="Q255" i="22" s="1"/>
  <c r="P22" i="22"/>
  <c r="P178" i="22" s="1"/>
  <c r="O22" i="22"/>
  <c r="N22" i="22"/>
  <c r="N178" i="22" s="1"/>
  <c r="M22" i="22"/>
  <c r="L22" i="22"/>
  <c r="K22" i="22"/>
  <c r="K178" i="22" s="1"/>
  <c r="J22" i="22"/>
  <c r="I22" i="22"/>
  <c r="I255" i="22" s="1"/>
  <c r="H22" i="22"/>
  <c r="G22" i="22"/>
  <c r="F22" i="22"/>
  <c r="E22" i="22"/>
  <c r="D22" i="22"/>
  <c r="D255" i="22" s="1"/>
  <c r="V21" i="22"/>
  <c r="V254" i="22" s="1"/>
  <c r="U21" i="22"/>
  <c r="T21" i="22"/>
  <c r="S21" i="22"/>
  <c r="R21" i="22"/>
  <c r="Q21" i="22"/>
  <c r="P21" i="22"/>
  <c r="O21" i="22"/>
  <c r="O254" i="22" s="1"/>
  <c r="N21" i="22"/>
  <c r="M21" i="22"/>
  <c r="L21" i="22"/>
  <c r="L254" i="22" s="1"/>
  <c r="K21" i="22"/>
  <c r="J21" i="22"/>
  <c r="I21" i="22"/>
  <c r="H21" i="22"/>
  <c r="G21" i="22"/>
  <c r="G254" i="22" s="1"/>
  <c r="F21" i="22"/>
  <c r="F254" i="22" s="1"/>
  <c r="E21" i="22"/>
  <c r="E254" i="22" s="1"/>
  <c r="D21" i="22"/>
  <c r="V20" i="22"/>
  <c r="U20" i="22"/>
  <c r="T20" i="22"/>
  <c r="T176" i="22" s="1"/>
  <c r="S20" i="22"/>
  <c r="S176" i="22" s="1"/>
  <c r="R20" i="22"/>
  <c r="Q20" i="22"/>
  <c r="Q176" i="22" s="1"/>
  <c r="P20" i="22"/>
  <c r="O20" i="22"/>
  <c r="O253" i="22" s="1"/>
  <c r="N20" i="22"/>
  <c r="N253" i="22" s="1"/>
  <c r="M20" i="22"/>
  <c r="L20" i="22"/>
  <c r="K20" i="22"/>
  <c r="J20" i="22"/>
  <c r="J253" i="22" s="1"/>
  <c r="I20" i="22"/>
  <c r="H20" i="22"/>
  <c r="G20" i="22"/>
  <c r="F20" i="22"/>
  <c r="F176" i="22" s="1"/>
  <c r="E20" i="22"/>
  <c r="E176" i="22" s="1"/>
  <c r="D20" i="22"/>
  <c r="D176" i="22" s="1"/>
  <c r="V19" i="22"/>
  <c r="U19" i="22"/>
  <c r="U252" i="22" s="1"/>
  <c r="T19" i="22"/>
  <c r="T252" i="22" s="1"/>
  <c r="S19" i="22"/>
  <c r="R19" i="22"/>
  <c r="Q19" i="22"/>
  <c r="P19" i="22"/>
  <c r="O19" i="22"/>
  <c r="N19" i="22"/>
  <c r="M19" i="22"/>
  <c r="L19" i="22"/>
  <c r="L252" i="22" s="1"/>
  <c r="K19" i="22"/>
  <c r="J19" i="22"/>
  <c r="J252" i="22" s="1"/>
  <c r="I19" i="22"/>
  <c r="I175" i="22" s="1"/>
  <c r="H19" i="22"/>
  <c r="H97" i="22" s="1"/>
  <c r="G19" i="22"/>
  <c r="F19" i="22"/>
  <c r="E19" i="22"/>
  <c r="D19" i="22"/>
  <c r="V18" i="22"/>
  <c r="U18" i="22"/>
  <c r="U251" i="22" s="1"/>
  <c r="T18" i="22"/>
  <c r="S18" i="22"/>
  <c r="R18" i="22"/>
  <c r="Q18" i="22"/>
  <c r="P18" i="22"/>
  <c r="O18" i="22"/>
  <c r="O251" i="22" s="1"/>
  <c r="N18" i="22"/>
  <c r="M18" i="22"/>
  <c r="L18" i="22"/>
  <c r="K18" i="22"/>
  <c r="J18" i="22"/>
  <c r="J174" i="22" s="1"/>
  <c r="I18" i="22"/>
  <c r="H18" i="22"/>
  <c r="H251" i="22" s="1"/>
  <c r="G18" i="22"/>
  <c r="G174" i="22" s="1"/>
  <c r="F18" i="22"/>
  <c r="E18" i="22"/>
  <c r="E251" i="22" s="1"/>
  <c r="D18" i="22"/>
  <c r="V17" i="22"/>
  <c r="U17" i="22"/>
  <c r="T17" i="22"/>
  <c r="S17" i="22"/>
  <c r="R17" i="22"/>
  <c r="R250" i="22" s="1"/>
  <c r="Q17" i="22"/>
  <c r="Q250" i="22" s="1"/>
  <c r="P17" i="22"/>
  <c r="O17" i="22"/>
  <c r="N17" i="22"/>
  <c r="N173" i="22" s="1"/>
  <c r="M17" i="22"/>
  <c r="L17" i="22"/>
  <c r="K17" i="22"/>
  <c r="K95" i="22" s="1"/>
  <c r="J17" i="22"/>
  <c r="I17" i="22"/>
  <c r="H17" i="22"/>
  <c r="G17" i="22"/>
  <c r="F17" i="22"/>
  <c r="E17" i="22"/>
  <c r="D17" i="22"/>
  <c r="V16" i="22"/>
  <c r="U16" i="22"/>
  <c r="T16" i="22"/>
  <c r="S16" i="22"/>
  <c r="R16" i="22"/>
  <c r="R172" i="22" s="1"/>
  <c r="Q16" i="22"/>
  <c r="Q172" i="22" s="1"/>
  <c r="P16" i="22"/>
  <c r="P172" i="22" s="1"/>
  <c r="O16" i="22"/>
  <c r="O172" i="22" s="1"/>
  <c r="N16" i="22"/>
  <c r="N249" i="22" s="1"/>
  <c r="M16" i="22"/>
  <c r="L16" i="22"/>
  <c r="K16" i="22"/>
  <c r="J16" i="22"/>
  <c r="I16" i="22"/>
  <c r="H16" i="22"/>
  <c r="G16" i="22"/>
  <c r="F16" i="22"/>
  <c r="E16" i="22"/>
  <c r="E249" i="22" s="1"/>
  <c r="D16" i="22"/>
  <c r="D249" i="22" s="1"/>
  <c r="V15" i="22"/>
  <c r="V248" i="22" s="1"/>
  <c r="U15" i="22"/>
  <c r="U171" i="22" s="1"/>
  <c r="T15" i="22"/>
  <c r="S15" i="22"/>
  <c r="S171" i="22" s="1"/>
  <c r="R15" i="22"/>
  <c r="Q15" i="22"/>
  <c r="P15" i="22"/>
  <c r="O15" i="22"/>
  <c r="N15" i="22"/>
  <c r="N248" i="22" s="1"/>
  <c r="M15" i="22"/>
  <c r="L15" i="22"/>
  <c r="K15" i="22"/>
  <c r="J15" i="22"/>
  <c r="I15" i="22"/>
  <c r="H15" i="22"/>
  <c r="H248" i="22" s="1"/>
  <c r="G15" i="22"/>
  <c r="F15" i="22"/>
  <c r="E15" i="22"/>
  <c r="D15" i="22"/>
  <c r="V14" i="22"/>
  <c r="V92" i="22" s="1"/>
  <c r="U14" i="22"/>
  <c r="T14" i="22"/>
  <c r="T247" i="22" s="1"/>
  <c r="S14" i="22"/>
  <c r="R14" i="22"/>
  <c r="Q14" i="22"/>
  <c r="Q247" i="22" s="1"/>
  <c r="P14" i="22"/>
  <c r="O14" i="22"/>
  <c r="N14" i="22"/>
  <c r="M14" i="22"/>
  <c r="L14" i="22"/>
  <c r="K14" i="22"/>
  <c r="K247" i="22" s="1"/>
  <c r="J14" i="22"/>
  <c r="J247" i="22" s="1"/>
  <c r="I14" i="22"/>
  <c r="H14" i="22"/>
  <c r="G14" i="22"/>
  <c r="G170" i="22" s="1"/>
  <c r="F14" i="22"/>
  <c r="F170" i="22" s="1"/>
  <c r="E14" i="22"/>
  <c r="E170" i="22" s="1"/>
  <c r="D14" i="22"/>
  <c r="V13" i="22"/>
  <c r="U13" i="22"/>
  <c r="T13" i="22"/>
  <c r="S13" i="22"/>
  <c r="R13" i="22"/>
  <c r="Q13" i="22"/>
  <c r="P13" i="22"/>
  <c r="P91" i="22" s="1"/>
  <c r="O13" i="22"/>
  <c r="N13" i="22"/>
  <c r="M13" i="22"/>
  <c r="L13" i="22"/>
  <c r="K13" i="22"/>
  <c r="K169" i="22" s="1"/>
  <c r="J13" i="22"/>
  <c r="I13" i="22"/>
  <c r="I169" i="22" s="1"/>
  <c r="H13" i="22"/>
  <c r="G13" i="22"/>
  <c r="G246" i="22" s="1"/>
  <c r="F13" i="22"/>
  <c r="E13" i="22"/>
  <c r="D13" i="22"/>
  <c r="C299" i="21"/>
  <c r="K297" i="21"/>
  <c r="H297" i="21"/>
  <c r="H296" i="21"/>
  <c r="J295" i="21"/>
  <c r="I295" i="21"/>
  <c r="H294" i="21"/>
  <c r="K293" i="21"/>
  <c r="I293" i="21"/>
  <c r="H293" i="21"/>
  <c r="G293" i="21"/>
  <c r="F291" i="21"/>
  <c r="K289" i="21"/>
  <c r="I289" i="21"/>
  <c r="H289" i="21"/>
  <c r="G289" i="21"/>
  <c r="I288" i="21"/>
  <c r="H288" i="21"/>
  <c r="E288" i="21"/>
  <c r="I287" i="21"/>
  <c r="E286" i="21"/>
  <c r="K285" i="21"/>
  <c r="H284" i="21"/>
  <c r="J283" i="21"/>
  <c r="H283" i="21"/>
  <c r="H282" i="21"/>
  <c r="F282" i="21"/>
  <c r="E282" i="21"/>
  <c r="D282" i="21"/>
  <c r="G281" i="21"/>
  <c r="E281" i="21"/>
  <c r="H279" i="21"/>
  <c r="H278" i="21"/>
  <c r="H277" i="21"/>
  <c r="I274" i="21"/>
  <c r="H274" i="21"/>
  <c r="G274" i="21"/>
  <c r="E274" i="21"/>
  <c r="D274" i="21"/>
  <c r="H272" i="21"/>
  <c r="I271" i="21"/>
  <c r="H271" i="21"/>
  <c r="F271" i="21"/>
  <c r="I269" i="21"/>
  <c r="E269" i="21"/>
  <c r="H268" i="21"/>
  <c r="G267" i="21"/>
  <c r="C257" i="21"/>
  <c r="I256" i="21"/>
  <c r="H256" i="21"/>
  <c r="K255" i="21"/>
  <c r="J255" i="21"/>
  <c r="J297" i="21" s="1"/>
  <c r="I255" i="21"/>
  <c r="I297" i="21" s="1"/>
  <c r="H255" i="21"/>
  <c r="G255" i="21"/>
  <c r="G297" i="21" s="1"/>
  <c r="F255" i="21"/>
  <c r="F297" i="21" s="1"/>
  <c r="E255" i="21"/>
  <c r="E297" i="21" s="1"/>
  <c r="D255" i="21"/>
  <c r="D297" i="21" s="1"/>
  <c r="K254" i="21"/>
  <c r="J254" i="21"/>
  <c r="I254" i="21"/>
  <c r="H254" i="21"/>
  <c r="G254" i="21"/>
  <c r="G296" i="21" s="1"/>
  <c r="F254" i="21"/>
  <c r="E254" i="21"/>
  <c r="D254" i="21"/>
  <c r="K253" i="21"/>
  <c r="J253" i="21"/>
  <c r="I253" i="21"/>
  <c r="H253" i="21"/>
  <c r="G253" i="21"/>
  <c r="G295" i="21" s="1"/>
  <c r="F253" i="21"/>
  <c r="F295" i="21" s="1"/>
  <c r="E253" i="21"/>
  <c r="E295" i="21" s="1"/>
  <c r="D253" i="21"/>
  <c r="K252" i="21"/>
  <c r="J252" i="21"/>
  <c r="I252" i="21"/>
  <c r="H252" i="21"/>
  <c r="G252" i="21"/>
  <c r="G294" i="21" s="1"/>
  <c r="F252" i="21"/>
  <c r="E252" i="21"/>
  <c r="D252" i="21"/>
  <c r="K251" i="21"/>
  <c r="J251" i="21"/>
  <c r="J293" i="21" s="1"/>
  <c r="I251" i="21"/>
  <c r="H251" i="21"/>
  <c r="G251" i="21"/>
  <c r="F251" i="21"/>
  <c r="F293" i="21" s="1"/>
  <c r="E251" i="21"/>
  <c r="E293" i="21" s="1"/>
  <c r="D251" i="21"/>
  <c r="D293" i="21" s="1"/>
  <c r="K250" i="21"/>
  <c r="J250" i="21"/>
  <c r="I250" i="21"/>
  <c r="I292" i="21" s="1"/>
  <c r="H250" i="21"/>
  <c r="H292" i="21" s="1"/>
  <c r="G250" i="21"/>
  <c r="G292" i="21" s="1"/>
  <c r="F250" i="21"/>
  <c r="E250" i="21"/>
  <c r="D250" i="21"/>
  <c r="K249" i="21"/>
  <c r="J249" i="21"/>
  <c r="J291" i="21" s="1"/>
  <c r="I249" i="21"/>
  <c r="I291" i="21" s="1"/>
  <c r="H249" i="21"/>
  <c r="H291" i="21" s="1"/>
  <c r="G249" i="21"/>
  <c r="G291" i="21" s="1"/>
  <c r="F249" i="21"/>
  <c r="E249" i="21"/>
  <c r="E291" i="21" s="1"/>
  <c r="D249" i="21"/>
  <c r="K248" i="21"/>
  <c r="J248" i="21"/>
  <c r="I248" i="21"/>
  <c r="H248" i="21"/>
  <c r="G248" i="21"/>
  <c r="G290" i="21" s="1"/>
  <c r="F248" i="21"/>
  <c r="E248" i="21"/>
  <c r="D248" i="21"/>
  <c r="K247" i="21"/>
  <c r="J247" i="21"/>
  <c r="J289" i="21" s="1"/>
  <c r="I247" i="21"/>
  <c r="H247" i="21"/>
  <c r="G247" i="21"/>
  <c r="F247" i="21"/>
  <c r="F289" i="21" s="1"/>
  <c r="E247" i="21"/>
  <c r="E289" i="21" s="1"/>
  <c r="D247" i="21"/>
  <c r="D289" i="21" s="1"/>
  <c r="K246" i="21"/>
  <c r="K288" i="21" s="1"/>
  <c r="J246" i="21"/>
  <c r="J288" i="21" s="1"/>
  <c r="I246" i="21"/>
  <c r="H246" i="21"/>
  <c r="G246" i="21"/>
  <c r="G288" i="21" s="1"/>
  <c r="F246" i="21"/>
  <c r="E246" i="21"/>
  <c r="D246" i="21"/>
  <c r="K245" i="21"/>
  <c r="J245" i="21"/>
  <c r="J287" i="21" s="1"/>
  <c r="I245" i="21"/>
  <c r="H245" i="21"/>
  <c r="G245" i="21"/>
  <c r="G287" i="21" s="1"/>
  <c r="F245" i="21"/>
  <c r="E245" i="21"/>
  <c r="D245" i="21"/>
  <c r="K244" i="21"/>
  <c r="J244" i="21"/>
  <c r="I244" i="21"/>
  <c r="H244" i="21"/>
  <c r="H286" i="21" s="1"/>
  <c r="G244" i="21"/>
  <c r="G286" i="21" s="1"/>
  <c r="F244" i="21"/>
  <c r="E244" i="21"/>
  <c r="D244" i="21"/>
  <c r="K243" i="21"/>
  <c r="J243" i="21"/>
  <c r="J285" i="21" s="1"/>
  <c r="I243" i="21"/>
  <c r="H243" i="21"/>
  <c r="H285" i="21" s="1"/>
  <c r="G243" i="21"/>
  <c r="G285" i="21" s="1"/>
  <c r="F243" i="21"/>
  <c r="E243" i="21"/>
  <c r="E285" i="21" s="1"/>
  <c r="D243" i="21"/>
  <c r="K242" i="21"/>
  <c r="J242" i="21"/>
  <c r="I242" i="21"/>
  <c r="H242" i="21"/>
  <c r="G242" i="21"/>
  <c r="F242" i="21"/>
  <c r="E242" i="21"/>
  <c r="D242" i="21"/>
  <c r="K241" i="21"/>
  <c r="J241" i="21"/>
  <c r="I241" i="21"/>
  <c r="H241" i="21"/>
  <c r="G241" i="21"/>
  <c r="G283" i="21" s="1"/>
  <c r="F241" i="21"/>
  <c r="E241" i="21"/>
  <c r="E283" i="21" s="1"/>
  <c r="D241" i="21"/>
  <c r="K240" i="21"/>
  <c r="K282" i="21" s="1"/>
  <c r="J240" i="21"/>
  <c r="J282" i="21" s="1"/>
  <c r="I240" i="21"/>
  <c r="I282" i="21" s="1"/>
  <c r="H240" i="21"/>
  <c r="G240" i="21"/>
  <c r="G282" i="21" s="1"/>
  <c r="F240" i="21"/>
  <c r="E240" i="21"/>
  <c r="D240" i="21"/>
  <c r="K239" i="21"/>
  <c r="J239" i="21"/>
  <c r="J281" i="21" s="1"/>
  <c r="I239" i="21"/>
  <c r="H239" i="21"/>
  <c r="G239" i="21"/>
  <c r="F239" i="21"/>
  <c r="E239" i="21"/>
  <c r="D239" i="21"/>
  <c r="K238" i="21"/>
  <c r="K280" i="21" s="1"/>
  <c r="J238" i="21"/>
  <c r="I238" i="21"/>
  <c r="I280" i="21" s="1"/>
  <c r="H238" i="21"/>
  <c r="G238" i="21"/>
  <c r="F238" i="21"/>
  <c r="E238" i="21"/>
  <c r="D238" i="21"/>
  <c r="K237" i="21"/>
  <c r="J237" i="21"/>
  <c r="J279" i="21" s="1"/>
  <c r="I237" i="21"/>
  <c r="H237" i="21"/>
  <c r="G237" i="21"/>
  <c r="G279" i="21" s="1"/>
  <c r="F237" i="21"/>
  <c r="F279" i="21" s="1"/>
  <c r="E237" i="21"/>
  <c r="E279" i="21" s="1"/>
  <c r="D237" i="21"/>
  <c r="D279" i="21" s="1"/>
  <c r="K236" i="21"/>
  <c r="J236" i="21"/>
  <c r="I236" i="21"/>
  <c r="H236" i="21"/>
  <c r="G236" i="21"/>
  <c r="F236" i="21"/>
  <c r="E236" i="21"/>
  <c r="D236" i="21"/>
  <c r="K235" i="21"/>
  <c r="J235" i="21"/>
  <c r="J277" i="21" s="1"/>
  <c r="I235" i="21"/>
  <c r="H235" i="21"/>
  <c r="G235" i="21"/>
  <c r="G277" i="21" s="1"/>
  <c r="F235" i="21"/>
  <c r="E235" i="21"/>
  <c r="D235" i="21"/>
  <c r="K234" i="21"/>
  <c r="J234" i="21"/>
  <c r="I234" i="21"/>
  <c r="I276" i="21" s="1"/>
  <c r="H234" i="21"/>
  <c r="G234" i="21"/>
  <c r="F234" i="21"/>
  <c r="E234" i="21"/>
  <c r="D234" i="21"/>
  <c r="K233" i="21"/>
  <c r="J233" i="21"/>
  <c r="J275" i="21" s="1"/>
  <c r="I233" i="21"/>
  <c r="H233" i="21"/>
  <c r="H275" i="21" s="1"/>
  <c r="G233" i="21"/>
  <c r="G275" i="21" s="1"/>
  <c r="F233" i="21"/>
  <c r="E233" i="21"/>
  <c r="D233" i="21"/>
  <c r="K232" i="21"/>
  <c r="K274" i="21" s="1"/>
  <c r="J232" i="21"/>
  <c r="J274" i="21" s="1"/>
  <c r="I232" i="21"/>
  <c r="H232" i="21"/>
  <c r="G232" i="21"/>
  <c r="F232" i="21"/>
  <c r="F274" i="21" s="1"/>
  <c r="E232" i="21"/>
  <c r="D232" i="21"/>
  <c r="K231" i="21"/>
  <c r="J231" i="21"/>
  <c r="J273" i="21" s="1"/>
  <c r="I231" i="21"/>
  <c r="H231" i="21"/>
  <c r="H273" i="21" s="1"/>
  <c r="G231" i="21"/>
  <c r="G273" i="21" s="1"/>
  <c r="F231" i="21"/>
  <c r="E231" i="21"/>
  <c r="D231" i="21"/>
  <c r="K230" i="21"/>
  <c r="J230" i="21"/>
  <c r="I230" i="21"/>
  <c r="H230" i="21"/>
  <c r="G230" i="21"/>
  <c r="F230" i="21"/>
  <c r="E230" i="21"/>
  <c r="D230" i="21"/>
  <c r="K229" i="21"/>
  <c r="K271" i="21" s="1"/>
  <c r="J229" i="21"/>
  <c r="J271" i="21" s="1"/>
  <c r="I229" i="21"/>
  <c r="H229" i="21"/>
  <c r="G229" i="21"/>
  <c r="G271" i="21" s="1"/>
  <c r="F229" i="21"/>
  <c r="E229" i="21"/>
  <c r="E271" i="21" s="1"/>
  <c r="D229" i="21"/>
  <c r="D271" i="21" s="1"/>
  <c r="K228" i="21"/>
  <c r="J228" i="21"/>
  <c r="I228" i="21"/>
  <c r="H228" i="21"/>
  <c r="G228" i="21"/>
  <c r="F228" i="21"/>
  <c r="E228" i="21"/>
  <c r="D228" i="21"/>
  <c r="K227" i="21"/>
  <c r="K269" i="21" s="1"/>
  <c r="J227" i="21"/>
  <c r="J269" i="21" s="1"/>
  <c r="I227" i="21"/>
  <c r="H227" i="21"/>
  <c r="H269" i="21" s="1"/>
  <c r="G227" i="21"/>
  <c r="G269" i="21" s="1"/>
  <c r="F227" i="21"/>
  <c r="F269" i="21" s="1"/>
  <c r="E227" i="21"/>
  <c r="D227" i="21"/>
  <c r="D269" i="21" s="1"/>
  <c r="K226" i="21"/>
  <c r="J226" i="21"/>
  <c r="I226" i="21"/>
  <c r="H226" i="21"/>
  <c r="G226" i="21"/>
  <c r="F226" i="21"/>
  <c r="E226" i="21"/>
  <c r="D226" i="21"/>
  <c r="K225" i="21"/>
  <c r="K256" i="21" s="1"/>
  <c r="J225" i="21"/>
  <c r="J256" i="21" s="1"/>
  <c r="I225" i="21"/>
  <c r="H225" i="21"/>
  <c r="G225" i="21"/>
  <c r="G256" i="21" s="1"/>
  <c r="F225" i="21"/>
  <c r="E225" i="21"/>
  <c r="E256" i="21" s="1"/>
  <c r="D225" i="21"/>
  <c r="C216" i="21"/>
  <c r="K214" i="21"/>
  <c r="J214" i="21"/>
  <c r="I214" i="21"/>
  <c r="G214" i="21"/>
  <c r="F214" i="21"/>
  <c r="E214" i="21"/>
  <c r="D214" i="21"/>
  <c r="J212" i="21"/>
  <c r="I212" i="21"/>
  <c r="H212" i="21"/>
  <c r="G212" i="21"/>
  <c r="I211" i="21"/>
  <c r="I210" i="21"/>
  <c r="H210" i="21"/>
  <c r="G210" i="21"/>
  <c r="F210" i="21"/>
  <c r="E210" i="21"/>
  <c r="H209" i="21"/>
  <c r="G209" i="21"/>
  <c r="H208" i="21"/>
  <c r="G208" i="21"/>
  <c r="H207" i="21"/>
  <c r="G207" i="21"/>
  <c r="K206" i="21"/>
  <c r="I206" i="21"/>
  <c r="H206" i="21"/>
  <c r="G206" i="21"/>
  <c r="F206" i="21"/>
  <c r="I205" i="21"/>
  <c r="J204" i="21"/>
  <c r="I204" i="21"/>
  <c r="G204" i="21"/>
  <c r="H203" i="21"/>
  <c r="J202" i="21"/>
  <c r="H202" i="21"/>
  <c r="G202" i="21"/>
  <c r="H201" i="21"/>
  <c r="H200" i="21"/>
  <c r="G200" i="21"/>
  <c r="E200" i="21"/>
  <c r="H199" i="21"/>
  <c r="J198" i="21"/>
  <c r="G198" i="21"/>
  <c r="E198" i="21"/>
  <c r="K197" i="21"/>
  <c r="H196" i="21"/>
  <c r="G196" i="21"/>
  <c r="F196" i="21"/>
  <c r="H194" i="21"/>
  <c r="G194" i="21"/>
  <c r="E194" i="21"/>
  <c r="I193" i="21"/>
  <c r="H193" i="21"/>
  <c r="H192" i="21"/>
  <c r="G192" i="21"/>
  <c r="I191" i="21"/>
  <c r="H191" i="21"/>
  <c r="G191" i="21"/>
  <c r="K190" i="21"/>
  <c r="K188" i="21"/>
  <c r="J188" i="21"/>
  <c r="I188" i="21"/>
  <c r="H188" i="21"/>
  <c r="G188" i="21"/>
  <c r="F188" i="21"/>
  <c r="H187" i="21"/>
  <c r="J186" i="21"/>
  <c r="I186" i="21"/>
  <c r="H186" i="21"/>
  <c r="G186" i="21"/>
  <c r="F186" i="21"/>
  <c r="H185" i="21"/>
  <c r="H184" i="21"/>
  <c r="G184" i="21"/>
  <c r="C174" i="21"/>
  <c r="J173" i="21"/>
  <c r="K172" i="21"/>
  <c r="J172" i="21"/>
  <c r="I172" i="21"/>
  <c r="H172" i="21"/>
  <c r="H214" i="21" s="1"/>
  <c r="G172" i="21"/>
  <c r="F172" i="21"/>
  <c r="E172" i="21"/>
  <c r="D172" i="21"/>
  <c r="K171" i="21"/>
  <c r="J171" i="21"/>
  <c r="I171" i="21"/>
  <c r="H171" i="21"/>
  <c r="H213" i="21" s="1"/>
  <c r="G171" i="21"/>
  <c r="G213" i="21" s="1"/>
  <c r="F171" i="21"/>
  <c r="E171" i="21"/>
  <c r="D171" i="21"/>
  <c r="K170" i="21"/>
  <c r="J170" i="21"/>
  <c r="I170" i="21"/>
  <c r="H170" i="21"/>
  <c r="G170" i="21"/>
  <c r="F170" i="21"/>
  <c r="E170" i="21"/>
  <c r="E212" i="21" s="1"/>
  <c r="D170" i="21"/>
  <c r="K169" i="21"/>
  <c r="J169" i="21"/>
  <c r="I169" i="21"/>
  <c r="H169" i="21"/>
  <c r="H211" i="21" s="1"/>
  <c r="G169" i="21"/>
  <c r="G211" i="21" s="1"/>
  <c r="F169" i="21"/>
  <c r="E169" i="21"/>
  <c r="D169" i="21"/>
  <c r="K168" i="21"/>
  <c r="K210" i="21" s="1"/>
  <c r="J168" i="21"/>
  <c r="J210" i="21" s="1"/>
  <c r="I168" i="21"/>
  <c r="H168" i="21"/>
  <c r="G168" i="21"/>
  <c r="F168" i="21"/>
  <c r="E168" i="21"/>
  <c r="D168" i="21"/>
  <c r="D210" i="21" s="1"/>
  <c r="K167" i="21"/>
  <c r="J167" i="21"/>
  <c r="I167" i="21"/>
  <c r="H167" i="21"/>
  <c r="G167" i="21"/>
  <c r="F167" i="21"/>
  <c r="E167" i="21"/>
  <c r="D167" i="21"/>
  <c r="K166" i="21"/>
  <c r="J166" i="21"/>
  <c r="J208" i="21" s="1"/>
  <c r="I166" i="21"/>
  <c r="I208" i="21" s="1"/>
  <c r="H166" i="21"/>
  <c r="G166" i="21"/>
  <c r="F166" i="21"/>
  <c r="E166" i="21"/>
  <c r="E208" i="21" s="1"/>
  <c r="D166" i="21"/>
  <c r="K165" i="21"/>
  <c r="J165" i="21"/>
  <c r="I165" i="21"/>
  <c r="H165" i="21"/>
  <c r="G165" i="21"/>
  <c r="F165" i="21"/>
  <c r="E165" i="21"/>
  <c r="D165" i="21"/>
  <c r="K164" i="21"/>
  <c r="J164" i="21"/>
  <c r="J206" i="21" s="1"/>
  <c r="I164" i="21"/>
  <c r="H164" i="21"/>
  <c r="G164" i="21"/>
  <c r="F164" i="21"/>
  <c r="E164" i="21"/>
  <c r="E206" i="21" s="1"/>
  <c r="D164" i="21"/>
  <c r="D206" i="21" s="1"/>
  <c r="K163" i="21"/>
  <c r="K205" i="21" s="1"/>
  <c r="J163" i="21"/>
  <c r="J205" i="21" s="1"/>
  <c r="I163" i="21"/>
  <c r="H163" i="21"/>
  <c r="H205" i="21" s="1"/>
  <c r="G163" i="21"/>
  <c r="G205" i="21" s="1"/>
  <c r="F163" i="21"/>
  <c r="E163" i="21"/>
  <c r="E205" i="21" s="1"/>
  <c r="D163" i="21"/>
  <c r="K162" i="21"/>
  <c r="J162" i="21"/>
  <c r="I162" i="21"/>
  <c r="H162" i="21"/>
  <c r="G162" i="21"/>
  <c r="F162" i="21"/>
  <c r="E162" i="21"/>
  <c r="E204" i="21" s="1"/>
  <c r="D162" i="21"/>
  <c r="K161" i="21"/>
  <c r="J161" i="21"/>
  <c r="I161" i="21"/>
  <c r="H161" i="21"/>
  <c r="G161" i="21"/>
  <c r="F161" i="21"/>
  <c r="E161" i="21"/>
  <c r="D161" i="21"/>
  <c r="K160" i="21"/>
  <c r="J160" i="21"/>
  <c r="I160" i="21"/>
  <c r="H160" i="21"/>
  <c r="G160" i="21"/>
  <c r="F160" i="21"/>
  <c r="E160" i="21"/>
  <c r="E202" i="21" s="1"/>
  <c r="D160" i="21"/>
  <c r="K159" i="21"/>
  <c r="J159" i="21"/>
  <c r="I159" i="21"/>
  <c r="H159" i="21"/>
  <c r="G159" i="21"/>
  <c r="G201" i="21" s="1"/>
  <c r="F159" i="21"/>
  <c r="E159" i="21"/>
  <c r="D159" i="21"/>
  <c r="K158" i="21"/>
  <c r="J158" i="21"/>
  <c r="J200" i="21" s="1"/>
  <c r="I158" i="21"/>
  <c r="H158" i="21"/>
  <c r="G158" i="21"/>
  <c r="F158" i="21"/>
  <c r="E158" i="21"/>
  <c r="D158" i="21"/>
  <c r="K157" i="21"/>
  <c r="K199" i="21" s="1"/>
  <c r="J157" i="21"/>
  <c r="J199" i="21" s="1"/>
  <c r="I157" i="21"/>
  <c r="I199" i="21" s="1"/>
  <c r="H157" i="21"/>
  <c r="G157" i="21"/>
  <c r="G199" i="21" s="1"/>
  <c r="F157" i="21"/>
  <c r="F199" i="21" s="1"/>
  <c r="E157" i="21"/>
  <c r="E199" i="21" s="1"/>
  <c r="D157" i="21"/>
  <c r="D199" i="21" s="1"/>
  <c r="K156" i="21"/>
  <c r="J156" i="21"/>
  <c r="I156" i="21"/>
  <c r="H156" i="21"/>
  <c r="H198" i="21" s="1"/>
  <c r="G156" i="21"/>
  <c r="F156" i="21"/>
  <c r="E156" i="21"/>
  <c r="D156" i="21"/>
  <c r="K155" i="21"/>
  <c r="J155" i="21"/>
  <c r="I155" i="21"/>
  <c r="H155" i="21"/>
  <c r="H197" i="21" s="1"/>
  <c r="G155" i="21"/>
  <c r="F155" i="21"/>
  <c r="E155" i="21"/>
  <c r="D155" i="21"/>
  <c r="K154" i="21"/>
  <c r="J154" i="21"/>
  <c r="J196" i="21" s="1"/>
  <c r="I154" i="21"/>
  <c r="H154" i="21"/>
  <c r="G154" i="21"/>
  <c r="F154" i="21"/>
  <c r="E154" i="21"/>
  <c r="E196" i="21" s="1"/>
  <c r="D154" i="21"/>
  <c r="D196" i="21" s="1"/>
  <c r="K153" i="21"/>
  <c r="K195" i="21" s="1"/>
  <c r="J153" i="21"/>
  <c r="I153" i="21"/>
  <c r="H153" i="21"/>
  <c r="H195" i="21" s="1"/>
  <c r="G153" i="21"/>
  <c r="F153" i="21"/>
  <c r="E153" i="21"/>
  <c r="D153" i="21"/>
  <c r="K152" i="21"/>
  <c r="J152" i="21"/>
  <c r="J194" i="21" s="1"/>
  <c r="I152" i="21"/>
  <c r="H152" i="21"/>
  <c r="G152" i="21"/>
  <c r="F152" i="21"/>
  <c r="E152" i="21"/>
  <c r="D152" i="21"/>
  <c r="K151" i="21"/>
  <c r="J151" i="21"/>
  <c r="I151" i="21"/>
  <c r="H151" i="21"/>
  <c r="G151" i="21"/>
  <c r="F151" i="21"/>
  <c r="E151" i="21"/>
  <c r="D151" i="21"/>
  <c r="K150" i="21"/>
  <c r="J150" i="21"/>
  <c r="J192" i="21" s="1"/>
  <c r="I150" i="21"/>
  <c r="H150" i="21"/>
  <c r="G150" i="21"/>
  <c r="F150" i="21"/>
  <c r="E150" i="21"/>
  <c r="E192" i="21" s="1"/>
  <c r="D150" i="21"/>
  <c r="K149" i="21"/>
  <c r="K191" i="21" s="1"/>
  <c r="J149" i="21"/>
  <c r="J191" i="21" s="1"/>
  <c r="I149" i="21"/>
  <c r="H149" i="21"/>
  <c r="G149" i="21"/>
  <c r="F149" i="21"/>
  <c r="F191" i="21" s="1"/>
  <c r="E149" i="21"/>
  <c r="E191" i="21" s="1"/>
  <c r="D149" i="21"/>
  <c r="D191" i="21" s="1"/>
  <c r="K148" i="21"/>
  <c r="J148" i="21"/>
  <c r="J190" i="21" s="1"/>
  <c r="I148" i="21"/>
  <c r="H148" i="21"/>
  <c r="G148" i="21"/>
  <c r="F148" i="21"/>
  <c r="E148" i="21"/>
  <c r="E190" i="21" s="1"/>
  <c r="D148" i="21"/>
  <c r="K147" i="21"/>
  <c r="J147" i="21"/>
  <c r="I147" i="21"/>
  <c r="H147" i="21"/>
  <c r="H189" i="21" s="1"/>
  <c r="G147" i="21"/>
  <c r="F147" i="21"/>
  <c r="E147" i="21"/>
  <c r="D147" i="21"/>
  <c r="K146" i="21"/>
  <c r="J146" i="21"/>
  <c r="I146" i="21"/>
  <c r="H146" i="21"/>
  <c r="G146" i="21"/>
  <c r="F146" i="21"/>
  <c r="E146" i="21"/>
  <c r="E188" i="21" s="1"/>
  <c r="D146" i="21"/>
  <c r="D188" i="21" s="1"/>
  <c r="K145" i="21"/>
  <c r="J145" i="21"/>
  <c r="I145" i="21"/>
  <c r="H145" i="21"/>
  <c r="G145" i="21"/>
  <c r="F145" i="21"/>
  <c r="E145" i="21"/>
  <c r="D145" i="21"/>
  <c r="K144" i="21"/>
  <c r="K186" i="21" s="1"/>
  <c r="J144" i="21"/>
  <c r="I144" i="21"/>
  <c r="H144" i="21"/>
  <c r="G144" i="21"/>
  <c r="F144" i="21"/>
  <c r="E144" i="21"/>
  <c r="E186" i="21" s="1"/>
  <c r="D144" i="21"/>
  <c r="D186" i="21" s="1"/>
  <c r="K143" i="21"/>
  <c r="K173" i="21" s="1"/>
  <c r="J143" i="21"/>
  <c r="I143" i="21"/>
  <c r="H143" i="21"/>
  <c r="H173" i="21" s="1"/>
  <c r="G143" i="21"/>
  <c r="F143" i="21"/>
  <c r="F173" i="21" s="1"/>
  <c r="E143" i="21"/>
  <c r="D143" i="21"/>
  <c r="D173" i="21" s="1"/>
  <c r="K142" i="21"/>
  <c r="J142" i="21"/>
  <c r="J184" i="21" s="1"/>
  <c r="I142" i="21"/>
  <c r="I173" i="21" s="1"/>
  <c r="H142" i="21"/>
  <c r="G142" i="21"/>
  <c r="F142" i="21"/>
  <c r="E142" i="21"/>
  <c r="E173" i="21" s="1"/>
  <c r="D142" i="21"/>
  <c r="C132" i="21"/>
  <c r="I129" i="21"/>
  <c r="K128" i="21"/>
  <c r="I128" i="21"/>
  <c r="H127" i="21"/>
  <c r="G127" i="21"/>
  <c r="I126" i="21"/>
  <c r="H125" i="21"/>
  <c r="E125" i="21"/>
  <c r="I124" i="21"/>
  <c r="F124" i="21"/>
  <c r="H123" i="21"/>
  <c r="D123" i="21"/>
  <c r="K122" i="21"/>
  <c r="I122" i="21"/>
  <c r="F122" i="21"/>
  <c r="K121" i="21"/>
  <c r="I121" i="21"/>
  <c r="H121" i="21"/>
  <c r="I120" i="21"/>
  <c r="H119" i="21"/>
  <c r="F118" i="21"/>
  <c r="E118" i="21"/>
  <c r="I117" i="21"/>
  <c r="H117" i="21"/>
  <c r="G117" i="21"/>
  <c r="K115" i="21"/>
  <c r="I115" i="21"/>
  <c r="H115" i="21"/>
  <c r="G115" i="21"/>
  <c r="F115" i="21"/>
  <c r="E115" i="21"/>
  <c r="E113" i="21"/>
  <c r="H111" i="21"/>
  <c r="H109" i="21"/>
  <c r="J108" i="21"/>
  <c r="K107" i="21"/>
  <c r="I107" i="21"/>
  <c r="H107" i="21"/>
  <c r="F107" i="21"/>
  <c r="H105" i="21"/>
  <c r="I104" i="21"/>
  <c r="J103" i="21"/>
  <c r="I103" i="21"/>
  <c r="H103" i="21"/>
  <c r="J102" i="21"/>
  <c r="I102" i="21"/>
  <c r="F102" i="21"/>
  <c r="H101" i="21"/>
  <c r="C90" i="21"/>
  <c r="E89" i="21"/>
  <c r="K88" i="21"/>
  <c r="K130" i="21" s="1"/>
  <c r="J88" i="21"/>
  <c r="J130" i="21" s="1"/>
  <c r="I88" i="21"/>
  <c r="I130" i="21" s="1"/>
  <c r="H88" i="21"/>
  <c r="H130" i="21" s="1"/>
  <c r="G88" i="21"/>
  <c r="G130" i="21" s="1"/>
  <c r="F88" i="21"/>
  <c r="F130" i="21" s="1"/>
  <c r="E88" i="21"/>
  <c r="E130" i="21" s="1"/>
  <c r="D88" i="21"/>
  <c r="D130" i="21" s="1"/>
  <c r="K87" i="21"/>
  <c r="J87" i="21"/>
  <c r="I87" i="21"/>
  <c r="H87" i="21"/>
  <c r="G87" i="21"/>
  <c r="G129" i="21" s="1"/>
  <c r="F87" i="21"/>
  <c r="E87" i="21"/>
  <c r="E129" i="21" s="1"/>
  <c r="D87" i="21"/>
  <c r="K86" i="21"/>
  <c r="J86" i="21"/>
  <c r="J128" i="21" s="1"/>
  <c r="I86" i="21"/>
  <c r="H86" i="21"/>
  <c r="H128" i="21" s="1"/>
  <c r="G86" i="21"/>
  <c r="G128" i="21" s="1"/>
  <c r="F86" i="21"/>
  <c r="F128" i="21" s="1"/>
  <c r="E86" i="21"/>
  <c r="E128" i="21" s="1"/>
  <c r="D86" i="21"/>
  <c r="K85" i="21"/>
  <c r="J85" i="21"/>
  <c r="I85" i="21"/>
  <c r="H85" i="21"/>
  <c r="G85" i="21"/>
  <c r="F85" i="21"/>
  <c r="E85" i="21"/>
  <c r="D85" i="21"/>
  <c r="K84" i="21"/>
  <c r="K126" i="21" s="1"/>
  <c r="J84" i="21"/>
  <c r="J126" i="21" s="1"/>
  <c r="I84" i="21"/>
  <c r="H84" i="21"/>
  <c r="H126" i="21" s="1"/>
  <c r="G84" i="21"/>
  <c r="G126" i="21" s="1"/>
  <c r="F84" i="21"/>
  <c r="F126" i="21" s="1"/>
  <c r="E84" i="21"/>
  <c r="E126" i="21" s="1"/>
  <c r="D84" i="21"/>
  <c r="D126" i="21" s="1"/>
  <c r="K83" i="21"/>
  <c r="J83" i="21"/>
  <c r="I83" i="21"/>
  <c r="H83" i="21"/>
  <c r="G83" i="21"/>
  <c r="F83" i="21"/>
  <c r="E83" i="21"/>
  <c r="D83" i="21"/>
  <c r="K82" i="21"/>
  <c r="J82" i="21"/>
  <c r="J124" i="21" s="1"/>
  <c r="I82" i="21"/>
  <c r="H82" i="21"/>
  <c r="H124" i="21" s="1"/>
  <c r="G82" i="21"/>
  <c r="G124" i="21" s="1"/>
  <c r="F82" i="21"/>
  <c r="E82" i="21"/>
  <c r="E124" i="21" s="1"/>
  <c r="D82" i="21"/>
  <c r="K81" i="21"/>
  <c r="J81" i="21"/>
  <c r="I81" i="21"/>
  <c r="H81" i="21"/>
  <c r="G81" i="21"/>
  <c r="G123" i="21" s="1"/>
  <c r="F81" i="21"/>
  <c r="E81" i="21"/>
  <c r="D81" i="21"/>
  <c r="K80" i="21"/>
  <c r="J80" i="21"/>
  <c r="J122" i="21" s="1"/>
  <c r="I80" i="21"/>
  <c r="H80" i="21"/>
  <c r="H122" i="21" s="1"/>
  <c r="G80" i="21"/>
  <c r="G122" i="21" s="1"/>
  <c r="F80" i="21"/>
  <c r="E80" i="21"/>
  <c r="E122" i="21" s="1"/>
  <c r="D80" i="21"/>
  <c r="D122" i="21" s="1"/>
  <c r="K79" i="21"/>
  <c r="J79" i="21"/>
  <c r="J121" i="21" s="1"/>
  <c r="I79" i="21"/>
  <c r="H79" i="21"/>
  <c r="G79" i="21"/>
  <c r="G121" i="21" s="1"/>
  <c r="F79" i="21"/>
  <c r="E79" i="21"/>
  <c r="E121" i="21" s="1"/>
  <c r="D79" i="21"/>
  <c r="K78" i="21"/>
  <c r="J78" i="21"/>
  <c r="J120" i="21" s="1"/>
  <c r="I78" i="21"/>
  <c r="H78" i="21"/>
  <c r="H120" i="21" s="1"/>
  <c r="G78" i="21"/>
  <c r="G120" i="21" s="1"/>
  <c r="F78" i="21"/>
  <c r="E78" i="21"/>
  <c r="E120" i="21" s="1"/>
  <c r="D78" i="21"/>
  <c r="D120" i="21" s="1"/>
  <c r="K77" i="21"/>
  <c r="J77" i="21"/>
  <c r="J119" i="21" s="1"/>
  <c r="I77" i="21"/>
  <c r="H77" i="21"/>
  <c r="G77" i="21"/>
  <c r="G119" i="21" s="1"/>
  <c r="F77" i="21"/>
  <c r="E77" i="21"/>
  <c r="D77" i="21"/>
  <c r="K76" i="21"/>
  <c r="J76" i="21"/>
  <c r="J118" i="21" s="1"/>
  <c r="I76" i="21"/>
  <c r="H76" i="21"/>
  <c r="H118" i="21" s="1"/>
  <c r="G76" i="21"/>
  <c r="G118" i="21" s="1"/>
  <c r="F76" i="21"/>
  <c r="E76" i="21"/>
  <c r="D76" i="21"/>
  <c r="K75" i="21"/>
  <c r="J75" i="21"/>
  <c r="J117" i="21" s="1"/>
  <c r="I75" i="21"/>
  <c r="H75" i="21"/>
  <c r="G75" i="21"/>
  <c r="F75" i="21"/>
  <c r="E75" i="21"/>
  <c r="D75" i="21"/>
  <c r="K74" i="21"/>
  <c r="J74" i="21"/>
  <c r="J116" i="21" s="1"/>
  <c r="I74" i="21"/>
  <c r="H74" i="21"/>
  <c r="H116" i="21" s="1"/>
  <c r="G74" i="21"/>
  <c r="G116" i="21" s="1"/>
  <c r="F74" i="21"/>
  <c r="E74" i="21"/>
  <c r="E116" i="21" s="1"/>
  <c r="D74" i="21"/>
  <c r="D116" i="21" s="1"/>
  <c r="K73" i="21"/>
  <c r="J73" i="21"/>
  <c r="J115" i="21" s="1"/>
  <c r="I73" i="21"/>
  <c r="H73" i="21"/>
  <c r="G73" i="21"/>
  <c r="F73" i="21"/>
  <c r="E73" i="21"/>
  <c r="D73" i="21"/>
  <c r="D115" i="21" s="1"/>
  <c r="K72" i="21"/>
  <c r="J72" i="21"/>
  <c r="J114" i="21" s="1"/>
  <c r="I72" i="21"/>
  <c r="H72" i="21"/>
  <c r="H114" i="21" s="1"/>
  <c r="G72" i="21"/>
  <c r="G114" i="21" s="1"/>
  <c r="F72" i="21"/>
  <c r="E72" i="21"/>
  <c r="E114" i="21" s="1"/>
  <c r="D72" i="21"/>
  <c r="K71" i="21"/>
  <c r="J71" i="21"/>
  <c r="J113" i="21" s="1"/>
  <c r="I71" i="21"/>
  <c r="H71" i="21"/>
  <c r="G71" i="21"/>
  <c r="F71" i="21"/>
  <c r="E71" i="21"/>
  <c r="D71" i="21"/>
  <c r="K70" i="21"/>
  <c r="K112" i="21" s="1"/>
  <c r="J70" i="21"/>
  <c r="J112" i="21" s="1"/>
  <c r="I70" i="21"/>
  <c r="H70" i="21"/>
  <c r="H112" i="21" s="1"/>
  <c r="G70" i="21"/>
  <c r="G112" i="21" s="1"/>
  <c r="F70" i="21"/>
  <c r="F112" i="21" s="1"/>
  <c r="E70" i="21"/>
  <c r="E112" i="21" s="1"/>
  <c r="D70" i="21"/>
  <c r="D112" i="21" s="1"/>
  <c r="K69" i="21"/>
  <c r="J69" i="21"/>
  <c r="I69" i="21"/>
  <c r="H69" i="21"/>
  <c r="G69" i="21"/>
  <c r="F69" i="21"/>
  <c r="E69" i="21"/>
  <c r="D69" i="21"/>
  <c r="K68" i="21"/>
  <c r="K110" i="21" s="1"/>
  <c r="J68" i="21"/>
  <c r="J110" i="21" s="1"/>
  <c r="I68" i="21"/>
  <c r="H68" i="21"/>
  <c r="H110" i="21" s="1"/>
  <c r="G68" i="21"/>
  <c r="G110" i="21" s="1"/>
  <c r="F68" i="21"/>
  <c r="E68" i="21"/>
  <c r="E110" i="21" s="1"/>
  <c r="D68" i="21"/>
  <c r="K67" i="21"/>
  <c r="J67" i="21"/>
  <c r="I67" i="21"/>
  <c r="H67" i="21"/>
  <c r="G67" i="21"/>
  <c r="F67" i="21"/>
  <c r="E67" i="21"/>
  <c r="D67" i="21"/>
  <c r="K66" i="21"/>
  <c r="J66" i="21"/>
  <c r="I66" i="21"/>
  <c r="H66" i="21"/>
  <c r="H108" i="21" s="1"/>
  <c r="G66" i="21"/>
  <c r="G108" i="21" s="1"/>
  <c r="F66" i="21"/>
  <c r="F108" i="21" s="1"/>
  <c r="E66" i="21"/>
  <c r="E108" i="21" s="1"/>
  <c r="D66" i="21"/>
  <c r="K65" i="21"/>
  <c r="J65" i="21"/>
  <c r="J107" i="21" s="1"/>
  <c r="I65" i="21"/>
  <c r="H65" i="21"/>
  <c r="G65" i="21"/>
  <c r="G107" i="21" s="1"/>
  <c r="F65" i="21"/>
  <c r="E65" i="21"/>
  <c r="E107" i="21" s="1"/>
  <c r="D65" i="21"/>
  <c r="D107" i="21" s="1"/>
  <c r="K64" i="21"/>
  <c r="K106" i="21" s="1"/>
  <c r="J64" i="21"/>
  <c r="J106" i="21" s="1"/>
  <c r="I64" i="21"/>
  <c r="H64" i="21"/>
  <c r="H106" i="21" s="1"/>
  <c r="G64" i="21"/>
  <c r="G106" i="21" s="1"/>
  <c r="F64" i="21"/>
  <c r="E64" i="21"/>
  <c r="E106" i="21" s="1"/>
  <c r="D64" i="21"/>
  <c r="D106" i="21" s="1"/>
  <c r="K63" i="21"/>
  <c r="J63" i="21"/>
  <c r="I63" i="21"/>
  <c r="H63" i="21"/>
  <c r="G63" i="21"/>
  <c r="F63" i="21"/>
  <c r="E63" i="21"/>
  <c r="D63" i="21"/>
  <c r="K62" i="21"/>
  <c r="K104" i="21" s="1"/>
  <c r="J62" i="21"/>
  <c r="J104" i="21" s="1"/>
  <c r="I62" i="21"/>
  <c r="H62" i="21"/>
  <c r="H104" i="21" s="1"/>
  <c r="G62" i="21"/>
  <c r="G104" i="21" s="1"/>
  <c r="F62" i="21"/>
  <c r="F104" i="21" s="1"/>
  <c r="E62" i="21"/>
  <c r="E104" i="21" s="1"/>
  <c r="D62" i="21"/>
  <c r="D104" i="21" s="1"/>
  <c r="K61" i="21"/>
  <c r="J61" i="21"/>
  <c r="I61" i="21"/>
  <c r="H61" i="21"/>
  <c r="G61" i="21"/>
  <c r="F61" i="21"/>
  <c r="E61" i="21"/>
  <c r="D61" i="21"/>
  <c r="K60" i="21"/>
  <c r="K102" i="21" s="1"/>
  <c r="J60" i="21"/>
  <c r="I60" i="21"/>
  <c r="H60" i="21"/>
  <c r="H102" i="21" s="1"/>
  <c r="G60" i="21"/>
  <c r="G102" i="21" s="1"/>
  <c r="F60" i="21"/>
  <c r="E60" i="21"/>
  <c r="E102" i="21" s="1"/>
  <c r="D60" i="21"/>
  <c r="D102" i="21" s="1"/>
  <c r="K59" i="21"/>
  <c r="J59" i="21"/>
  <c r="J101" i="21" s="1"/>
  <c r="I59" i="21"/>
  <c r="H59" i="21"/>
  <c r="G59" i="21"/>
  <c r="F59" i="21"/>
  <c r="E59" i="21"/>
  <c r="D59" i="21"/>
  <c r="K58" i="21"/>
  <c r="J58" i="21"/>
  <c r="I58" i="21"/>
  <c r="I89" i="21" s="1"/>
  <c r="H58" i="21"/>
  <c r="G58" i="21"/>
  <c r="F58" i="21"/>
  <c r="F89" i="21" s="1"/>
  <c r="E58" i="21"/>
  <c r="D58" i="21"/>
  <c r="D100" i="21" s="1"/>
  <c r="C47" i="21"/>
  <c r="I46" i="21"/>
  <c r="K45" i="21"/>
  <c r="J45" i="21"/>
  <c r="I45" i="21"/>
  <c r="H45" i="21"/>
  <c r="G45" i="21"/>
  <c r="F45" i="21"/>
  <c r="E45" i="21"/>
  <c r="D45" i="21"/>
  <c r="K44" i="21"/>
  <c r="K129" i="21" s="1"/>
  <c r="J44" i="21"/>
  <c r="J129" i="21" s="1"/>
  <c r="I44" i="21"/>
  <c r="H44" i="21"/>
  <c r="H129" i="21" s="1"/>
  <c r="G44" i="21"/>
  <c r="F44" i="21"/>
  <c r="F129" i="21" s="1"/>
  <c r="E44" i="21"/>
  <c r="E296" i="21" s="1"/>
  <c r="D44" i="21"/>
  <c r="K43" i="21"/>
  <c r="J43" i="21"/>
  <c r="I43" i="21"/>
  <c r="H43" i="21"/>
  <c r="H295" i="21" s="1"/>
  <c r="G43" i="21"/>
  <c r="F43" i="21"/>
  <c r="F212" i="21" s="1"/>
  <c r="E43" i="21"/>
  <c r="D43" i="21"/>
  <c r="D212" i="21" s="1"/>
  <c r="K42" i="21"/>
  <c r="K127" i="21" s="1"/>
  <c r="J42" i="21"/>
  <c r="I42" i="21"/>
  <c r="H42" i="21"/>
  <c r="G42" i="21"/>
  <c r="F42" i="21"/>
  <c r="F294" i="21" s="1"/>
  <c r="E42" i="21"/>
  <c r="E294" i="21" s="1"/>
  <c r="D42" i="21"/>
  <c r="D294" i="21" s="1"/>
  <c r="K41" i="21"/>
  <c r="J41" i="21"/>
  <c r="I41" i="21"/>
  <c r="H41" i="21"/>
  <c r="G41" i="21"/>
  <c r="F41" i="21"/>
  <c r="E41" i="21"/>
  <c r="D41" i="21"/>
  <c r="K40" i="21"/>
  <c r="J40" i="21"/>
  <c r="I40" i="21"/>
  <c r="I125" i="21" s="1"/>
  <c r="H40" i="21"/>
  <c r="G40" i="21"/>
  <c r="G125" i="21" s="1"/>
  <c r="F40" i="21"/>
  <c r="F125" i="21" s="1"/>
  <c r="E40" i="21"/>
  <c r="E292" i="21" s="1"/>
  <c r="D40" i="21"/>
  <c r="D292" i="21" s="1"/>
  <c r="K39" i="21"/>
  <c r="J39" i="21"/>
  <c r="I39" i="21"/>
  <c r="H39" i="21"/>
  <c r="G39" i="21"/>
  <c r="F39" i="21"/>
  <c r="F208" i="21" s="1"/>
  <c r="E39" i="21"/>
  <c r="D39" i="21"/>
  <c r="D208" i="21" s="1"/>
  <c r="K38" i="21"/>
  <c r="K123" i="21" s="1"/>
  <c r="J38" i="21"/>
  <c r="I38" i="21"/>
  <c r="H38" i="21"/>
  <c r="H290" i="21" s="1"/>
  <c r="G38" i="21"/>
  <c r="F38" i="21"/>
  <c r="F123" i="21" s="1"/>
  <c r="E38" i="21"/>
  <c r="E290" i="21" s="1"/>
  <c r="D38" i="21"/>
  <c r="D290" i="21" s="1"/>
  <c r="K37" i="21"/>
  <c r="J37" i="21"/>
  <c r="I37" i="21"/>
  <c r="H37" i="21"/>
  <c r="G37" i="21"/>
  <c r="F37" i="21"/>
  <c r="E37" i="21"/>
  <c r="D37" i="21"/>
  <c r="K36" i="21"/>
  <c r="J36" i="21"/>
  <c r="I36" i="21"/>
  <c r="H36" i="21"/>
  <c r="G36" i="21"/>
  <c r="F36" i="21"/>
  <c r="F288" i="21" s="1"/>
  <c r="E36" i="21"/>
  <c r="D36" i="21"/>
  <c r="D288" i="21" s="1"/>
  <c r="K35" i="21"/>
  <c r="K287" i="21" s="1"/>
  <c r="J35" i="21"/>
  <c r="I35" i="21"/>
  <c r="H35" i="21"/>
  <c r="H204" i="21" s="1"/>
  <c r="G35" i="21"/>
  <c r="F35" i="21"/>
  <c r="F204" i="21" s="1"/>
  <c r="E35" i="21"/>
  <c r="E287" i="21" s="1"/>
  <c r="D35" i="21"/>
  <c r="K34" i="21"/>
  <c r="K119" i="21" s="1"/>
  <c r="J34" i="21"/>
  <c r="I34" i="21"/>
  <c r="H34" i="21"/>
  <c r="G34" i="21"/>
  <c r="G203" i="21" s="1"/>
  <c r="F34" i="21"/>
  <c r="F286" i="21" s="1"/>
  <c r="E34" i="21"/>
  <c r="D34" i="21"/>
  <c r="D286" i="21" s="1"/>
  <c r="K33" i="21"/>
  <c r="J33" i="21"/>
  <c r="I33" i="21"/>
  <c r="H33" i="21"/>
  <c r="G33" i="21"/>
  <c r="F33" i="21"/>
  <c r="F202" i="21" s="1"/>
  <c r="E33" i="21"/>
  <c r="D33" i="21"/>
  <c r="K32" i="21"/>
  <c r="J32" i="21"/>
  <c r="I32" i="21"/>
  <c r="H32" i="21"/>
  <c r="G32" i="21"/>
  <c r="G284" i="21" s="1"/>
  <c r="F32" i="21"/>
  <c r="F284" i="21" s="1"/>
  <c r="E32" i="21"/>
  <c r="E284" i="21" s="1"/>
  <c r="D32" i="21"/>
  <c r="D284" i="21" s="1"/>
  <c r="K31" i="21"/>
  <c r="J31" i="21"/>
  <c r="I31" i="21"/>
  <c r="H31" i="21"/>
  <c r="G31" i="21"/>
  <c r="F31" i="21"/>
  <c r="F200" i="21" s="1"/>
  <c r="E31" i="21"/>
  <c r="D31" i="21"/>
  <c r="K30" i="21"/>
  <c r="J30" i="21"/>
  <c r="I30" i="21"/>
  <c r="H30" i="21"/>
  <c r="G30" i="21"/>
  <c r="F30" i="21"/>
  <c r="E30" i="21"/>
  <c r="D30" i="21"/>
  <c r="K29" i="21"/>
  <c r="J29" i="21"/>
  <c r="I29" i="21"/>
  <c r="I281" i="21" s="1"/>
  <c r="H29" i="21"/>
  <c r="H281" i="21" s="1"/>
  <c r="G29" i="21"/>
  <c r="F29" i="21"/>
  <c r="F198" i="21" s="1"/>
  <c r="E29" i="21"/>
  <c r="D29" i="21"/>
  <c r="K28" i="21"/>
  <c r="K113" i="21" s="1"/>
  <c r="J28" i="21"/>
  <c r="I28" i="21"/>
  <c r="I197" i="21" s="1"/>
  <c r="H28" i="21"/>
  <c r="H280" i="21" s="1"/>
  <c r="G28" i="21"/>
  <c r="F28" i="21"/>
  <c r="F113" i="21" s="1"/>
  <c r="E28" i="21"/>
  <c r="E280" i="21" s="1"/>
  <c r="D28" i="21"/>
  <c r="D280" i="21" s="1"/>
  <c r="K27" i="21"/>
  <c r="K196" i="21" s="1"/>
  <c r="J27" i="21"/>
  <c r="I27" i="21"/>
  <c r="H27" i="21"/>
  <c r="G27" i="21"/>
  <c r="F27" i="21"/>
  <c r="E27" i="21"/>
  <c r="D27" i="21"/>
  <c r="K26" i="21"/>
  <c r="K111" i="21" s="1"/>
  <c r="J26" i="21"/>
  <c r="I26" i="21"/>
  <c r="I111" i="21" s="1"/>
  <c r="H26" i="21"/>
  <c r="G26" i="21"/>
  <c r="F26" i="21"/>
  <c r="E26" i="21"/>
  <c r="E278" i="21" s="1"/>
  <c r="D26" i="21"/>
  <c r="D278" i="21" s="1"/>
  <c r="K25" i="21"/>
  <c r="J25" i="21"/>
  <c r="I25" i="21"/>
  <c r="I110" i="21" s="1"/>
  <c r="H25" i="21"/>
  <c r="G25" i="21"/>
  <c r="F25" i="21"/>
  <c r="F194" i="21" s="1"/>
  <c r="E25" i="21"/>
  <c r="E277" i="21" s="1"/>
  <c r="D25" i="21"/>
  <c r="K24" i="21"/>
  <c r="J24" i="21"/>
  <c r="I24" i="21"/>
  <c r="I109" i="21" s="1"/>
  <c r="H24" i="21"/>
  <c r="H276" i="21" s="1"/>
  <c r="G24" i="21"/>
  <c r="F24" i="21"/>
  <c r="F109" i="21" s="1"/>
  <c r="E24" i="21"/>
  <c r="E276" i="21" s="1"/>
  <c r="D24" i="21"/>
  <c r="D276" i="21" s="1"/>
  <c r="K23" i="21"/>
  <c r="K192" i="21" s="1"/>
  <c r="J23" i="21"/>
  <c r="I23" i="21"/>
  <c r="I275" i="21" s="1"/>
  <c r="H23" i="21"/>
  <c r="G23" i="21"/>
  <c r="F23" i="21"/>
  <c r="F192" i="21" s="1"/>
  <c r="E23" i="21"/>
  <c r="D23" i="21"/>
  <c r="D192" i="21" s="1"/>
  <c r="K22" i="21"/>
  <c r="J22" i="21"/>
  <c r="I22" i="21"/>
  <c r="H22" i="21"/>
  <c r="G22" i="21"/>
  <c r="F22" i="21"/>
  <c r="E22" i="21"/>
  <c r="D22" i="21"/>
  <c r="K21" i="21"/>
  <c r="K273" i="21" s="1"/>
  <c r="J21" i="21"/>
  <c r="I21" i="21"/>
  <c r="I273" i="21" s="1"/>
  <c r="H21" i="21"/>
  <c r="H190" i="21" s="1"/>
  <c r="G21" i="21"/>
  <c r="G190" i="21" s="1"/>
  <c r="F21" i="21"/>
  <c r="F190" i="21" s="1"/>
  <c r="E21" i="21"/>
  <c r="D21" i="21"/>
  <c r="K20" i="21"/>
  <c r="K105" i="21" s="1"/>
  <c r="J20" i="21"/>
  <c r="I20" i="21"/>
  <c r="H20" i="21"/>
  <c r="G20" i="21"/>
  <c r="F20" i="21"/>
  <c r="F272" i="21" s="1"/>
  <c r="E20" i="21"/>
  <c r="E272" i="21" s="1"/>
  <c r="D20" i="21"/>
  <c r="D272" i="21" s="1"/>
  <c r="K19" i="21"/>
  <c r="J19" i="21"/>
  <c r="I19" i="21"/>
  <c r="H19" i="21"/>
  <c r="G19" i="21"/>
  <c r="F19" i="21"/>
  <c r="E19" i="21"/>
  <c r="D19" i="21"/>
  <c r="K18" i="21"/>
  <c r="K103" i="21" s="1"/>
  <c r="J18" i="21"/>
  <c r="I18" i="21"/>
  <c r="H18" i="21"/>
  <c r="H270" i="21" s="1"/>
  <c r="G18" i="21"/>
  <c r="G187" i="21" s="1"/>
  <c r="F18" i="21"/>
  <c r="E18" i="21"/>
  <c r="E270" i="21" s="1"/>
  <c r="D18" i="21"/>
  <c r="D270" i="21" s="1"/>
  <c r="K17" i="21"/>
  <c r="J17" i="21"/>
  <c r="I17" i="21"/>
  <c r="H17" i="21"/>
  <c r="G17" i="21"/>
  <c r="F17" i="21"/>
  <c r="E17" i="21"/>
  <c r="D17" i="21"/>
  <c r="K16" i="21"/>
  <c r="J16" i="21"/>
  <c r="J46" i="21" s="1"/>
  <c r="I16" i="21"/>
  <c r="H16" i="21"/>
  <c r="G16" i="21"/>
  <c r="F16" i="21"/>
  <c r="F46" i="21" s="1"/>
  <c r="E16" i="21"/>
  <c r="E268" i="21" s="1"/>
  <c r="D16" i="21"/>
  <c r="D268" i="21" s="1"/>
  <c r="K15" i="21"/>
  <c r="K184" i="21" s="1"/>
  <c r="J15" i="21"/>
  <c r="I15" i="21"/>
  <c r="H15" i="21"/>
  <c r="H267" i="21" s="1"/>
  <c r="G15" i="21"/>
  <c r="F15" i="21"/>
  <c r="F184" i="21" s="1"/>
  <c r="E15" i="21"/>
  <c r="E184" i="21" s="1"/>
  <c r="D15" i="21"/>
  <c r="U275" i="20"/>
  <c r="T275" i="20"/>
  <c r="P275" i="20"/>
  <c r="O275" i="20"/>
  <c r="Q272" i="20"/>
  <c r="P272" i="20"/>
  <c r="N272" i="20"/>
  <c r="M272" i="20"/>
  <c r="J272" i="20"/>
  <c r="I272" i="20"/>
  <c r="V268" i="20"/>
  <c r="U268" i="20"/>
  <c r="T268" i="20"/>
  <c r="M268" i="20"/>
  <c r="L268" i="20"/>
  <c r="J268" i="20"/>
  <c r="I268" i="20"/>
  <c r="E268" i="20"/>
  <c r="D268" i="20"/>
  <c r="R267" i="20"/>
  <c r="P267" i="20"/>
  <c r="O267" i="20"/>
  <c r="H267" i="20"/>
  <c r="R264" i="20"/>
  <c r="L264" i="20"/>
  <c r="V262" i="20"/>
  <c r="V259" i="20"/>
  <c r="U259" i="20"/>
  <c r="T259" i="20"/>
  <c r="S259" i="20"/>
  <c r="Q259" i="20"/>
  <c r="P259" i="20"/>
  <c r="O259" i="20"/>
  <c r="N259" i="20"/>
  <c r="M259" i="20"/>
  <c r="L259" i="20"/>
  <c r="K259" i="20"/>
  <c r="J259" i="20"/>
  <c r="I259" i="20"/>
  <c r="H259" i="20"/>
  <c r="G259" i="20"/>
  <c r="F259" i="20"/>
  <c r="E259" i="20"/>
  <c r="D259" i="20"/>
  <c r="O258" i="20"/>
  <c r="T254" i="20"/>
  <c r="R254" i="20"/>
  <c r="Q254" i="20"/>
  <c r="K254" i="20"/>
  <c r="V251" i="20"/>
  <c r="S251" i="20"/>
  <c r="M251" i="20"/>
  <c r="L251" i="20"/>
  <c r="K251" i="20"/>
  <c r="I251" i="20"/>
  <c r="F251" i="20"/>
  <c r="L250" i="20"/>
  <c r="S249" i="20"/>
  <c r="O248" i="20"/>
  <c r="L248" i="20"/>
  <c r="I248" i="20"/>
  <c r="F248" i="20"/>
  <c r="V236" i="20"/>
  <c r="V275" i="20" s="1"/>
  <c r="U236" i="20"/>
  <c r="T236" i="20"/>
  <c r="S236" i="20"/>
  <c r="S275" i="20" s="1"/>
  <c r="R236" i="20"/>
  <c r="R275" i="20" s="1"/>
  <c r="Q236" i="20"/>
  <c r="Q275" i="20" s="1"/>
  <c r="P236" i="20"/>
  <c r="O236" i="20"/>
  <c r="N236" i="20"/>
  <c r="N275" i="20" s="1"/>
  <c r="M236" i="20"/>
  <c r="M275" i="20" s="1"/>
  <c r="L236" i="20"/>
  <c r="L275" i="20" s="1"/>
  <c r="K236" i="20"/>
  <c r="J236" i="20"/>
  <c r="I236" i="20"/>
  <c r="I275" i="20" s="1"/>
  <c r="H236" i="20"/>
  <c r="G236" i="20"/>
  <c r="F236" i="20"/>
  <c r="E236" i="20"/>
  <c r="D236" i="20"/>
  <c r="V235" i="20"/>
  <c r="U235" i="20"/>
  <c r="T235" i="20"/>
  <c r="S235" i="20"/>
  <c r="R235" i="20"/>
  <c r="Q235" i="20"/>
  <c r="P235" i="20"/>
  <c r="O235" i="20"/>
  <c r="N235" i="20"/>
  <c r="M235" i="20"/>
  <c r="L235" i="20"/>
  <c r="L274" i="20" s="1"/>
  <c r="K235" i="20"/>
  <c r="J235" i="20"/>
  <c r="I235" i="20"/>
  <c r="H235" i="20"/>
  <c r="G235" i="20"/>
  <c r="F235" i="20"/>
  <c r="E235" i="20"/>
  <c r="D235" i="20"/>
  <c r="V234" i="20"/>
  <c r="U234" i="20"/>
  <c r="T234" i="20"/>
  <c r="S234" i="20"/>
  <c r="R234" i="20"/>
  <c r="Q234" i="20"/>
  <c r="P234" i="20"/>
  <c r="O234" i="20"/>
  <c r="O273" i="20" s="1"/>
  <c r="N234" i="20"/>
  <c r="M234" i="20"/>
  <c r="L234" i="20"/>
  <c r="K234" i="20"/>
  <c r="J234" i="20"/>
  <c r="I234" i="20"/>
  <c r="H234" i="20"/>
  <c r="G234" i="20"/>
  <c r="F234" i="20"/>
  <c r="E234" i="20"/>
  <c r="D234" i="20"/>
  <c r="V233" i="20"/>
  <c r="V272" i="20" s="1"/>
  <c r="U233" i="20"/>
  <c r="U272" i="20" s="1"/>
  <c r="T233" i="20"/>
  <c r="T272" i="20" s="1"/>
  <c r="S233" i="20"/>
  <c r="S272" i="20" s="1"/>
  <c r="R233" i="20"/>
  <c r="R272" i="20" s="1"/>
  <c r="Q233" i="20"/>
  <c r="P233" i="20"/>
  <c r="O233" i="20"/>
  <c r="O272" i="20" s="1"/>
  <c r="N233" i="20"/>
  <c r="M233" i="20"/>
  <c r="L233" i="20"/>
  <c r="L272" i="20" s="1"/>
  <c r="K233" i="20"/>
  <c r="K272" i="20" s="1"/>
  <c r="J233" i="20"/>
  <c r="I233" i="20"/>
  <c r="H233" i="20"/>
  <c r="H272" i="20" s="1"/>
  <c r="G233" i="20"/>
  <c r="G272" i="20" s="1"/>
  <c r="F233" i="20"/>
  <c r="F272" i="20" s="1"/>
  <c r="E233" i="20"/>
  <c r="E272" i="20" s="1"/>
  <c r="D233" i="20"/>
  <c r="D272" i="20" s="1"/>
  <c r="V232" i="20"/>
  <c r="U232" i="20"/>
  <c r="U271" i="20" s="1"/>
  <c r="T232" i="20"/>
  <c r="S232" i="20"/>
  <c r="R232" i="20"/>
  <c r="Q232" i="20"/>
  <c r="P232" i="20"/>
  <c r="O232" i="20"/>
  <c r="N232" i="20"/>
  <c r="M232" i="20"/>
  <c r="L232" i="20"/>
  <c r="K232" i="20"/>
  <c r="J232" i="20"/>
  <c r="I232" i="20"/>
  <c r="H232" i="20"/>
  <c r="G232" i="20"/>
  <c r="F232" i="20"/>
  <c r="E232" i="20"/>
  <c r="E271" i="20" s="1"/>
  <c r="D232" i="20"/>
  <c r="V231" i="20"/>
  <c r="U231" i="20"/>
  <c r="T231" i="20"/>
  <c r="S231" i="20"/>
  <c r="R231" i="20"/>
  <c r="Q231" i="20"/>
  <c r="P231" i="20"/>
  <c r="O231" i="20"/>
  <c r="N231" i="20"/>
  <c r="M231" i="20"/>
  <c r="L231" i="20"/>
  <c r="K231" i="20"/>
  <c r="J231" i="20"/>
  <c r="I231" i="20"/>
  <c r="H231" i="20"/>
  <c r="H270" i="20" s="1"/>
  <c r="G231" i="20"/>
  <c r="F231" i="20"/>
  <c r="E231" i="20"/>
  <c r="D231" i="20"/>
  <c r="V230" i="20"/>
  <c r="U230" i="20"/>
  <c r="T230" i="20"/>
  <c r="S230" i="20"/>
  <c r="R230" i="20"/>
  <c r="Q230" i="20"/>
  <c r="P230" i="20"/>
  <c r="O230" i="20"/>
  <c r="N230" i="20"/>
  <c r="M230" i="20"/>
  <c r="L230" i="20"/>
  <c r="K230" i="20"/>
  <c r="K269" i="20" s="1"/>
  <c r="J230" i="20"/>
  <c r="I230" i="20"/>
  <c r="H230" i="20"/>
  <c r="G230" i="20"/>
  <c r="F230" i="20"/>
  <c r="E230" i="20"/>
  <c r="D230" i="20"/>
  <c r="V229" i="20"/>
  <c r="U229" i="20"/>
  <c r="T229" i="20"/>
  <c r="S229" i="20"/>
  <c r="S268" i="20" s="1"/>
  <c r="R229" i="20"/>
  <c r="R268" i="20" s="1"/>
  <c r="Q229" i="20"/>
  <c r="Q268" i="20" s="1"/>
  <c r="P229" i="20"/>
  <c r="P268" i="20" s="1"/>
  <c r="O229" i="20"/>
  <c r="O268" i="20" s="1"/>
  <c r="N229" i="20"/>
  <c r="N268" i="20" s="1"/>
  <c r="M229" i="20"/>
  <c r="L229" i="20"/>
  <c r="K229" i="20"/>
  <c r="K268" i="20" s="1"/>
  <c r="J229" i="20"/>
  <c r="I229" i="20"/>
  <c r="H229" i="20"/>
  <c r="H268" i="20" s="1"/>
  <c r="G229" i="20"/>
  <c r="G268" i="20" s="1"/>
  <c r="F229" i="20"/>
  <c r="F268" i="20" s="1"/>
  <c r="E229" i="20"/>
  <c r="D229" i="20"/>
  <c r="V228" i="20"/>
  <c r="V267" i="20" s="1"/>
  <c r="U228" i="20"/>
  <c r="U267" i="20" s="1"/>
  <c r="T228" i="20"/>
  <c r="T267" i="20" s="1"/>
  <c r="S228" i="20"/>
  <c r="S267" i="20" s="1"/>
  <c r="R228" i="20"/>
  <c r="Q228" i="20"/>
  <c r="Q267" i="20" s="1"/>
  <c r="P228" i="20"/>
  <c r="O228" i="20"/>
  <c r="N228" i="20"/>
  <c r="N267" i="20" s="1"/>
  <c r="M228" i="20"/>
  <c r="M267" i="20" s="1"/>
  <c r="L228" i="20"/>
  <c r="L267" i="20" s="1"/>
  <c r="K228" i="20"/>
  <c r="K267" i="20" s="1"/>
  <c r="J228" i="20"/>
  <c r="J267" i="20" s="1"/>
  <c r="I228" i="20"/>
  <c r="I267" i="20" s="1"/>
  <c r="H228" i="20"/>
  <c r="G228" i="20"/>
  <c r="G267" i="20" s="1"/>
  <c r="F228" i="20"/>
  <c r="F267" i="20" s="1"/>
  <c r="E228" i="20"/>
  <c r="E267" i="20" s="1"/>
  <c r="D228" i="20"/>
  <c r="D267" i="20" s="1"/>
  <c r="V227" i="20"/>
  <c r="U227" i="20"/>
  <c r="T227" i="20"/>
  <c r="T266" i="20" s="1"/>
  <c r="S227" i="20"/>
  <c r="R227" i="20"/>
  <c r="Q227" i="20"/>
  <c r="P227" i="20"/>
  <c r="O227" i="20"/>
  <c r="N227" i="20"/>
  <c r="M227" i="20"/>
  <c r="L227" i="20"/>
  <c r="K227" i="20"/>
  <c r="J227" i="20"/>
  <c r="I227" i="20"/>
  <c r="H227" i="20"/>
  <c r="G227" i="20"/>
  <c r="F227" i="20"/>
  <c r="E227" i="20"/>
  <c r="D227" i="20"/>
  <c r="D266" i="20" s="1"/>
  <c r="V226" i="20"/>
  <c r="U226" i="20"/>
  <c r="T226" i="20"/>
  <c r="S226" i="20"/>
  <c r="R226" i="20"/>
  <c r="Q226" i="20"/>
  <c r="P226" i="20"/>
  <c r="O226" i="20"/>
  <c r="N226" i="20"/>
  <c r="M226" i="20"/>
  <c r="L226" i="20"/>
  <c r="K226" i="20"/>
  <c r="J226" i="20"/>
  <c r="I226" i="20"/>
  <c r="H226" i="20"/>
  <c r="G226" i="20"/>
  <c r="G265" i="20" s="1"/>
  <c r="F226" i="20"/>
  <c r="E226" i="20"/>
  <c r="D226" i="20"/>
  <c r="V225" i="20"/>
  <c r="U225" i="20"/>
  <c r="T225" i="20"/>
  <c r="S225" i="20"/>
  <c r="R225" i="20"/>
  <c r="Q225" i="20"/>
  <c r="P225" i="20"/>
  <c r="O225" i="20"/>
  <c r="N225" i="20"/>
  <c r="M225" i="20"/>
  <c r="L225" i="20"/>
  <c r="K225" i="20"/>
  <c r="J225" i="20"/>
  <c r="J264" i="20" s="1"/>
  <c r="I225" i="20"/>
  <c r="H225" i="20"/>
  <c r="G225" i="20"/>
  <c r="F225" i="20"/>
  <c r="E225" i="20"/>
  <c r="D225" i="20"/>
  <c r="V224" i="20"/>
  <c r="U224" i="20"/>
  <c r="T224" i="20"/>
  <c r="S224" i="20"/>
  <c r="R224" i="20"/>
  <c r="Q224" i="20"/>
  <c r="P224" i="20"/>
  <c r="O224" i="20"/>
  <c r="N224" i="20"/>
  <c r="M224" i="20"/>
  <c r="M263" i="20" s="1"/>
  <c r="L224" i="20"/>
  <c r="K224" i="20"/>
  <c r="J224" i="20"/>
  <c r="I224" i="20"/>
  <c r="H224" i="20"/>
  <c r="G224" i="20"/>
  <c r="F224" i="20"/>
  <c r="E224" i="20"/>
  <c r="D224" i="20"/>
  <c r="V223" i="20"/>
  <c r="U223" i="20"/>
  <c r="U262" i="20" s="1"/>
  <c r="T223" i="20"/>
  <c r="T262" i="20" s="1"/>
  <c r="S223" i="20"/>
  <c r="S262" i="20" s="1"/>
  <c r="R223" i="20"/>
  <c r="Q223" i="20"/>
  <c r="P223" i="20"/>
  <c r="P262" i="20" s="1"/>
  <c r="O223" i="20"/>
  <c r="N223" i="20"/>
  <c r="M223" i="20"/>
  <c r="L223" i="20"/>
  <c r="K223" i="20"/>
  <c r="J223" i="20"/>
  <c r="I223" i="20"/>
  <c r="H223" i="20"/>
  <c r="G223" i="20"/>
  <c r="F223" i="20"/>
  <c r="E223" i="20"/>
  <c r="D223" i="20"/>
  <c r="V222" i="20"/>
  <c r="U222" i="20"/>
  <c r="T222" i="20"/>
  <c r="S222" i="20"/>
  <c r="S261" i="20" s="1"/>
  <c r="R222" i="20"/>
  <c r="Q222" i="20"/>
  <c r="P222" i="20"/>
  <c r="O222" i="20"/>
  <c r="N222" i="20"/>
  <c r="M222" i="20"/>
  <c r="L222" i="20"/>
  <c r="K222" i="20"/>
  <c r="J222" i="20"/>
  <c r="I222" i="20"/>
  <c r="H222" i="20"/>
  <c r="G222" i="20"/>
  <c r="F222" i="20"/>
  <c r="E222" i="20"/>
  <c r="D222" i="20"/>
  <c r="V221" i="20"/>
  <c r="U221" i="20"/>
  <c r="T221" i="20"/>
  <c r="S221" i="20"/>
  <c r="R221" i="20"/>
  <c r="Q221" i="20"/>
  <c r="P221" i="20"/>
  <c r="O221" i="20"/>
  <c r="N221" i="20"/>
  <c r="M221" i="20"/>
  <c r="L221" i="20"/>
  <c r="K221" i="20"/>
  <c r="J221" i="20"/>
  <c r="I221" i="20"/>
  <c r="H221" i="20"/>
  <c r="H260" i="20" s="1"/>
  <c r="G221" i="20"/>
  <c r="F221" i="20"/>
  <c r="E221" i="20"/>
  <c r="D221" i="20"/>
  <c r="R220" i="20"/>
  <c r="R259" i="20" s="1"/>
  <c r="V219" i="20"/>
  <c r="U219" i="20"/>
  <c r="T219" i="20"/>
  <c r="S219" i="20"/>
  <c r="R219" i="20"/>
  <c r="Q219" i="20"/>
  <c r="P219" i="20"/>
  <c r="O219" i="20"/>
  <c r="N219" i="20"/>
  <c r="M219" i="20"/>
  <c r="L219" i="20"/>
  <c r="L258" i="20" s="1"/>
  <c r="K219" i="20"/>
  <c r="J219" i="20"/>
  <c r="I219" i="20"/>
  <c r="H219" i="20"/>
  <c r="G219" i="20"/>
  <c r="F219" i="20"/>
  <c r="E219" i="20"/>
  <c r="D219" i="20"/>
  <c r="V218" i="20"/>
  <c r="U218" i="20"/>
  <c r="T218" i="20"/>
  <c r="S218" i="20"/>
  <c r="R218" i="20"/>
  <c r="Q218" i="20"/>
  <c r="P218" i="20"/>
  <c r="O218" i="20"/>
  <c r="O257" i="20" s="1"/>
  <c r="N218" i="20"/>
  <c r="M218" i="20"/>
  <c r="L218" i="20"/>
  <c r="K218" i="20"/>
  <c r="J218" i="20"/>
  <c r="I218" i="20"/>
  <c r="H218" i="20"/>
  <c r="G218" i="20"/>
  <c r="F218" i="20"/>
  <c r="E218" i="20"/>
  <c r="D218" i="20"/>
  <c r="V217" i="20"/>
  <c r="U217" i="20"/>
  <c r="T217" i="20"/>
  <c r="S217" i="20"/>
  <c r="R217" i="20"/>
  <c r="Q217" i="20"/>
  <c r="P217" i="20"/>
  <c r="O217" i="20"/>
  <c r="N217" i="20"/>
  <c r="M217" i="20"/>
  <c r="L217" i="20"/>
  <c r="K217" i="20"/>
  <c r="J217" i="20"/>
  <c r="I217" i="20"/>
  <c r="H217" i="20"/>
  <c r="G217" i="20"/>
  <c r="F217" i="20"/>
  <c r="E217" i="20"/>
  <c r="D217" i="20"/>
  <c r="V216" i="20"/>
  <c r="U216" i="20"/>
  <c r="T216" i="20"/>
  <c r="S216" i="20"/>
  <c r="R216" i="20"/>
  <c r="Q216" i="20"/>
  <c r="P216" i="20"/>
  <c r="O216" i="20"/>
  <c r="N216" i="20"/>
  <c r="M216" i="20"/>
  <c r="L216" i="20"/>
  <c r="K216" i="20"/>
  <c r="J216" i="20"/>
  <c r="I216" i="20"/>
  <c r="H216" i="20"/>
  <c r="G216" i="20"/>
  <c r="F216" i="20"/>
  <c r="E216" i="20"/>
  <c r="D216" i="20"/>
  <c r="V215" i="20"/>
  <c r="V254" i="20" s="1"/>
  <c r="U215" i="20"/>
  <c r="U254" i="20" s="1"/>
  <c r="T215" i="20"/>
  <c r="S215" i="20"/>
  <c r="S254" i="20" s="1"/>
  <c r="R215" i="20"/>
  <c r="Q215" i="20"/>
  <c r="P215" i="20"/>
  <c r="P254" i="20" s="1"/>
  <c r="O215" i="20"/>
  <c r="N215" i="20"/>
  <c r="M215" i="20"/>
  <c r="L215" i="20"/>
  <c r="K215" i="20"/>
  <c r="J215" i="20"/>
  <c r="I215" i="20"/>
  <c r="I254" i="20" s="1"/>
  <c r="H215" i="20"/>
  <c r="G215" i="20"/>
  <c r="F215" i="20"/>
  <c r="E215" i="20"/>
  <c r="D215" i="20"/>
  <c r="V214" i="20"/>
  <c r="U214" i="20"/>
  <c r="T214" i="20"/>
  <c r="S214" i="20"/>
  <c r="R214" i="20"/>
  <c r="Q214" i="20"/>
  <c r="P214" i="20"/>
  <c r="O214" i="20"/>
  <c r="N214" i="20"/>
  <c r="M214" i="20"/>
  <c r="L214" i="20"/>
  <c r="L253" i="20" s="1"/>
  <c r="K214" i="20"/>
  <c r="K253" i="20" s="1"/>
  <c r="J214" i="20"/>
  <c r="I214" i="20"/>
  <c r="H214" i="20"/>
  <c r="G214" i="20"/>
  <c r="F214" i="20"/>
  <c r="E214" i="20"/>
  <c r="D214" i="20"/>
  <c r="V213" i="20"/>
  <c r="U213" i="20"/>
  <c r="T213" i="20"/>
  <c r="S213" i="20"/>
  <c r="R213" i="20"/>
  <c r="Q213" i="20"/>
  <c r="P213" i="20"/>
  <c r="O213" i="20"/>
  <c r="N213" i="20"/>
  <c r="M213" i="20"/>
  <c r="L213" i="20"/>
  <c r="K213" i="20"/>
  <c r="J213" i="20"/>
  <c r="I213" i="20"/>
  <c r="H213" i="20"/>
  <c r="G213" i="20"/>
  <c r="F213" i="20"/>
  <c r="E213" i="20"/>
  <c r="D213" i="20"/>
  <c r="V212" i="20"/>
  <c r="U212" i="20"/>
  <c r="U251" i="20" s="1"/>
  <c r="T212" i="20"/>
  <c r="T251" i="20" s="1"/>
  <c r="S212" i="20"/>
  <c r="R212" i="20"/>
  <c r="R251" i="20" s="1"/>
  <c r="Q212" i="20"/>
  <c r="Q251" i="20" s="1"/>
  <c r="P212" i="20"/>
  <c r="P251" i="20" s="1"/>
  <c r="O212" i="20"/>
  <c r="O251" i="20" s="1"/>
  <c r="N212" i="20"/>
  <c r="N251" i="20" s="1"/>
  <c r="M212" i="20"/>
  <c r="L212" i="20"/>
  <c r="K212" i="20"/>
  <c r="J212" i="20"/>
  <c r="J251" i="20" s="1"/>
  <c r="I212" i="20"/>
  <c r="H212" i="20"/>
  <c r="H251" i="20" s="1"/>
  <c r="G212" i="20"/>
  <c r="G251" i="20" s="1"/>
  <c r="F212" i="20"/>
  <c r="E212" i="20"/>
  <c r="E251" i="20" s="1"/>
  <c r="D212" i="20"/>
  <c r="D251" i="20" s="1"/>
  <c r="V211" i="20"/>
  <c r="U211" i="20"/>
  <c r="T211" i="20"/>
  <c r="S211" i="20"/>
  <c r="R211" i="20"/>
  <c r="Q211" i="20"/>
  <c r="P211" i="20"/>
  <c r="O211" i="20"/>
  <c r="N211" i="20"/>
  <c r="M211" i="20"/>
  <c r="L211" i="20"/>
  <c r="K211" i="20"/>
  <c r="J211" i="20"/>
  <c r="I211" i="20"/>
  <c r="H211" i="20"/>
  <c r="G211" i="20"/>
  <c r="F211" i="20"/>
  <c r="E211" i="20"/>
  <c r="D211" i="20"/>
  <c r="V210" i="20"/>
  <c r="V249" i="20" s="1"/>
  <c r="U210" i="20"/>
  <c r="U249" i="20" s="1"/>
  <c r="T210" i="20"/>
  <c r="T249" i="20" s="1"/>
  <c r="S210" i="20"/>
  <c r="R210" i="20"/>
  <c r="R249" i="20" s="1"/>
  <c r="Q210" i="20"/>
  <c r="Q249" i="20" s="1"/>
  <c r="P210" i="20"/>
  <c r="P249" i="20" s="1"/>
  <c r="O210" i="20"/>
  <c r="O249" i="20" s="1"/>
  <c r="N210" i="20"/>
  <c r="N249" i="20" s="1"/>
  <c r="M210" i="20"/>
  <c r="L210" i="20"/>
  <c r="K210" i="20"/>
  <c r="J210" i="20"/>
  <c r="I210" i="20"/>
  <c r="H210" i="20"/>
  <c r="H249" i="20" s="1"/>
  <c r="G210" i="20"/>
  <c r="F210" i="20"/>
  <c r="E210" i="20"/>
  <c r="D210" i="20"/>
  <c r="V209" i="20"/>
  <c r="U209" i="20"/>
  <c r="T209" i="20"/>
  <c r="S209" i="20"/>
  <c r="R209" i="20"/>
  <c r="Q209" i="20"/>
  <c r="P209" i="20"/>
  <c r="O209" i="20"/>
  <c r="N209" i="20"/>
  <c r="N248" i="20" s="1"/>
  <c r="M209" i="20"/>
  <c r="M248" i="20" s="1"/>
  <c r="L209" i="20"/>
  <c r="K209" i="20"/>
  <c r="K248" i="20" s="1"/>
  <c r="J209" i="20"/>
  <c r="J248" i="20" s="1"/>
  <c r="I209" i="20"/>
  <c r="H209" i="20"/>
  <c r="H248" i="20" s="1"/>
  <c r="G209" i="20"/>
  <c r="G248" i="20" s="1"/>
  <c r="F209" i="20"/>
  <c r="E209" i="20"/>
  <c r="E248" i="20" s="1"/>
  <c r="D209" i="20"/>
  <c r="D248" i="20" s="1"/>
  <c r="V208" i="20"/>
  <c r="U208" i="20"/>
  <c r="T208" i="20"/>
  <c r="S208" i="20"/>
  <c r="R208" i="20"/>
  <c r="Q208" i="20"/>
  <c r="P208" i="20"/>
  <c r="O208" i="20"/>
  <c r="N208" i="20"/>
  <c r="M208" i="20"/>
  <c r="L208" i="20"/>
  <c r="K208" i="20"/>
  <c r="K237" i="20" s="1"/>
  <c r="J208" i="20"/>
  <c r="I208" i="20"/>
  <c r="H208" i="20"/>
  <c r="G208" i="20"/>
  <c r="F208" i="20"/>
  <c r="E208" i="20"/>
  <c r="D208" i="20"/>
  <c r="R198" i="20"/>
  <c r="Q198" i="20"/>
  <c r="P198" i="20"/>
  <c r="M198" i="20"/>
  <c r="E198" i="20"/>
  <c r="P197" i="20"/>
  <c r="S195" i="20"/>
  <c r="R195" i="20"/>
  <c r="P195" i="20"/>
  <c r="N195" i="20"/>
  <c r="K195" i="20"/>
  <c r="J195" i="20"/>
  <c r="G195" i="20"/>
  <c r="D195" i="20"/>
  <c r="P192" i="20"/>
  <c r="V191" i="20"/>
  <c r="R191" i="20"/>
  <c r="O191" i="20"/>
  <c r="N191" i="20"/>
  <c r="G191" i="20"/>
  <c r="F191" i="20"/>
  <c r="V190" i="20"/>
  <c r="U190" i="20"/>
  <c r="S190" i="20"/>
  <c r="R190" i="20"/>
  <c r="Q190" i="20"/>
  <c r="O190" i="20"/>
  <c r="J190" i="20"/>
  <c r="I190" i="20"/>
  <c r="H190" i="20"/>
  <c r="L188" i="20"/>
  <c r="J186" i="20"/>
  <c r="U185" i="20"/>
  <c r="S185" i="20"/>
  <c r="O184" i="20"/>
  <c r="V182" i="20"/>
  <c r="U182" i="20"/>
  <c r="T182" i="20"/>
  <c r="S182" i="20"/>
  <c r="Q182" i="20"/>
  <c r="P182" i="20"/>
  <c r="O182" i="20"/>
  <c r="N182" i="20"/>
  <c r="M182" i="20"/>
  <c r="L182" i="20"/>
  <c r="K182" i="20"/>
  <c r="J182" i="20"/>
  <c r="I182" i="20"/>
  <c r="H182" i="20"/>
  <c r="G182" i="20"/>
  <c r="F182" i="20"/>
  <c r="E182" i="20"/>
  <c r="D182" i="20"/>
  <c r="S181" i="20"/>
  <c r="G180" i="20"/>
  <c r="T179" i="20"/>
  <c r="H178" i="20"/>
  <c r="V177" i="20"/>
  <c r="U177" i="20"/>
  <c r="R174" i="20"/>
  <c r="Q174" i="20"/>
  <c r="O174" i="20"/>
  <c r="M174" i="20"/>
  <c r="H174" i="20"/>
  <c r="U172" i="20"/>
  <c r="S172" i="20"/>
  <c r="O172" i="20"/>
  <c r="N172" i="20"/>
  <c r="H171" i="20"/>
  <c r="U170" i="20"/>
  <c r="Q170" i="20"/>
  <c r="V159" i="20"/>
  <c r="V198" i="20" s="1"/>
  <c r="U159" i="20"/>
  <c r="U198" i="20" s="1"/>
  <c r="T159" i="20"/>
  <c r="T198" i="20" s="1"/>
  <c r="S159" i="20"/>
  <c r="S198" i="20" s="1"/>
  <c r="R159" i="20"/>
  <c r="Q159" i="20"/>
  <c r="P159" i="20"/>
  <c r="O159" i="20"/>
  <c r="O198" i="20" s="1"/>
  <c r="N159" i="20"/>
  <c r="N198" i="20" s="1"/>
  <c r="M159" i="20"/>
  <c r="L159" i="20"/>
  <c r="L198" i="20" s="1"/>
  <c r="K159" i="20"/>
  <c r="J159" i="20"/>
  <c r="I159" i="20"/>
  <c r="H159" i="20"/>
  <c r="G159" i="20"/>
  <c r="F159" i="20"/>
  <c r="E159" i="20"/>
  <c r="D159" i="20"/>
  <c r="D198" i="20" s="1"/>
  <c r="V158" i="20"/>
  <c r="U158" i="20"/>
  <c r="T158" i="20"/>
  <c r="S158" i="20"/>
  <c r="R158" i="20"/>
  <c r="Q158" i="20"/>
  <c r="P158" i="20"/>
  <c r="O158" i="20"/>
  <c r="N158" i="20"/>
  <c r="N197" i="20" s="1"/>
  <c r="M158" i="20"/>
  <c r="L158" i="20"/>
  <c r="K158" i="20"/>
  <c r="J158" i="20"/>
  <c r="I158" i="20"/>
  <c r="H158" i="20"/>
  <c r="G158" i="20"/>
  <c r="G197" i="20" s="1"/>
  <c r="F158" i="20"/>
  <c r="F197" i="20" s="1"/>
  <c r="E158" i="20"/>
  <c r="D158" i="20"/>
  <c r="V157" i="20"/>
  <c r="U157" i="20"/>
  <c r="T157" i="20"/>
  <c r="S157" i="20"/>
  <c r="R157" i="20"/>
  <c r="Q157" i="20"/>
  <c r="P157" i="20"/>
  <c r="O157" i="20"/>
  <c r="N157" i="20"/>
  <c r="M157" i="20"/>
  <c r="L157" i="20"/>
  <c r="K157" i="20"/>
  <c r="J157" i="20"/>
  <c r="J196" i="20" s="1"/>
  <c r="I157" i="20"/>
  <c r="H157" i="20"/>
  <c r="G157" i="20"/>
  <c r="F157" i="20"/>
  <c r="E157" i="20"/>
  <c r="D157" i="20"/>
  <c r="V156" i="20"/>
  <c r="V195" i="20" s="1"/>
  <c r="U156" i="20"/>
  <c r="U195" i="20" s="1"/>
  <c r="T156" i="20"/>
  <c r="T195" i="20" s="1"/>
  <c r="S156" i="20"/>
  <c r="R156" i="20"/>
  <c r="Q156" i="20"/>
  <c r="Q195" i="20" s="1"/>
  <c r="P156" i="20"/>
  <c r="O156" i="20"/>
  <c r="O195" i="20" s="1"/>
  <c r="N156" i="20"/>
  <c r="M156" i="20"/>
  <c r="M195" i="20" s="1"/>
  <c r="L156" i="20"/>
  <c r="L195" i="20" s="1"/>
  <c r="K156" i="20"/>
  <c r="J156" i="20"/>
  <c r="I156" i="20"/>
  <c r="I195" i="20" s="1"/>
  <c r="H156" i="20"/>
  <c r="H195" i="20" s="1"/>
  <c r="G156" i="20"/>
  <c r="F156" i="20"/>
  <c r="F195" i="20" s="1"/>
  <c r="E156" i="20"/>
  <c r="E195" i="20" s="1"/>
  <c r="D156" i="20"/>
  <c r="V155" i="20"/>
  <c r="U155" i="20"/>
  <c r="T155" i="20"/>
  <c r="S155" i="20"/>
  <c r="R155" i="20"/>
  <c r="Q155" i="20"/>
  <c r="P155" i="20"/>
  <c r="P194" i="20" s="1"/>
  <c r="O155" i="20"/>
  <c r="N155" i="20"/>
  <c r="M155" i="20"/>
  <c r="L155" i="20"/>
  <c r="K155" i="20"/>
  <c r="J155" i="20"/>
  <c r="I155" i="20"/>
  <c r="H155" i="20"/>
  <c r="G155" i="20"/>
  <c r="F155" i="20"/>
  <c r="E155" i="20"/>
  <c r="D155" i="20"/>
  <c r="V154" i="20"/>
  <c r="U154" i="20"/>
  <c r="T154" i="20"/>
  <c r="T193" i="20" s="1"/>
  <c r="S154" i="20"/>
  <c r="S193" i="20" s="1"/>
  <c r="R154" i="20"/>
  <c r="Q154" i="20"/>
  <c r="P154" i="20"/>
  <c r="O154" i="20"/>
  <c r="N154" i="20"/>
  <c r="M154" i="20"/>
  <c r="L154" i="20"/>
  <c r="K154" i="20"/>
  <c r="J154" i="20"/>
  <c r="I154" i="20"/>
  <c r="H154" i="20"/>
  <c r="G154" i="20"/>
  <c r="F154" i="20"/>
  <c r="E154" i="20"/>
  <c r="D154" i="20"/>
  <c r="V153" i="20"/>
  <c r="V192" i="20" s="1"/>
  <c r="U153" i="20"/>
  <c r="T153" i="20"/>
  <c r="S153" i="20"/>
  <c r="R153" i="20"/>
  <c r="R192" i="20" s="1"/>
  <c r="Q153" i="20"/>
  <c r="P153" i="20"/>
  <c r="O153" i="20"/>
  <c r="N153" i="20"/>
  <c r="M153" i="20"/>
  <c r="L153" i="20"/>
  <c r="K153" i="20"/>
  <c r="J153" i="20"/>
  <c r="I153" i="20"/>
  <c r="H153" i="20"/>
  <c r="G153" i="20"/>
  <c r="F153" i="20"/>
  <c r="F192" i="20" s="1"/>
  <c r="E153" i="20"/>
  <c r="D153" i="20"/>
  <c r="V152" i="20"/>
  <c r="U152" i="20"/>
  <c r="U191" i="20" s="1"/>
  <c r="T152" i="20"/>
  <c r="T191" i="20" s="1"/>
  <c r="S152" i="20"/>
  <c r="S191" i="20" s="1"/>
  <c r="R152" i="20"/>
  <c r="Q152" i="20"/>
  <c r="Q191" i="20" s="1"/>
  <c r="P152" i="20"/>
  <c r="P191" i="20" s="1"/>
  <c r="O152" i="20"/>
  <c r="N152" i="20"/>
  <c r="M152" i="20"/>
  <c r="M191" i="20" s="1"/>
  <c r="L152" i="20"/>
  <c r="L191" i="20" s="1"/>
  <c r="K152" i="20"/>
  <c r="K191" i="20" s="1"/>
  <c r="J152" i="20"/>
  <c r="J191" i="20" s="1"/>
  <c r="I152" i="20"/>
  <c r="I191" i="20" s="1"/>
  <c r="H152" i="20"/>
  <c r="H191" i="20" s="1"/>
  <c r="G152" i="20"/>
  <c r="F152" i="20"/>
  <c r="E152" i="20"/>
  <c r="E191" i="20" s="1"/>
  <c r="D152" i="20"/>
  <c r="D191" i="20" s="1"/>
  <c r="V151" i="20"/>
  <c r="U151" i="20"/>
  <c r="T151" i="20"/>
  <c r="T190" i="20" s="1"/>
  <c r="S151" i="20"/>
  <c r="R151" i="20"/>
  <c r="Q151" i="20"/>
  <c r="P151" i="20"/>
  <c r="P190" i="20" s="1"/>
  <c r="O151" i="20"/>
  <c r="N151" i="20"/>
  <c r="N190" i="20" s="1"/>
  <c r="M151" i="20"/>
  <c r="M190" i="20" s="1"/>
  <c r="L151" i="20"/>
  <c r="L190" i="20" s="1"/>
  <c r="K151" i="20"/>
  <c r="K190" i="20" s="1"/>
  <c r="J151" i="20"/>
  <c r="I151" i="20"/>
  <c r="H151" i="20"/>
  <c r="G151" i="20"/>
  <c r="G190" i="20" s="1"/>
  <c r="F151" i="20"/>
  <c r="F190" i="20" s="1"/>
  <c r="E151" i="20"/>
  <c r="E190" i="20" s="1"/>
  <c r="D151" i="20"/>
  <c r="D190" i="20" s="1"/>
  <c r="V150" i="20"/>
  <c r="V189" i="20" s="1"/>
  <c r="U150" i="20"/>
  <c r="T150" i="20"/>
  <c r="S150" i="20"/>
  <c r="R150" i="20"/>
  <c r="Q150" i="20"/>
  <c r="P150" i="20"/>
  <c r="O150" i="20"/>
  <c r="O189" i="20" s="1"/>
  <c r="N150" i="20"/>
  <c r="M150" i="20"/>
  <c r="L150" i="20"/>
  <c r="K150" i="20"/>
  <c r="J150" i="20"/>
  <c r="I150" i="20"/>
  <c r="H150" i="20"/>
  <c r="G150" i="20"/>
  <c r="F150" i="20"/>
  <c r="E150" i="20"/>
  <c r="D150" i="20"/>
  <c r="V149" i="20"/>
  <c r="U149" i="20"/>
  <c r="T149" i="20"/>
  <c r="T188" i="20" s="1"/>
  <c r="S149" i="20"/>
  <c r="S188" i="20" s="1"/>
  <c r="R149" i="20"/>
  <c r="R188" i="20" s="1"/>
  <c r="Q149" i="20"/>
  <c r="P149" i="20"/>
  <c r="O149" i="20"/>
  <c r="N149" i="20"/>
  <c r="M149" i="20"/>
  <c r="L149" i="20"/>
  <c r="K149" i="20"/>
  <c r="K188" i="20" s="1"/>
  <c r="J149" i="20"/>
  <c r="I149" i="20"/>
  <c r="I188" i="20" s="1"/>
  <c r="H149" i="20"/>
  <c r="G149" i="20"/>
  <c r="F149" i="20"/>
  <c r="E149" i="20"/>
  <c r="D149" i="20"/>
  <c r="V148" i="20"/>
  <c r="U148" i="20"/>
  <c r="U187" i="20" s="1"/>
  <c r="T148" i="20"/>
  <c r="T187" i="20" s="1"/>
  <c r="S148" i="20"/>
  <c r="R148" i="20"/>
  <c r="Q148" i="20"/>
  <c r="P148" i="20"/>
  <c r="O148" i="20"/>
  <c r="N148" i="20"/>
  <c r="M148" i="20"/>
  <c r="M187" i="20" s="1"/>
  <c r="L148" i="20"/>
  <c r="L187" i="20" s="1"/>
  <c r="K148" i="20"/>
  <c r="J148" i="20"/>
  <c r="I148" i="20"/>
  <c r="H148" i="20"/>
  <c r="G148" i="20"/>
  <c r="F148" i="20"/>
  <c r="E148" i="20"/>
  <c r="E187" i="20" s="1"/>
  <c r="D148" i="20"/>
  <c r="V147" i="20"/>
  <c r="U147" i="20"/>
  <c r="T147" i="20"/>
  <c r="S147" i="20"/>
  <c r="R147" i="20"/>
  <c r="Q147" i="20"/>
  <c r="P147" i="20"/>
  <c r="O147" i="20"/>
  <c r="N147" i="20"/>
  <c r="M147" i="20"/>
  <c r="L147" i="20"/>
  <c r="K147" i="20"/>
  <c r="J147" i="20"/>
  <c r="I147" i="20"/>
  <c r="H147" i="20"/>
  <c r="H186" i="20" s="1"/>
  <c r="G147" i="20"/>
  <c r="G186" i="20" s="1"/>
  <c r="F147" i="20"/>
  <c r="E147" i="20"/>
  <c r="D147" i="20"/>
  <c r="D186" i="20" s="1"/>
  <c r="V146" i="20"/>
  <c r="V185" i="20" s="1"/>
  <c r="U146" i="20"/>
  <c r="T146" i="20"/>
  <c r="T185" i="20" s="1"/>
  <c r="S146" i="20"/>
  <c r="R146" i="20"/>
  <c r="Q146" i="20"/>
  <c r="P146" i="20"/>
  <c r="O146" i="20"/>
  <c r="N146" i="20"/>
  <c r="M146" i="20"/>
  <c r="L146" i="20"/>
  <c r="K146" i="20"/>
  <c r="K185" i="20" s="1"/>
  <c r="J146" i="20"/>
  <c r="I146" i="20"/>
  <c r="H146" i="20"/>
  <c r="G146" i="20"/>
  <c r="G185" i="20" s="1"/>
  <c r="F146" i="20"/>
  <c r="E146" i="20"/>
  <c r="D146" i="20"/>
  <c r="V145" i="20"/>
  <c r="U145" i="20"/>
  <c r="T145" i="20"/>
  <c r="S145" i="20"/>
  <c r="R145" i="20"/>
  <c r="Q145" i="20"/>
  <c r="P145" i="20"/>
  <c r="O145" i="20"/>
  <c r="N145" i="20"/>
  <c r="N184" i="20" s="1"/>
  <c r="M145" i="20"/>
  <c r="L145" i="20"/>
  <c r="K145" i="20"/>
  <c r="J145" i="20"/>
  <c r="I145" i="20"/>
  <c r="H145" i="20"/>
  <c r="H184" i="20" s="1"/>
  <c r="G145" i="20"/>
  <c r="G184" i="20" s="1"/>
  <c r="F145" i="20"/>
  <c r="E145" i="20"/>
  <c r="D145" i="20"/>
  <c r="V144" i="20"/>
  <c r="U144" i="20"/>
  <c r="T144" i="20"/>
  <c r="S144" i="20"/>
  <c r="R144" i="20"/>
  <c r="Q144" i="20"/>
  <c r="Q183" i="20" s="1"/>
  <c r="P144" i="20"/>
  <c r="P183" i="20" s="1"/>
  <c r="O144" i="20"/>
  <c r="N144" i="20"/>
  <c r="M144" i="20"/>
  <c r="M183" i="20" s="1"/>
  <c r="L144" i="20"/>
  <c r="K144" i="20"/>
  <c r="J144" i="20"/>
  <c r="I144" i="20"/>
  <c r="I183" i="20" s="1"/>
  <c r="H144" i="20"/>
  <c r="H183" i="20" s="1"/>
  <c r="G144" i="20"/>
  <c r="F144" i="20"/>
  <c r="E144" i="20"/>
  <c r="D144" i="20"/>
  <c r="R143" i="20"/>
  <c r="R182" i="20" s="1"/>
  <c r="V142" i="20"/>
  <c r="U142" i="20"/>
  <c r="U181" i="20" s="1"/>
  <c r="T142" i="20"/>
  <c r="T181" i="20" s="1"/>
  <c r="S142" i="20"/>
  <c r="R142" i="20"/>
  <c r="Q142" i="20"/>
  <c r="P142" i="20"/>
  <c r="P181" i="20" s="1"/>
  <c r="O142" i="20"/>
  <c r="N142" i="20"/>
  <c r="M142" i="20"/>
  <c r="M181" i="20" s="1"/>
  <c r="L142" i="20"/>
  <c r="K142" i="20"/>
  <c r="J142" i="20"/>
  <c r="I142" i="20"/>
  <c r="H142" i="20"/>
  <c r="G142" i="20"/>
  <c r="G181" i="20" s="1"/>
  <c r="F142" i="20"/>
  <c r="E142" i="20"/>
  <c r="E181" i="20" s="1"/>
  <c r="D142" i="20"/>
  <c r="V141" i="20"/>
  <c r="U141" i="20"/>
  <c r="T141" i="20"/>
  <c r="S141" i="20"/>
  <c r="S180" i="20" s="1"/>
  <c r="R141" i="20"/>
  <c r="Q141" i="20"/>
  <c r="Q180" i="20" s="1"/>
  <c r="P141" i="20"/>
  <c r="O141" i="20"/>
  <c r="N141" i="20"/>
  <c r="M141" i="20"/>
  <c r="L141" i="20"/>
  <c r="K141" i="20"/>
  <c r="J141" i="20"/>
  <c r="J180" i="20" s="1"/>
  <c r="I141" i="20"/>
  <c r="H141" i="20"/>
  <c r="H180" i="20" s="1"/>
  <c r="G141" i="20"/>
  <c r="F141" i="20"/>
  <c r="E141" i="20"/>
  <c r="D141" i="20"/>
  <c r="V140" i="20"/>
  <c r="U140" i="20"/>
  <c r="U179" i="20" s="1"/>
  <c r="T140" i="20"/>
  <c r="S140" i="20"/>
  <c r="R140" i="20"/>
  <c r="R179" i="20" s="1"/>
  <c r="Q140" i="20"/>
  <c r="P140" i="20"/>
  <c r="O140" i="20"/>
  <c r="N140" i="20"/>
  <c r="M140" i="20"/>
  <c r="M179" i="20" s="1"/>
  <c r="L140" i="20"/>
  <c r="K140" i="20"/>
  <c r="K179" i="20" s="1"/>
  <c r="J140" i="20"/>
  <c r="I140" i="20"/>
  <c r="H140" i="20"/>
  <c r="G140" i="20"/>
  <c r="F140" i="20"/>
  <c r="E140" i="20"/>
  <c r="D140" i="20"/>
  <c r="V139" i="20"/>
  <c r="V178" i="20" s="1"/>
  <c r="U139" i="20"/>
  <c r="U178" i="20" s="1"/>
  <c r="T139" i="20"/>
  <c r="S139" i="20"/>
  <c r="R139" i="20"/>
  <c r="Q139" i="20"/>
  <c r="P139" i="20"/>
  <c r="P178" i="20" s="1"/>
  <c r="O139" i="20"/>
  <c r="N139" i="20"/>
  <c r="N178" i="20" s="1"/>
  <c r="M139" i="20"/>
  <c r="L139" i="20"/>
  <c r="K139" i="20"/>
  <c r="J139" i="20"/>
  <c r="I139" i="20"/>
  <c r="H139" i="20"/>
  <c r="G139" i="20"/>
  <c r="F139" i="20"/>
  <c r="E139" i="20"/>
  <c r="D139" i="20"/>
  <c r="V138" i="20"/>
  <c r="U138" i="20"/>
  <c r="T138" i="20"/>
  <c r="T177" i="20" s="1"/>
  <c r="S138" i="20"/>
  <c r="S177" i="20" s="1"/>
  <c r="R138" i="20"/>
  <c r="R177" i="20" s="1"/>
  <c r="Q138" i="20"/>
  <c r="Q177" i="20" s="1"/>
  <c r="P138" i="20"/>
  <c r="P177" i="20" s="1"/>
  <c r="O138" i="20"/>
  <c r="N138" i="20"/>
  <c r="M138" i="20"/>
  <c r="L138" i="20"/>
  <c r="L177" i="20" s="1"/>
  <c r="K138" i="20"/>
  <c r="J138" i="20"/>
  <c r="I138" i="20"/>
  <c r="I177" i="20" s="1"/>
  <c r="H138" i="20"/>
  <c r="G138" i="20"/>
  <c r="F138" i="20"/>
  <c r="E138" i="20"/>
  <c r="D138" i="20"/>
  <c r="V137" i="20"/>
  <c r="V176" i="20" s="1"/>
  <c r="U137" i="20"/>
  <c r="T137" i="20"/>
  <c r="T176" i="20" s="1"/>
  <c r="S137" i="20"/>
  <c r="R137" i="20"/>
  <c r="Q137" i="20"/>
  <c r="P137" i="20"/>
  <c r="O137" i="20"/>
  <c r="O176" i="20" s="1"/>
  <c r="N137" i="20"/>
  <c r="M137" i="20"/>
  <c r="L137" i="20"/>
  <c r="K137" i="20"/>
  <c r="J137" i="20"/>
  <c r="I137" i="20"/>
  <c r="H137" i="20"/>
  <c r="G137" i="20"/>
  <c r="F137" i="20"/>
  <c r="F176" i="20" s="1"/>
  <c r="E137" i="20"/>
  <c r="D137" i="20"/>
  <c r="D176" i="20" s="1"/>
  <c r="V136" i="20"/>
  <c r="U136" i="20"/>
  <c r="T136" i="20"/>
  <c r="S136" i="20"/>
  <c r="R136" i="20"/>
  <c r="Q136" i="20"/>
  <c r="Q175" i="20" s="1"/>
  <c r="P136" i="20"/>
  <c r="O136" i="20"/>
  <c r="N136" i="20"/>
  <c r="M136" i="20"/>
  <c r="L136" i="20"/>
  <c r="K136" i="20"/>
  <c r="J136" i="20"/>
  <c r="I136" i="20"/>
  <c r="I175" i="20" s="1"/>
  <c r="H136" i="20"/>
  <c r="G136" i="20"/>
  <c r="G175" i="20" s="1"/>
  <c r="F136" i="20"/>
  <c r="F175" i="20" s="1"/>
  <c r="E136" i="20"/>
  <c r="D136" i="20"/>
  <c r="V135" i="20"/>
  <c r="V174" i="20" s="1"/>
  <c r="U135" i="20"/>
  <c r="U174" i="20" s="1"/>
  <c r="T135" i="20"/>
  <c r="T174" i="20" s="1"/>
  <c r="S135" i="20"/>
  <c r="S174" i="20" s="1"/>
  <c r="R135" i="20"/>
  <c r="Q135" i="20"/>
  <c r="P135" i="20"/>
  <c r="P174" i="20" s="1"/>
  <c r="O135" i="20"/>
  <c r="N135" i="20"/>
  <c r="N174" i="20" s="1"/>
  <c r="M135" i="20"/>
  <c r="L135" i="20"/>
  <c r="L174" i="20" s="1"/>
  <c r="K135" i="20"/>
  <c r="K174" i="20" s="1"/>
  <c r="J135" i="20"/>
  <c r="J174" i="20" s="1"/>
  <c r="I135" i="20"/>
  <c r="I174" i="20" s="1"/>
  <c r="H135" i="20"/>
  <c r="G135" i="20"/>
  <c r="G174" i="20" s="1"/>
  <c r="F135" i="20"/>
  <c r="F174" i="20" s="1"/>
  <c r="E135" i="20"/>
  <c r="E174" i="20" s="1"/>
  <c r="D135" i="20"/>
  <c r="D174" i="20" s="1"/>
  <c r="V134" i="20"/>
  <c r="U134" i="20"/>
  <c r="T134" i="20"/>
  <c r="S134" i="20"/>
  <c r="R134" i="20"/>
  <c r="Q134" i="20"/>
  <c r="P134" i="20"/>
  <c r="O134" i="20"/>
  <c r="O173" i="20" s="1"/>
  <c r="N134" i="20"/>
  <c r="M134" i="20"/>
  <c r="M173" i="20" s="1"/>
  <c r="L134" i="20"/>
  <c r="L173" i="20" s="1"/>
  <c r="K134" i="20"/>
  <c r="J134" i="20"/>
  <c r="I134" i="20"/>
  <c r="H134" i="20"/>
  <c r="G134" i="20"/>
  <c r="G173" i="20" s="1"/>
  <c r="F134" i="20"/>
  <c r="E134" i="20"/>
  <c r="D134" i="20"/>
  <c r="V133" i="20"/>
  <c r="V172" i="20" s="1"/>
  <c r="U133" i="20"/>
  <c r="T133" i="20"/>
  <c r="T172" i="20" s="1"/>
  <c r="S133" i="20"/>
  <c r="R133" i="20"/>
  <c r="R172" i="20" s="1"/>
  <c r="Q133" i="20"/>
  <c r="Q172" i="20" s="1"/>
  <c r="P133" i="20"/>
  <c r="P172" i="20" s="1"/>
  <c r="O133" i="20"/>
  <c r="N133" i="20"/>
  <c r="M133" i="20"/>
  <c r="L133" i="20"/>
  <c r="K133" i="20"/>
  <c r="J133" i="20"/>
  <c r="I133" i="20"/>
  <c r="H133" i="20"/>
  <c r="G133" i="20"/>
  <c r="F133" i="20"/>
  <c r="E133" i="20"/>
  <c r="D133" i="20"/>
  <c r="V132" i="20"/>
  <c r="U132" i="20"/>
  <c r="U171" i="20" s="1"/>
  <c r="T132" i="20"/>
  <c r="S132" i="20"/>
  <c r="R132" i="20"/>
  <c r="Q132" i="20"/>
  <c r="P132" i="20"/>
  <c r="O132" i="20"/>
  <c r="O171" i="20" s="1"/>
  <c r="N132" i="20"/>
  <c r="N171" i="20" s="1"/>
  <c r="M132" i="20"/>
  <c r="M171" i="20" s="1"/>
  <c r="L132" i="20"/>
  <c r="L171" i="20" s="1"/>
  <c r="K132" i="20"/>
  <c r="J132" i="20"/>
  <c r="J171" i="20" s="1"/>
  <c r="I132" i="20"/>
  <c r="I171" i="20" s="1"/>
  <c r="H132" i="20"/>
  <c r="G132" i="20"/>
  <c r="G171" i="20" s="1"/>
  <c r="F132" i="20"/>
  <c r="F171" i="20" s="1"/>
  <c r="E132" i="20"/>
  <c r="E171" i="20" s="1"/>
  <c r="D132" i="20"/>
  <c r="V131" i="20"/>
  <c r="U131" i="20"/>
  <c r="T131" i="20"/>
  <c r="S131" i="20"/>
  <c r="R131" i="20"/>
  <c r="Q131" i="20"/>
  <c r="P131" i="20"/>
  <c r="O131" i="20"/>
  <c r="N131" i="20"/>
  <c r="N170" i="20" s="1"/>
  <c r="M131" i="20"/>
  <c r="L131" i="20"/>
  <c r="K131" i="20"/>
  <c r="J131" i="20"/>
  <c r="I131" i="20"/>
  <c r="H131" i="20"/>
  <c r="G131" i="20"/>
  <c r="F131" i="20"/>
  <c r="E131" i="20"/>
  <c r="D131" i="20"/>
  <c r="S120" i="20"/>
  <c r="P120" i="20"/>
  <c r="V119" i="20"/>
  <c r="P119" i="20"/>
  <c r="G119" i="20"/>
  <c r="V118" i="20"/>
  <c r="V117" i="20"/>
  <c r="U117" i="20"/>
  <c r="R117" i="20"/>
  <c r="O117" i="20"/>
  <c r="N117" i="20"/>
  <c r="M117" i="20"/>
  <c r="E117" i="20"/>
  <c r="D117" i="20"/>
  <c r="V115" i="20"/>
  <c r="T115" i="20"/>
  <c r="R115" i="20"/>
  <c r="V114" i="20"/>
  <c r="Q114" i="20"/>
  <c r="T113" i="20"/>
  <c r="S113" i="20"/>
  <c r="Q113" i="20"/>
  <c r="M113" i="20"/>
  <c r="L113" i="20"/>
  <c r="K113" i="20"/>
  <c r="U112" i="20"/>
  <c r="T112" i="20"/>
  <c r="S112" i="20"/>
  <c r="P112" i="20"/>
  <c r="L112" i="20"/>
  <c r="D112" i="20"/>
  <c r="R111" i="20"/>
  <c r="P111" i="20"/>
  <c r="J111" i="20"/>
  <c r="R110" i="20"/>
  <c r="Q109" i="20"/>
  <c r="H109" i="20"/>
  <c r="S108" i="20"/>
  <c r="Q108" i="20"/>
  <c r="O108" i="20"/>
  <c r="I108" i="20"/>
  <c r="H108" i="20"/>
  <c r="T107" i="20"/>
  <c r="S107" i="20"/>
  <c r="P107" i="20"/>
  <c r="Q106" i="20"/>
  <c r="N106" i="20"/>
  <c r="I106" i="20"/>
  <c r="R105" i="20"/>
  <c r="P105" i="20"/>
  <c r="L105" i="20"/>
  <c r="D105" i="20"/>
  <c r="V104" i="20"/>
  <c r="U104" i="20"/>
  <c r="T104" i="20"/>
  <c r="S104" i="20"/>
  <c r="Q104" i="20"/>
  <c r="P104" i="20"/>
  <c r="O104" i="20"/>
  <c r="N104" i="20"/>
  <c r="M104" i="20"/>
  <c r="L104" i="20"/>
  <c r="K104" i="20"/>
  <c r="J104" i="20"/>
  <c r="I104" i="20"/>
  <c r="H104" i="20"/>
  <c r="G104" i="20"/>
  <c r="F104" i="20"/>
  <c r="E104" i="20"/>
  <c r="D104" i="20"/>
  <c r="G103" i="20"/>
  <c r="E103" i="20"/>
  <c r="G102" i="20"/>
  <c r="M101" i="20"/>
  <c r="K101" i="20"/>
  <c r="I101" i="20"/>
  <c r="D101" i="20"/>
  <c r="M100" i="20"/>
  <c r="G100" i="20"/>
  <c r="Q99" i="20"/>
  <c r="O99" i="20"/>
  <c r="S98" i="20"/>
  <c r="O98" i="20"/>
  <c r="U96" i="20"/>
  <c r="S96" i="20"/>
  <c r="M96" i="20"/>
  <c r="U95" i="20"/>
  <c r="O95" i="20"/>
  <c r="F95" i="20"/>
  <c r="D95" i="20"/>
  <c r="R94" i="20"/>
  <c r="Q94" i="20"/>
  <c r="H94" i="20"/>
  <c r="F94" i="20"/>
  <c r="S93" i="20"/>
  <c r="L93" i="20"/>
  <c r="K93" i="20"/>
  <c r="J93" i="20"/>
  <c r="H93" i="20"/>
  <c r="V92" i="20"/>
  <c r="U92" i="20"/>
  <c r="V81" i="20"/>
  <c r="V120" i="20" s="1"/>
  <c r="U81" i="20"/>
  <c r="U120" i="20" s="1"/>
  <c r="T81" i="20"/>
  <c r="T120" i="20" s="1"/>
  <c r="S81" i="20"/>
  <c r="R81" i="20"/>
  <c r="R120" i="20" s="1"/>
  <c r="Q81" i="20"/>
  <c r="Q120" i="20" s="1"/>
  <c r="P81" i="20"/>
  <c r="O81" i="20"/>
  <c r="O120" i="20" s="1"/>
  <c r="N81" i="20"/>
  <c r="N120" i="20" s="1"/>
  <c r="M81" i="20"/>
  <c r="M120" i="20" s="1"/>
  <c r="L81" i="20"/>
  <c r="L120" i="20" s="1"/>
  <c r="K81" i="20"/>
  <c r="K120" i="20" s="1"/>
  <c r="J81" i="20"/>
  <c r="I81" i="20"/>
  <c r="I120" i="20" s="1"/>
  <c r="H81" i="20"/>
  <c r="G81" i="20"/>
  <c r="F81" i="20"/>
  <c r="E81" i="20"/>
  <c r="D81" i="20"/>
  <c r="D120" i="20" s="1"/>
  <c r="V80" i="20"/>
  <c r="U80" i="20"/>
  <c r="U119" i="20" s="1"/>
  <c r="T80" i="20"/>
  <c r="S80" i="20"/>
  <c r="R80" i="20"/>
  <c r="Q80" i="20"/>
  <c r="Q119" i="20" s="1"/>
  <c r="P80" i="20"/>
  <c r="O80" i="20"/>
  <c r="N80" i="20"/>
  <c r="N119" i="20" s="1"/>
  <c r="M80" i="20"/>
  <c r="L80" i="20"/>
  <c r="L119" i="20" s="1"/>
  <c r="K80" i="20"/>
  <c r="J80" i="20"/>
  <c r="J119" i="20" s="1"/>
  <c r="I80" i="20"/>
  <c r="I119" i="20" s="1"/>
  <c r="H80" i="20"/>
  <c r="G80" i="20"/>
  <c r="F80" i="20"/>
  <c r="E80" i="20"/>
  <c r="E119" i="20" s="1"/>
  <c r="D80" i="20"/>
  <c r="V79" i="20"/>
  <c r="U79" i="20"/>
  <c r="U118" i="20" s="1"/>
  <c r="T79" i="20"/>
  <c r="T118" i="20" s="1"/>
  <c r="S79" i="20"/>
  <c r="S118" i="20" s="1"/>
  <c r="R79" i="20"/>
  <c r="R118" i="20" s="1"/>
  <c r="Q79" i="20"/>
  <c r="Q118" i="20" s="1"/>
  <c r="P79" i="20"/>
  <c r="O79" i="20"/>
  <c r="O118" i="20" s="1"/>
  <c r="N79" i="20"/>
  <c r="M79" i="20"/>
  <c r="L79" i="20"/>
  <c r="L118" i="20" s="1"/>
  <c r="K79" i="20"/>
  <c r="K118" i="20" s="1"/>
  <c r="J79" i="20"/>
  <c r="J118" i="20" s="1"/>
  <c r="I79" i="20"/>
  <c r="I118" i="20" s="1"/>
  <c r="H79" i="20"/>
  <c r="H118" i="20" s="1"/>
  <c r="G79" i="20"/>
  <c r="F79" i="20"/>
  <c r="F118" i="20" s="1"/>
  <c r="E79" i="20"/>
  <c r="D79" i="20"/>
  <c r="D118" i="20" s="1"/>
  <c r="V78" i="20"/>
  <c r="U78" i="20"/>
  <c r="T78" i="20"/>
  <c r="T117" i="20" s="1"/>
  <c r="S78" i="20"/>
  <c r="S117" i="20" s="1"/>
  <c r="R78" i="20"/>
  <c r="Q78" i="20"/>
  <c r="Q117" i="20" s="1"/>
  <c r="P78" i="20"/>
  <c r="P117" i="20" s="1"/>
  <c r="O78" i="20"/>
  <c r="N78" i="20"/>
  <c r="M78" i="20"/>
  <c r="L78" i="20"/>
  <c r="L117" i="20" s="1"/>
  <c r="K78" i="20"/>
  <c r="K117" i="20" s="1"/>
  <c r="J78" i="20"/>
  <c r="J117" i="20" s="1"/>
  <c r="I78" i="20"/>
  <c r="I117" i="20" s="1"/>
  <c r="H78" i="20"/>
  <c r="H117" i="20" s="1"/>
  <c r="G78" i="20"/>
  <c r="G117" i="20" s="1"/>
  <c r="F78" i="20"/>
  <c r="F117" i="20" s="1"/>
  <c r="E78" i="20"/>
  <c r="D78" i="20"/>
  <c r="V77" i="20"/>
  <c r="U77" i="20"/>
  <c r="U116" i="20" s="1"/>
  <c r="T77" i="20"/>
  <c r="S77" i="20"/>
  <c r="S116" i="20" s="1"/>
  <c r="R77" i="20"/>
  <c r="Q77" i="20"/>
  <c r="Q116" i="20" s="1"/>
  <c r="P77" i="20"/>
  <c r="P116" i="20" s="1"/>
  <c r="O77" i="20"/>
  <c r="O116" i="20" s="1"/>
  <c r="N77" i="20"/>
  <c r="N116" i="20" s="1"/>
  <c r="M77" i="20"/>
  <c r="L77" i="20"/>
  <c r="L116" i="20" s="1"/>
  <c r="K77" i="20"/>
  <c r="K116" i="20" s="1"/>
  <c r="J77" i="20"/>
  <c r="J116" i="20" s="1"/>
  <c r="I77" i="20"/>
  <c r="I116" i="20" s="1"/>
  <c r="H77" i="20"/>
  <c r="G77" i="20"/>
  <c r="G116" i="20" s="1"/>
  <c r="F77" i="20"/>
  <c r="E77" i="20"/>
  <c r="E116" i="20" s="1"/>
  <c r="D77" i="20"/>
  <c r="V76" i="20"/>
  <c r="U76" i="20"/>
  <c r="T76" i="20"/>
  <c r="S76" i="20"/>
  <c r="S115" i="20" s="1"/>
  <c r="R76" i="20"/>
  <c r="Q76" i="20"/>
  <c r="Q115" i="20" s="1"/>
  <c r="P76" i="20"/>
  <c r="O76" i="20"/>
  <c r="O115" i="20" s="1"/>
  <c r="N76" i="20"/>
  <c r="M76" i="20"/>
  <c r="M115" i="20" s="1"/>
  <c r="L76" i="20"/>
  <c r="K76" i="20"/>
  <c r="K115" i="20" s="1"/>
  <c r="J76" i="20"/>
  <c r="J115" i="20" s="1"/>
  <c r="I76" i="20"/>
  <c r="H76" i="20"/>
  <c r="H115" i="20" s="1"/>
  <c r="G76" i="20"/>
  <c r="F76" i="20"/>
  <c r="F115" i="20" s="1"/>
  <c r="E76" i="20"/>
  <c r="E115" i="20" s="1"/>
  <c r="D76" i="20"/>
  <c r="V75" i="20"/>
  <c r="U75" i="20"/>
  <c r="U114" i="20" s="1"/>
  <c r="T75" i="20"/>
  <c r="S75" i="20"/>
  <c r="R75" i="20"/>
  <c r="R114" i="20" s="1"/>
  <c r="Q75" i="20"/>
  <c r="P75" i="20"/>
  <c r="P114" i="20" s="1"/>
  <c r="O75" i="20"/>
  <c r="O114" i="20" s="1"/>
  <c r="N75" i="20"/>
  <c r="M75" i="20"/>
  <c r="L75" i="20"/>
  <c r="K75" i="20"/>
  <c r="K114" i="20" s="1"/>
  <c r="J75" i="20"/>
  <c r="I75" i="20"/>
  <c r="H75" i="20"/>
  <c r="G75" i="20"/>
  <c r="G114" i="20" s="1"/>
  <c r="F75" i="20"/>
  <c r="F114" i="20" s="1"/>
  <c r="E75" i="20"/>
  <c r="E114" i="20" s="1"/>
  <c r="D75" i="20"/>
  <c r="D114" i="20" s="1"/>
  <c r="V74" i="20"/>
  <c r="V113" i="20" s="1"/>
  <c r="U74" i="20"/>
  <c r="U113" i="20" s="1"/>
  <c r="T74" i="20"/>
  <c r="S74" i="20"/>
  <c r="R74" i="20"/>
  <c r="R113" i="20" s="1"/>
  <c r="Q74" i="20"/>
  <c r="P74" i="20"/>
  <c r="P113" i="20" s="1"/>
  <c r="O74" i="20"/>
  <c r="O113" i="20" s="1"/>
  <c r="N74" i="20"/>
  <c r="N113" i="20" s="1"/>
  <c r="M74" i="20"/>
  <c r="L74" i="20"/>
  <c r="K74" i="20"/>
  <c r="J74" i="20"/>
  <c r="J113" i="20" s="1"/>
  <c r="I74" i="20"/>
  <c r="I113" i="20" s="1"/>
  <c r="H74" i="20"/>
  <c r="H113" i="20" s="1"/>
  <c r="G74" i="20"/>
  <c r="G113" i="20" s="1"/>
  <c r="F74" i="20"/>
  <c r="F113" i="20" s="1"/>
  <c r="E74" i="20"/>
  <c r="E113" i="20" s="1"/>
  <c r="D74" i="20"/>
  <c r="D113" i="20" s="1"/>
  <c r="V73" i="20"/>
  <c r="V112" i="20" s="1"/>
  <c r="U73" i="20"/>
  <c r="T73" i="20"/>
  <c r="S73" i="20"/>
  <c r="R73" i="20"/>
  <c r="R112" i="20" s="1"/>
  <c r="Q73" i="20"/>
  <c r="Q112" i="20" s="1"/>
  <c r="P73" i="20"/>
  <c r="O73" i="20"/>
  <c r="O112" i="20" s="1"/>
  <c r="N73" i="20"/>
  <c r="N112" i="20" s="1"/>
  <c r="M73" i="20"/>
  <c r="M112" i="20" s="1"/>
  <c r="L73" i="20"/>
  <c r="K73" i="20"/>
  <c r="K112" i="20" s="1"/>
  <c r="J73" i="20"/>
  <c r="J112" i="20" s="1"/>
  <c r="I73" i="20"/>
  <c r="I112" i="20" s="1"/>
  <c r="H73" i="20"/>
  <c r="H112" i="20" s="1"/>
  <c r="G73" i="20"/>
  <c r="G112" i="20" s="1"/>
  <c r="F73" i="20"/>
  <c r="F112" i="20" s="1"/>
  <c r="E73" i="20"/>
  <c r="E112" i="20" s="1"/>
  <c r="D73" i="20"/>
  <c r="V72" i="20"/>
  <c r="V111" i="20" s="1"/>
  <c r="U72" i="20"/>
  <c r="T72" i="20"/>
  <c r="T111" i="20" s="1"/>
  <c r="S72" i="20"/>
  <c r="R72" i="20"/>
  <c r="Q72" i="20"/>
  <c r="P72" i="20"/>
  <c r="O72" i="20"/>
  <c r="O111" i="20" s="1"/>
  <c r="N72" i="20"/>
  <c r="N111" i="20" s="1"/>
  <c r="M72" i="20"/>
  <c r="M111" i="20" s="1"/>
  <c r="L72" i="20"/>
  <c r="K72" i="20"/>
  <c r="K111" i="20" s="1"/>
  <c r="J72" i="20"/>
  <c r="I72" i="20"/>
  <c r="I111" i="20" s="1"/>
  <c r="H72" i="20"/>
  <c r="H111" i="20" s="1"/>
  <c r="G72" i="20"/>
  <c r="G111" i="20" s="1"/>
  <c r="F72" i="20"/>
  <c r="F111" i="20" s="1"/>
  <c r="E72" i="20"/>
  <c r="D72" i="20"/>
  <c r="D111" i="20" s="1"/>
  <c r="V71" i="20"/>
  <c r="U71" i="20"/>
  <c r="T71" i="20"/>
  <c r="S71" i="20"/>
  <c r="S110" i="20" s="1"/>
  <c r="R71" i="20"/>
  <c r="Q71" i="20"/>
  <c r="Q110" i="20" s="1"/>
  <c r="P71" i="20"/>
  <c r="O71" i="20"/>
  <c r="N71" i="20"/>
  <c r="N110" i="20" s="1"/>
  <c r="M71" i="20"/>
  <c r="M110" i="20" s="1"/>
  <c r="L71" i="20"/>
  <c r="L110" i="20" s="1"/>
  <c r="K71" i="20"/>
  <c r="J71" i="20"/>
  <c r="I71" i="20"/>
  <c r="H71" i="20"/>
  <c r="G71" i="20"/>
  <c r="G110" i="20" s="1"/>
  <c r="F71" i="20"/>
  <c r="E71" i="20"/>
  <c r="E110" i="20" s="1"/>
  <c r="D71" i="20"/>
  <c r="V70" i="20"/>
  <c r="V109" i="20" s="1"/>
  <c r="U70" i="20"/>
  <c r="U109" i="20" s="1"/>
  <c r="T70" i="20"/>
  <c r="S70" i="20"/>
  <c r="S109" i="20" s="1"/>
  <c r="R70" i="20"/>
  <c r="Q70" i="20"/>
  <c r="P70" i="20"/>
  <c r="P109" i="20" s="1"/>
  <c r="O70" i="20"/>
  <c r="O109" i="20" s="1"/>
  <c r="N70" i="20"/>
  <c r="N109" i="20" s="1"/>
  <c r="M70" i="20"/>
  <c r="L70" i="20"/>
  <c r="L109" i="20" s="1"/>
  <c r="K70" i="20"/>
  <c r="J70" i="20"/>
  <c r="J109" i="20" s="1"/>
  <c r="I70" i="20"/>
  <c r="H70" i="20"/>
  <c r="G70" i="20"/>
  <c r="F70" i="20"/>
  <c r="F109" i="20" s="1"/>
  <c r="E70" i="20"/>
  <c r="E109" i="20" s="1"/>
  <c r="D70" i="20"/>
  <c r="D109" i="20" s="1"/>
  <c r="V69" i="20"/>
  <c r="V108" i="20" s="1"/>
  <c r="U69" i="20"/>
  <c r="T69" i="20"/>
  <c r="T108" i="20" s="1"/>
  <c r="S69" i="20"/>
  <c r="R69" i="20"/>
  <c r="R108" i="20" s="1"/>
  <c r="Q69" i="20"/>
  <c r="P69" i="20"/>
  <c r="P108" i="20" s="1"/>
  <c r="O69" i="20"/>
  <c r="N69" i="20"/>
  <c r="M69" i="20"/>
  <c r="L69" i="20"/>
  <c r="K69" i="20"/>
  <c r="K108" i="20" s="1"/>
  <c r="J69" i="20"/>
  <c r="I69" i="20"/>
  <c r="H69" i="20"/>
  <c r="G69" i="20"/>
  <c r="G108" i="20" s="1"/>
  <c r="F69" i="20"/>
  <c r="F108" i="20" s="1"/>
  <c r="E69" i="20"/>
  <c r="D69" i="20"/>
  <c r="D108" i="20" s="1"/>
  <c r="V68" i="20"/>
  <c r="V107" i="20" s="1"/>
  <c r="U68" i="20"/>
  <c r="U107" i="20" s="1"/>
  <c r="T68" i="20"/>
  <c r="S68" i="20"/>
  <c r="R68" i="20"/>
  <c r="R107" i="20" s="1"/>
  <c r="Q68" i="20"/>
  <c r="P68" i="20"/>
  <c r="O68" i="20"/>
  <c r="N68" i="20"/>
  <c r="M68" i="20"/>
  <c r="L68" i="20"/>
  <c r="L107" i="20" s="1"/>
  <c r="K68" i="20"/>
  <c r="K107" i="20" s="1"/>
  <c r="J68" i="20"/>
  <c r="J107" i="20" s="1"/>
  <c r="I68" i="20"/>
  <c r="I107" i="20" s="1"/>
  <c r="H68" i="20"/>
  <c r="G68" i="20"/>
  <c r="G107" i="20" s="1"/>
  <c r="F68" i="20"/>
  <c r="F107" i="20" s="1"/>
  <c r="E68" i="20"/>
  <c r="E107" i="20" s="1"/>
  <c r="D68" i="20"/>
  <c r="D107" i="20" s="1"/>
  <c r="V67" i="20"/>
  <c r="U67" i="20"/>
  <c r="U106" i="20" s="1"/>
  <c r="T67" i="20"/>
  <c r="S67" i="20"/>
  <c r="S106" i="20" s="1"/>
  <c r="R67" i="20"/>
  <c r="Q67" i="20"/>
  <c r="P67" i="20"/>
  <c r="O67" i="20"/>
  <c r="O106" i="20" s="1"/>
  <c r="N67" i="20"/>
  <c r="M67" i="20"/>
  <c r="M106" i="20" s="1"/>
  <c r="L67" i="20"/>
  <c r="L106" i="20" s="1"/>
  <c r="K67" i="20"/>
  <c r="J67" i="20"/>
  <c r="J106" i="20" s="1"/>
  <c r="I67" i="20"/>
  <c r="H67" i="20"/>
  <c r="H106" i="20" s="1"/>
  <c r="G67" i="20"/>
  <c r="G106" i="20" s="1"/>
  <c r="F67" i="20"/>
  <c r="F106" i="20" s="1"/>
  <c r="E67" i="20"/>
  <c r="E106" i="20" s="1"/>
  <c r="D67" i="20"/>
  <c r="V66" i="20"/>
  <c r="V105" i="20" s="1"/>
  <c r="U66" i="20"/>
  <c r="T66" i="20"/>
  <c r="S66" i="20"/>
  <c r="R66" i="20"/>
  <c r="Q66" i="20"/>
  <c r="Q105" i="20" s="1"/>
  <c r="P66" i="20"/>
  <c r="O66" i="20"/>
  <c r="O105" i="20" s="1"/>
  <c r="N66" i="20"/>
  <c r="M66" i="20"/>
  <c r="M105" i="20" s="1"/>
  <c r="L66" i="20"/>
  <c r="K66" i="20"/>
  <c r="K105" i="20" s="1"/>
  <c r="J66" i="20"/>
  <c r="J105" i="20" s="1"/>
  <c r="I66" i="20"/>
  <c r="I105" i="20" s="1"/>
  <c r="H66" i="20"/>
  <c r="H105" i="20" s="1"/>
  <c r="G66" i="20"/>
  <c r="F66" i="20"/>
  <c r="F105" i="20" s="1"/>
  <c r="E66" i="20"/>
  <c r="D66" i="20"/>
  <c r="R65" i="20"/>
  <c r="R104" i="20" s="1"/>
  <c r="V64" i="20"/>
  <c r="U64" i="20"/>
  <c r="U103" i="20" s="1"/>
  <c r="T64" i="20"/>
  <c r="T103" i="20" s="1"/>
  <c r="S64" i="20"/>
  <c r="S103" i="20" s="1"/>
  <c r="R64" i="20"/>
  <c r="Q64" i="20"/>
  <c r="P64" i="20"/>
  <c r="P103" i="20" s="1"/>
  <c r="O64" i="20"/>
  <c r="O103" i="20" s="1"/>
  <c r="N64" i="20"/>
  <c r="N103" i="20" s="1"/>
  <c r="M64" i="20"/>
  <c r="L64" i="20"/>
  <c r="L103" i="20" s="1"/>
  <c r="K64" i="20"/>
  <c r="K103" i="20" s="1"/>
  <c r="J64" i="20"/>
  <c r="I64" i="20"/>
  <c r="H64" i="20"/>
  <c r="G64" i="20"/>
  <c r="F64" i="20"/>
  <c r="E64" i="20"/>
  <c r="D64" i="20"/>
  <c r="D103" i="20" s="1"/>
  <c r="V63" i="20"/>
  <c r="V102" i="20" s="1"/>
  <c r="U63" i="20"/>
  <c r="T63" i="20"/>
  <c r="S63" i="20"/>
  <c r="R63" i="20"/>
  <c r="R102" i="20" s="1"/>
  <c r="Q63" i="20"/>
  <c r="Q102" i="20" s="1"/>
  <c r="P63" i="20"/>
  <c r="P102" i="20" s="1"/>
  <c r="O63" i="20"/>
  <c r="O102" i="20" s="1"/>
  <c r="N63" i="20"/>
  <c r="N102" i="20" s="1"/>
  <c r="M63" i="20"/>
  <c r="L63" i="20"/>
  <c r="K63" i="20"/>
  <c r="J63" i="20"/>
  <c r="I63" i="20"/>
  <c r="H63" i="20"/>
  <c r="H102" i="20" s="1"/>
  <c r="G63" i="20"/>
  <c r="F63" i="20"/>
  <c r="F102" i="20" s="1"/>
  <c r="E63" i="20"/>
  <c r="D63" i="20"/>
  <c r="V62" i="20"/>
  <c r="U62" i="20"/>
  <c r="U101" i="20" s="1"/>
  <c r="T62" i="20"/>
  <c r="T101" i="20" s="1"/>
  <c r="S62" i="20"/>
  <c r="S101" i="20" s="1"/>
  <c r="R62" i="20"/>
  <c r="R101" i="20" s="1"/>
  <c r="Q62" i="20"/>
  <c r="P62" i="20"/>
  <c r="O62" i="20"/>
  <c r="N62" i="20"/>
  <c r="M62" i="20"/>
  <c r="L62" i="20"/>
  <c r="K62" i="20"/>
  <c r="J62" i="20"/>
  <c r="J101" i="20" s="1"/>
  <c r="I62" i="20"/>
  <c r="H62" i="20"/>
  <c r="G62" i="20"/>
  <c r="F62" i="20"/>
  <c r="F101" i="20" s="1"/>
  <c r="E62" i="20"/>
  <c r="E101" i="20" s="1"/>
  <c r="D62" i="20"/>
  <c r="V61" i="20"/>
  <c r="V100" i="20" s="1"/>
  <c r="U61" i="20"/>
  <c r="U100" i="20" s="1"/>
  <c r="T61" i="20"/>
  <c r="S61" i="20"/>
  <c r="R61" i="20"/>
  <c r="Q61" i="20"/>
  <c r="P61" i="20"/>
  <c r="O61" i="20"/>
  <c r="N61" i="20"/>
  <c r="N100" i="20" s="1"/>
  <c r="M61" i="20"/>
  <c r="L61" i="20"/>
  <c r="L100" i="20" s="1"/>
  <c r="K61" i="20"/>
  <c r="J61" i="20"/>
  <c r="I61" i="20"/>
  <c r="I100" i="20" s="1"/>
  <c r="H61" i="20"/>
  <c r="H100" i="20" s="1"/>
  <c r="G61" i="20"/>
  <c r="F61" i="20"/>
  <c r="E61" i="20"/>
  <c r="E100" i="20" s="1"/>
  <c r="D61" i="20"/>
  <c r="V60" i="20"/>
  <c r="V99" i="20" s="1"/>
  <c r="U60" i="20"/>
  <c r="U99" i="20" s="1"/>
  <c r="T60" i="20"/>
  <c r="T99" i="20" s="1"/>
  <c r="S60" i="20"/>
  <c r="S99" i="20" s="1"/>
  <c r="R60" i="20"/>
  <c r="R99" i="20" s="1"/>
  <c r="Q60" i="20"/>
  <c r="P60" i="20"/>
  <c r="P99" i="20" s="1"/>
  <c r="O60" i="20"/>
  <c r="N60" i="20"/>
  <c r="M60" i="20"/>
  <c r="M99" i="20" s="1"/>
  <c r="L60" i="20"/>
  <c r="L99" i="20" s="1"/>
  <c r="K60" i="20"/>
  <c r="K99" i="20" s="1"/>
  <c r="J60" i="20"/>
  <c r="J99" i="20" s="1"/>
  <c r="I60" i="20"/>
  <c r="H60" i="20"/>
  <c r="G60" i="20"/>
  <c r="F60" i="20"/>
  <c r="E60" i="20"/>
  <c r="D60" i="20"/>
  <c r="V59" i="20"/>
  <c r="V98" i="20" s="1"/>
  <c r="U59" i="20"/>
  <c r="T59" i="20"/>
  <c r="T98" i="20" s="1"/>
  <c r="S59" i="20"/>
  <c r="R59" i="20"/>
  <c r="R98" i="20" s="1"/>
  <c r="Q59" i="20"/>
  <c r="P59" i="20"/>
  <c r="O59" i="20"/>
  <c r="N59" i="20"/>
  <c r="N98" i="20" s="1"/>
  <c r="M59" i="20"/>
  <c r="M98" i="20" s="1"/>
  <c r="L59" i="20"/>
  <c r="K59" i="20"/>
  <c r="J59" i="20"/>
  <c r="I59" i="20"/>
  <c r="H59" i="20"/>
  <c r="G59" i="20"/>
  <c r="F59" i="20"/>
  <c r="F98" i="20" s="1"/>
  <c r="E59" i="20"/>
  <c r="D59" i="20"/>
  <c r="D98" i="20" s="1"/>
  <c r="V58" i="20"/>
  <c r="V97" i="20" s="1"/>
  <c r="U58" i="20"/>
  <c r="U97" i="20" s="1"/>
  <c r="T58" i="20"/>
  <c r="S58" i="20"/>
  <c r="S97" i="20" s="1"/>
  <c r="R58" i="20"/>
  <c r="R97" i="20" s="1"/>
  <c r="Q58" i="20"/>
  <c r="Q97" i="20" s="1"/>
  <c r="P58" i="20"/>
  <c r="P97" i="20" s="1"/>
  <c r="O58" i="20"/>
  <c r="O97" i="20" s="1"/>
  <c r="N58" i="20"/>
  <c r="N97" i="20" s="1"/>
  <c r="M58" i="20"/>
  <c r="L58" i="20"/>
  <c r="K58" i="20"/>
  <c r="J58" i="20"/>
  <c r="I58" i="20"/>
  <c r="I97" i="20" s="1"/>
  <c r="H58" i="20"/>
  <c r="G58" i="20"/>
  <c r="G97" i="20" s="1"/>
  <c r="F58" i="20"/>
  <c r="F97" i="20" s="1"/>
  <c r="E58" i="20"/>
  <c r="E97" i="20" s="1"/>
  <c r="D58" i="20"/>
  <c r="V57" i="20"/>
  <c r="V96" i="20" s="1"/>
  <c r="U57" i="20"/>
  <c r="T57" i="20"/>
  <c r="T96" i="20" s="1"/>
  <c r="S57" i="20"/>
  <c r="R57" i="20"/>
  <c r="R96" i="20" s="1"/>
  <c r="Q57" i="20"/>
  <c r="Q96" i="20" s="1"/>
  <c r="P57" i="20"/>
  <c r="P96" i="20" s="1"/>
  <c r="O57" i="20"/>
  <c r="O96" i="20" s="1"/>
  <c r="N57" i="20"/>
  <c r="N96" i="20" s="1"/>
  <c r="M57" i="20"/>
  <c r="L57" i="20"/>
  <c r="L96" i="20" s="1"/>
  <c r="K57" i="20"/>
  <c r="K96" i="20" s="1"/>
  <c r="J57" i="20"/>
  <c r="J96" i="20" s="1"/>
  <c r="I57" i="20"/>
  <c r="I96" i="20" s="1"/>
  <c r="H57" i="20"/>
  <c r="H96" i="20" s="1"/>
  <c r="G57" i="20"/>
  <c r="G96" i="20" s="1"/>
  <c r="F57" i="20"/>
  <c r="F96" i="20" s="1"/>
  <c r="E57" i="20"/>
  <c r="E96" i="20" s="1"/>
  <c r="D57" i="20"/>
  <c r="D96" i="20" s="1"/>
  <c r="V56" i="20"/>
  <c r="V95" i="20" s="1"/>
  <c r="U56" i="20"/>
  <c r="T56" i="20"/>
  <c r="T95" i="20" s="1"/>
  <c r="S56" i="20"/>
  <c r="R56" i="20"/>
  <c r="Q56" i="20"/>
  <c r="P56" i="20"/>
  <c r="O56" i="20"/>
  <c r="N56" i="20"/>
  <c r="M56" i="20"/>
  <c r="M95" i="20" s="1"/>
  <c r="L56" i="20"/>
  <c r="L95" i="20" s="1"/>
  <c r="K56" i="20"/>
  <c r="K95" i="20" s="1"/>
  <c r="J56" i="20"/>
  <c r="I56" i="20"/>
  <c r="H56" i="20"/>
  <c r="G56" i="20"/>
  <c r="F56" i="20"/>
  <c r="E56" i="20"/>
  <c r="E95" i="20" s="1"/>
  <c r="D56" i="20"/>
  <c r="V55" i="20"/>
  <c r="V94" i="20" s="1"/>
  <c r="U55" i="20"/>
  <c r="U94" i="20" s="1"/>
  <c r="T55" i="20"/>
  <c r="T94" i="20" s="1"/>
  <c r="S55" i="20"/>
  <c r="S94" i="20" s="1"/>
  <c r="R55" i="20"/>
  <c r="Q55" i="20"/>
  <c r="P55" i="20"/>
  <c r="P94" i="20" s="1"/>
  <c r="O55" i="20"/>
  <c r="O94" i="20" s="1"/>
  <c r="N55" i="20"/>
  <c r="N94" i="20" s="1"/>
  <c r="M55" i="20"/>
  <c r="L55" i="20"/>
  <c r="K55" i="20"/>
  <c r="K94" i="20" s="1"/>
  <c r="J55" i="20"/>
  <c r="J94" i="20" s="1"/>
  <c r="I55" i="20"/>
  <c r="I94" i="20" s="1"/>
  <c r="H55" i="20"/>
  <c r="G55" i="20"/>
  <c r="F55" i="20"/>
  <c r="E55" i="20"/>
  <c r="D55" i="20"/>
  <c r="V54" i="20"/>
  <c r="U54" i="20"/>
  <c r="U93" i="20" s="1"/>
  <c r="T54" i="20"/>
  <c r="S54" i="20"/>
  <c r="R54" i="20"/>
  <c r="R93" i="20" s="1"/>
  <c r="Q54" i="20"/>
  <c r="Q93" i="20" s="1"/>
  <c r="P54" i="20"/>
  <c r="O54" i="20"/>
  <c r="O93" i="20" s="1"/>
  <c r="N54" i="20"/>
  <c r="N93" i="20" s="1"/>
  <c r="M54" i="20"/>
  <c r="M93" i="20" s="1"/>
  <c r="L54" i="20"/>
  <c r="K54" i="20"/>
  <c r="J54" i="20"/>
  <c r="I54" i="20"/>
  <c r="I93" i="20" s="1"/>
  <c r="H54" i="20"/>
  <c r="G54" i="20"/>
  <c r="G93" i="20" s="1"/>
  <c r="F54" i="20"/>
  <c r="F93" i="20" s="1"/>
  <c r="E54" i="20"/>
  <c r="E93" i="20" s="1"/>
  <c r="D54" i="20"/>
  <c r="D93" i="20" s="1"/>
  <c r="V53" i="20"/>
  <c r="V82" i="20" s="1"/>
  <c r="U53" i="20"/>
  <c r="T53" i="20"/>
  <c r="T92" i="20" s="1"/>
  <c r="S53" i="20"/>
  <c r="R53" i="20"/>
  <c r="Q53" i="20"/>
  <c r="Q92" i="20" s="1"/>
  <c r="P53" i="20"/>
  <c r="O53" i="20"/>
  <c r="O92" i="20" s="1"/>
  <c r="N53" i="20"/>
  <c r="M53" i="20"/>
  <c r="L53" i="20"/>
  <c r="K53" i="20"/>
  <c r="J53" i="20"/>
  <c r="I53" i="20"/>
  <c r="H53" i="20"/>
  <c r="H92" i="20" s="1"/>
  <c r="G53" i="20"/>
  <c r="F53" i="20"/>
  <c r="F92" i="20" s="1"/>
  <c r="E53" i="20"/>
  <c r="E92" i="20" s="1"/>
  <c r="D53" i="20"/>
  <c r="D92" i="20" s="1"/>
  <c r="V41" i="20"/>
  <c r="U41" i="20"/>
  <c r="T41" i="20"/>
  <c r="S41" i="20"/>
  <c r="R41" i="20"/>
  <c r="Q41" i="20"/>
  <c r="P41" i="20"/>
  <c r="O41" i="20"/>
  <c r="N41" i="20"/>
  <c r="M41" i="20"/>
  <c r="L41" i="20"/>
  <c r="K41" i="20"/>
  <c r="K275" i="20" s="1"/>
  <c r="J41" i="20"/>
  <c r="I41" i="20"/>
  <c r="I198" i="20" s="1"/>
  <c r="H41" i="20"/>
  <c r="G41" i="20"/>
  <c r="G275" i="20" s="1"/>
  <c r="F41" i="20"/>
  <c r="F120" i="20" s="1"/>
  <c r="E41" i="20"/>
  <c r="D41" i="20"/>
  <c r="D275" i="20" s="1"/>
  <c r="V40" i="20"/>
  <c r="V274" i="20" s="1"/>
  <c r="U40" i="20"/>
  <c r="U197" i="20" s="1"/>
  <c r="T40" i="20"/>
  <c r="T197" i="20" s="1"/>
  <c r="S40" i="20"/>
  <c r="S274" i="20" s="1"/>
  <c r="R40" i="20"/>
  <c r="R119" i="20" s="1"/>
  <c r="Q40" i="20"/>
  <c r="Q197" i="20" s="1"/>
  <c r="P40" i="20"/>
  <c r="O40" i="20"/>
  <c r="O119" i="20" s="1"/>
  <c r="N40" i="20"/>
  <c r="M40" i="20"/>
  <c r="M197" i="20" s="1"/>
  <c r="L40" i="20"/>
  <c r="L197" i="20" s="1"/>
  <c r="K40" i="20"/>
  <c r="K274" i="20" s="1"/>
  <c r="J40" i="20"/>
  <c r="J197" i="20" s="1"/>
  <c r="I40" i="20"/>
  <c r="H40" i="20"/>
  <c r="H274" i="20" s="1"/>
  <c r="G40" i="20"/>
  <c r="G274" i="20" s="1"/>
  <c r="F40" i="20"/>
  <c r="E40" i="20"/>
  <c r="E197" i="20" s="1"/>
  <c r="D40" i="20"/>
  <c r="D197" i="20" s="1"/>
  <c r="V39" i="20"/>
  <c r="V273" i="20" s="1"/>
  <c r="U39" i="20"/>
  <c r="T39" i="20"/>
  <c r="S39" i="20"/>
  <c r="R39" i="20"/>
  <c r="R196" i="20" s="1"/>
  <c r="Q39" i="20"/>
  <c r="Q196" i="20" s="1"/>
  <c r="P39" i="20"/>
  <c r="O39" i="20"/>
  <c r="O196" i="20" s="1"/>
  <c r="N39" i="20"/>
  <c r="M39" i="20"/>
  <c r="L39" i="20"/>
  <c r="K39" i="20"/>
  <c r="K273" i="20" s="1"/>
  <c r="J39" i="20"/>
  <c r="J273" i="20" s="1"/>
  <c r="I39" i="20"/>
  <c r="H39" i="20"/>
  <c r="G39" i="20"/>
  <c r="G196" i="20" s="1"/>
  <c r="F39" i="20"/>
  <c r="F273" i="20" s="1"/>
  <c r="E39" i="20"/>
  <c r="E118" i="20" s="1"/>
  <c r="D39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V37" i="20"/>
  <c r="U37" i="20"/>
  <c r="U194" i="20" s="1"/>
  <c r="T37" i="20"/>
  <c r="T271" i="20" s="1"/>
  <c r="S37" i="20"/>
  <c r="S271" i="20" s="1"/>
  <c r="R37" i="20"/>
  <c r="R116" i="20" s="1"/>
  <c r="Q37" i="20"/>
  <c r="P37" i="20"/>
  <c r="P271" i="20" s="1"/>
  <c r="O37" i="20"/>
  <c r="O271" i="20" s="1"/>
  <c r="N37" i="20"/>
  <c r="N194" i="20" s="1"/>
  <c r="M37" i="20"/>
  <c r="M194" i="20" s="1"/>
  <c r="L37" i="20"/>
  <c r="L271" i="20" s="1"/>
  <c r="K37" i="20"/>
  <c r="J37" i="20"/>
  <c r="I37" i="20"/>
  <c r="H37" i="20"/>
  <c r="H194" i="20" s="1"/>
  <c r="G37" i="20"/>
  <c r="G271" i="20" s="1"/>
  <c r="F37" i="20"/>
  <c r="F271" i="20" s="1"/>
  <c r="E37" i="20"/>
  <c r="E194" i="20" s="1"/>
  <c r="D37" i="20"/>
  <c r="V36" i="20"/>
  <c r="V270" i="20" s="1"/>
  <c r="U36" i="20"/>
  <c r="U115" i="20" s="1"/>
  <c r="T36" i="20"/>
  <c r="S36" i="20"/>
  <c r="S270" i="20" s="1"/>
  <c r="R36" i="20"/>
  <c r="Q36" i="20"/>
  <c r="Q193" i="20" s="1"/>
  <c r="P36" i="20"/>
  <c r="P193" i="20" s="1"/>
  <c r="O36" i="20"/>
  <c r="O270" i="20" s="1"/>
  <c r="N36" i="20"/>
  <c r="N270" i="20" s="1"/>
  <c r="M36" i="20"/>
  <c r="M193" i="20" s="1"/>
  <c r="L36" i="20"/>
  <c r="L115" i="20" s="1"/>
  <c r="K36" i="20"/>
  <c r="J36" i="20"/>
  <c r="I36" i="20"/>
  <c r="I193" i="20" s="1"/>
  <c r="H36" i="20"/>
  <c r="H193" i="20" s="1"/>
  <c r="G36" i="20"/>
  <c r="G270" i="20" s="1"/>
  <c r="F36" i="20"/>
  <c r="F270" i="20" s="1"/>
  <c r="E36" i="20"/>
  <c r="D36" i="20"/>
  <c r="D270" i="20" s="1"/>
  <c r="V35" i="20"/>
  <c r="V269" i="20" s="1"/>
  <c r="U35" i="20"/>
  <c r="U269" i="20" s="1"/>
  <c r="T35" i="20"/>
  <c r="T114" i="20" s="1"/>
  <c r="S35" i="20"/>
  <c r="S192" i="20" s="1"/>
  <c r="R35" i="20"/>
  <c r="R269" i="20" s="1"/>
  <c r="Q35" i="20"/>
  <c r="P35" i="20"/>
  <c r="O35" i="20"/>
  <c r="N35" i="20"/>
  <c r="N114" i="20" s="1"/>
  <c r="M35" i="20"/>
  <c r="M114" i="20" s="1"/>
  <c r="L35" i="20"/>
  <c r="K35" i="20"/>
  <c r="K192" i="20" s="1"/>
  <c r="J35" i="20"/>
  <c r="J269" i="20" s="1"/>
  <c r="I35" i="20"/>
  <c r="I269" i="20" s="1"/>
  <c r="H35" i="20"/>
  <c r="G35" i="20"/>
  <c r="G269" i="20" s="1"/>
  <c r="F35" i="20"/>
  <c r="E35" i="20"/>
  <c r="D35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V32" i="20"/>
  <c r="U32" i="20"/>
  <c r="T32" i="20"/>
  <c r="T189" i="20" s="1"/>
  <c r="S32" i="20"/>
  <c r="R32" i="20"/>
  <c r="R189" i="20" s="1"/>
  <c r="Q32" i="20"/>
  <c r="P32" i="20"/>
  <c r="P266" i="20" s="1"/>
  <c r="O32" i="20"/>
  <c r="N32" i="20"/>
  <c r="M32" i="20"/>
  <c r="M189" i="20" s="1"/>
  <c r="L32" i="20"/>
  <c r="L189" i="20" s="1"/>
  <c r="K32" i="20"/>
  <c r="K266" i="20" s="1"/>
  <c r="J32" i="20"/>
  <c r="I32" i="20"/>
  <c r="H32" i="20"/>
  <c r="H189" i="20" s="1"/>
  <c r="G32" i="20"/>
  <c r="F32" i="20"/>
  <c r="E32" i="20"/>
  <c r="E189" i="20" s="1"/>
  <c r="D32" i="20"/>
  <c r="D189" i="20" s="1"/>
  <c r="V31" i="20"/>
  <c r="V265" i="20" s="1"/>
  <c r="U31" i="20"/>
  <c r="T31" i="20"/>
  <c r="T110" i="20" s="1"/>
  <c r="S31" i="20"/>
  <c r="S265" i="20" s="1"/>
  <c r="R31" i="20"/>
  <c r="R265" i="20" s="1"/>
  <c r="Q31" i="20"/>
  <c r="P31" i="20"/>
  <c r="P110" i="20" s="1"/>
  <c r="O31" i="20"/>
  <c r="O188" i="20" s="1"/>
  <c r="N31" i="20"/>
  <c r="N265" i="20" s="1"/>
  <c r="M31" i="20"/>
  <c r="L31" i="20"/>
  <c r="K31" i="20"/>
  <c r="K110" i="20" s="1"/>
  <c r="J31" i="20"/>
  <c r="J110" i="20" s="1"/>
  <c r="I31" i="20"/>
  <c r="I110" i="20" s="1"/>
  <c r="H31" i="20"/>
  <c r="G31" i="20"/>
  <c r="G188" i="20" s="1"/>
  <c r="F31" i="20"/>
  <c r="F265" i="20" s="1"/>
  <c r="E31" i="20"/>
  <c r="E265" i="20" s="1"/>
  <c r="D31" i="20"/>
  <c r="V30" i="20"/>
  <c r="V264" i="20" s="1"/>
  <c r="U30" i="20"/>
  <c r="U264" i="20" s="1"/>
  <c r="T30" i="20"/>
  <c r="T109" i="20" s="1"/>
  <c r="S30" i="20"/>
  <c r="S187" i="20" s="1"/>
  <c r="R30" i="20"/>
  <c r="R187" i="20" s="1"/>
  <c r="Q30" i="20"/>
  <c r="Q264" i="20" s="1"/>
  <c r="P30" i="20"/>
  <c r="P264" i="20" s="1"/>
  <c r="O30" i="20"/>
  <c r="N30" i="20"/>
  <c r="M30" i="20"/>
  <c r="L30" i="20"/>
  <c r="K30" i="20"/>
  <c r="K264" i="20" s="1"/>
  <c r="J30" i="20"/>
  <c r="J187" i="20" s="1"/>
  <c r="I30" i="20"/>
  <c r="H30" i="20"/>
  <c r="H264" i="20" s="1"/>
  <c r="G30" i="20"/>
  <c r="F30" i="20"/>
  <c r="F187" i="20" s="1"/>
  <c r="E30" i="20"/>
  <c r="D30" i="20"/>
  <c r="D264" i="20" s="1"/>
  <c r="V29" i="20"/>
  <c r="V186" i="20" s="1"/>
  <c r="U29" i="20"/>
  <c r="U186" i="20" s="1"/>
  <c r="T29" i="20"/>
  <c r="T263" i="20" s="1"/>
  <c r="S29" i="20"/>
  <c r="R29" i="20"/>
  <c r="R186" i="20" s="1"/>
  <c r="Q29" i="20"/>
  <c r="P29" i="20"/>
  <c r="O29" i="20"/>
  <c r="N29" i="20"/>
  <c r="M29" i="20"/>
  <c r="M186" i="20" s="1"/>
  <c r="L29" i="20"/>
  <c r="L263" i="20" s="1"/>
  <c r="K29" i="20"/>
  <c r="K263" i="20" s="1"/>
  <c r="J29" i="20"/>
  <c r="J108" i="20" s="1"/>
  <c r="I29" i="20"/>
  <c r="I263" i="20" s="1"/>
  <c r="H29" i="20"/>
  <c r="G29" i="20"/>
  <c r="F29" i="20"/>
  <c r="F186" i="20" s="1"/>
  <c r="E29" i="20"/>
  <c r="E186" i="20" s="1"/>
  <c r="D29" i="20"/>
  <c r="D263" i="20" s="1"/>
  <c r="V28" i="20"/>
  <c r="U28" i="20"/>
  <c r="T28" i="20"/>
  <c r="S28" i="20"/>
  <c r="R28" i="20"/>
  <c r="Q28" i="20"/>
  <c r="P28" i="20"/>
  <c r="P185" i="20" s="1"/>
  <c r="O28" i="20"/>
  <c r="O262" i="20" s="1"/>
  <c r="N28" i="20"/>
  <c r="N262" i="20" s="1"/>
  <c r="M28" i="20"/>
  <c r="M107" i="20" s="1"/>
  <c r="L28" i="20"/>
  <c r="L262" i="20" s="1"/>
  <c r="K28" i="20"/>
  <c r="J28" i="20"/>
  <c r="J262" i="20" s="1"/>
  <c r="I28" i="20"/>
  <c r="I185" i="20" s="1"/>
  <c r="H28" i="20"/>
  <c r="H185" i="20" s="1"/>
  <c r="G28" i="20"/>
  <c r="G262" i="20" s="1"/>
  <c r="F28" i="20"/>
  <c r="E28" i="20"/>
  <c r="D28" i="20"/>
  <c r="D185" i="20" s="1"/>
  <c r="V27" i="20"/>
  <c r="V106" i="20" s="1"/>
  <c r="U27" i="20"/>
  <c r="T27" i="20"/>
  <c r="S27" i="20"/>
  <c r="S184" i="20" s="1"/>
  <c r="R27" i="20"/>
  <c r="Q27" i="20"/>
  <c r="Q261" i="20" s="1"/>
  <c r="P27" i="20"/>
  <c r="O27" i="20"/>
  <c r="N27" i="20"/>
  <c r="M27" i="20"/>
  <c r="M261" i="20" s="1"/>
  <c r="L27" i="20"/>
  <c r="L184" i="20" s="1"/>
  <c r="K27" i="20"/>
  <c r="K184" i="20" s="1"/>
  <c r="J27" i="20"/>
  <c r="J261" i="20" s="1"/>
  <c r="I27" i="20"/>
  <c r="H27" i="20"/>
  <c r="G27" i="20"/>
  <c r="F27" i="20"/>
  <c r="E27" i="20"/>
  <c r="E184" i="20" s="1"/>
  <c r="D27" i="20"/>
  <c r="D184" i="20" s="1"/>
  <c r="V26" i="20"/>
  <c r="V183" i="20" s="1"/>
  <c r="U26" i="20"/>
  <c r="T26" i="20"/>
  <c r="T260" i="20" s="1"/>
  <c r="S26" i="20"/>
  <c r="R26" i="20"/>
  <c r="R260" i="20" s="1"/>
  <c r="Q26" i="20"/>
  <c r="Q260" i="20" s="1"/>
  <c r="P26" i="20"/>
  <c r="O26" i="20"/>
  <c r="O183" i="20" s="1"/>
  <c r="N26" i="20"/>
  <c r="N183" i="20" s="1"/>
  <c r="M26" i="20"/>
  <c r="M260" i="20" s="1"/>
  <c r="L26" i="20"/>
  <c r="L260" i="20" s="1"/>
  <c r="K26" i="20"/>
  <c r="J26" i="20"/>
  <c r="I26" i="20"/>
  <c r="H26" i="20"/>
  <c r="G26" i="20"/>
  <c r="F26" i="20"/>
  <c r="F183" i="20" s="1"/>
  <c r="E26" i="20"/>
  <c r="D26" i="20"/>
  <c r="D260" i="20" s="1"/>
  <c r="V24" i="20"/>
  <c r="V258" i="20" s="1"/>
  <c r="U24" i="20"/>
  <c r="U258" i="20" s="1"/>
  <c r="T24" i="20"/>
  <c r="S24" i="20"/>
  <c r="R24" i="20"/>
  <c r="Q24" i="20"/>
  <c r="Q258" i="20" s="1"/>
  <c r="P24" i="20"/>
  <c r="O24" i="20"/>
  <c r="N24" i="20"/>
  <c r="N258" i="20" s="1"/>
  <c r="M24" i="20"/>
  <c r="M103" i="20" s="1"/>
  <c r="L24" i="20"/>
  <c r="L181" i="20" s="1"/>
  <c r="K24" i="20"/>
  <c r="K258" i="20" s="1"/>
  <c r="J24" i="20"/>
  <c r="J181" i="20" s="1"/>
  <c r="I24" i="20"/>
  <c r="H24" i="20"/>
  <c r="G24" i="20"/>
  <c r="F24" i="20"/>
  <c r="E24" i="20"/>
  <c r="D24" i="20"/>
  <c r="D258" i="20" s="1"/>
  <c r="V23" i="20"/>
  <c r="V180" i="20" s="1"/>
  <c r="U23" i="20"/>
  <c r="T23" i="20"/>
  <c r="T257" i="20" s="1"/>
  <c r="S23" i="20"/>
  <c r="S102" i="20" s="1"/>
  <c r="R23" i="20"/>
  <c r="Q23" i="20"/>
  <c r="P23" i="20"/>
  <c r="O23" i="20"/>
  <c r="N23" i="20"/>
  <c r="N257" i="20" s="1"/>
  <c r="M23" i="20"/>
  <c r="M180" i="20" s="1"/>
  <c r="L23" i="20"/>
  <c r="K23" i="20"/>
  <c r="J23" i="20"/>
  <c r="J102" i="20" s="1"/>
  <c r="I23" i="20"/>
  <c r="I180" i="20" s="1"/>
  <c r="H23" i="20"/>
  <c r="G23" i="20"/>
  <c r="F23" i="20"/>
  <c r="F180" i="20" s="1"/>
  <c r="E23" i="20"/>
  <c r="D23" i="20"/>
  <c r="D257" i="20" s="1"/>
  <c r="V22" i="20"/>
  <c r="V101" i="20" s="1"/>
  <c r="U22" i="20"/>
  <c r="U256" i="20" s="1"/>
  <c r="T22" i="20"/>
  <c r="T256" i="20" s="1"/>
  <c r="S22" i="20"/>
  <c r="R22" i="20"/>
  <c r="Q22" i="20"/>
  <c r="P22" i="20"/>
  <c r="P179" i="20" s="1"/>
  <c r="O22" i="20"/>
  <c r="N22" i="20"/>
  <c r="M22" i="20"/>
  <c r="M256" i="20" s="1"/>
  <c r="L22" i="20"/>
  <c r="K22" i="20"/>
  <c r="K256" i="20" s="1"/>
  <c r="J22" i="20"/>
  <c r="J256" i="20" s="1"/>
  <c r="I22" i="20"/>
  <c r="I179" i="20" s="1"/>
  <c r="H22" i="20"/>
  <c r="G22" i="20"/>
  <c r="G256" i="20" s="1"/>
  <c r="F22" i="20"/>
  <c r="E22" i="20"/>
  <c r="D22" i="20"/>
  <c r="V21" i="20"/>
  <c r="U21" i="20"/>
  <c r="T21" i="20"/>
  <c r="S21" i="20"/>
  <c r="S178" i="20" s="1"/>
  <c r="R21" i="20"/>
  <c r="Q21" i="20"/>
  <c r="Q255" i="20" s="1"/>
  <c r="P21" i="20"/>
  <c r="P100" i="20" s="1"/>
  <c r="O21" i="20"/>
  <c r="N21" i="20"/>
  <c r="N255" i="20" s="1"/>
  <c r="M21" i="20"/>
  <c r="M255" i="20" s="1"/>
  <c r="L21" i="20"/>
  <c r="L178" i="20" s="1"/>
  <c r="K21" i="20"/>
  <c r="K255" i="20" s="1"/>
  <c r="J21" i="20"/>
  <c r="J255" i="20" s="1"/>
  <c r="I21" i="20"/>
  <c r="H21" i="20"/>
  <c r="H255" i="20" s="1"/>
  <c r="G21" i="20"/>
  <c r="F21" i="20"/>
  <c r="F100" i="20" s="1"/>
  <c r="E21" i="20"/>
  <c r="D21" i="20"/>
  <c r="V20" i="20"/>
  <c r="U20" i="20"/>
  <c r="T20" i="20"/>
  <c r="S20" i="20"/>
  <c r="R20" i="20"/>
  <c r="Q20" i="20"/>
  <c r="P20" i="20"/>
  <c r="O20" i="20"/>
  <c r="O177" i="20" s="1"/>
  <c r="N20" i="20"/>
  <c r="N254" i="20" s="1"/>
  <c r="M20" i="20"/>
  <c r="M254" i="20" s="1"/>
  <c r="L20" i="20"/>
  <c r="K20" i="20"/>
  <c r="K177" i="20" s="1"/>
  <c r="J20" i="20"/>
  <c r="I20" i="20"/>
  <c r="I99" i="20" s="1"/>
  <c r="H20" i="20"/>
  <c r="H99" i="20" s="1"/>
  <c r="G20" i="20"/>
  <c r="F20" i="20"/>
  <c r="F177" i="20" s="1"/>
  <c r="E20" i="20"/>
  <c r="D20" i="20"/>
  <c r="V19" i="20"/>
  <c r="U19" i="20"/>
  <c r="T19" i="20"/>
  <c r="T253" i="20" s="1"/>
  <c r="S19" i="20"/>
  <c r="R19" i="20"/>
  <c r="R176" i="20" s="1"/>
  <c r="Q19" i="20"/>
  <c r="Q98" i="20" s="1"/>
  <c r="P19" i="20"/>
  <c r="P253" i="20" s="1"/>
  <c r="O19" i="20"/>
  <c r="N19" i="20"/>
  <c r="M19" i="20"/>
  <c r="M176" i="20" s="1"/>
  <c r="L19" i="20"/>
  <c r="L98" i="20" s="1"/>
  <c r="K19" i="20"/>
  <c r="K98" i="20" s="1"/>
  <c r="J19" i="20"/>
  <c r="I19" i="20"/>
  <c r="I176" i="20" s="1"/>
  <c r="H19" i="20"/>
  <c r="G19" i="20"/>
  <c r="G253" i="20" s="1"/>
  <c r="F19" i="20"/>
  <c r="E19" i="20"/>
  <c r="D19" i="20"/>
  <c r="V18" i="20"/>
  <c r="U18" i="20"/>
  <c r="U175" i="20" s="1"/>
  <c r="T18" i="20"/>
  <c r="S18" i="20"/>
  <c r="S252" i="20" s="1"/>
  <c r="R18" i="20"/>
  <c r="Q18" i="20"/>
  <c r="Q252" i="20" s="1"/>
  <c r="P18" i="20"/>
  <c r="P252" i="20" s="1"/>
  <c r="O18" i="20"/>
  <c r="N18" i="20"/>
  <c r="N175" i="20" s="1"/>
  <c r="M18" i="20"/>
  <c r="L18" i="20"/>
  <c r="L175" i="20" s="1"/>
  <c r="K18" i="20"/>
  <c r="J18" i="20"/>
  <c r="I18" i="20"/>
  <c r="H18" i="20"/>
  <c r="H252" i="20" s="1"/>
  <c r="G18" i="20"/>
  <c r="G252" i="20" s="1"/>
  <c r="F18" i="20"/>
  <c r="E18" i="20"/>
  <c r="E175" i="20" s="1"/>
  <c r="D18" i="20"/>
  <c r="D97" i="20" s="1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V16" i="20"/>
  <c r="V173" i="20" s="1"/>
  <c r="U16" i="20"/>
  <c r="T16" i="20"/>
  <c r="S16" i="20"/>
  <c r="R16" i="20"/>
  <c r="R173" i="20" s="1"/>
  <c r="Q16" i="20"/>
  <c r="P16" i="20"/>
  <c r="O16" i="20"/>
  <c r="N16" i="20"/>
  <c r="M16" i="20"/>
  <c r="M250" i="20" s="1"/>
  <c r="L16" i="20"/>
  <c r="K16" i="20"/>
  <c r="K173" i="20" s="1"/>
  <c r="J16" i="20"/>
  <c r="J250" i="20" s="1"/>
  <c r="I16" i="20"/>
  <c r="I250" i="20" s="1"/>
  <c r="H16" i="20"/>
  <c r="H95" i="20" s="1"/>
  <c r="G16" i="20"/>
  <c r="G250" i="20" s="1"/>
  <c r="F16" i="20"/>
  <c r="F173" i="20" s="1"/>
  <c r="E16" i="20"/>
  <c r="D16" i="20"/>
  <c r="D173" i="20" s="1"/>
  <c r="V15" i="20"/>
  <c r="U15" i="20"/>
  <c r="U42" i="20" s="1"/>
  <c r="T15" i="20"/>
  <c r="S15" i="20"/>
  <c r="S42" i="20" s="1"/>
  <c r="R15" i="20"/>
  <c r="Q15" i="20"/>
  <c r="P15" i="20"/>
  <c r="O15" i="20"/>
  <c r="N15" i="20"/>
  <c r="M15" i="20"/>
  <c r="M249" i="20" s="1"/>
  <c r="L15" i="20"/>
  <c r="L249" i="20" s="1"/>
  <c r="K15" i="20"/>
  <c r="J15" i="20"/>
  <c r="J249" i="20" s="1"/>
  <c r="I15" i="20"/>
  <c r="H15" i="20"/>
  <c r="H172" i="20" s="1"/>
  <c r="G15" i="20"/>
  <c r="G172" i="20" s="1"/>
  <c r="F15" i="20"/>
  <c r="E15" i="20"/>
  <c r="D15" i="20"/>
  <c r="V14" i="20"/>
  <c r="U14" i="20"/>
  <c r="T14" i="20"/>
  <c r="T93" i="20" s="1"/>
  <c r="S14" i="20"/>
  <c r="S248" i="20" s="1"/>
  <c r="R14" i="20"/>
  <c r="Q14" i="20"/>
  <c r="Q171" i="20" s="1"/>
  <c r="P14" i="20"/>
  <c r="O14" i="20"/>
  <c r="N14" i="20"/>
  <c r="M14" i="20"/>
  <c r="L14" i="20"/>
  <c r="K14" i="20"/>
  <c r="J14" i="20"/>
  <c r="I14" i="20"/>
  <c r="H14" i="20"/>
  <c r="H42" i="20" s="1"/>
  <c r="G14" i="20"/>
  <c r="F14" i="20"/>
  <c r="E14" i="20"/>
  <c r="D14" i="20"/>
  <c r="V13" i="20"/>
  <c r="U13" i="20"/>
  <c r="T13" i="20"/>
  <c r="S13" i="20"/>
  <c r="R13" i="20"/>
  <c r="Q13" i="20"/>
  <c r="P13" i="20"/>
  <c r="O13" i="20"/>
  <c r="N13" i="20"/>
  <c r="N92" i="20" s="1"/>
  <c r="M13" i="20"/>
  <c r="L13" i="20"/>
  <c r="K13" i="20"/>
  <c r="J13" i="20"/>
  <c r="I13" i="20"/>
  <c r="H13" i="20"/>
  <c r="H247" i="20" s="1"/>
  <c r="G13" i="20"/>
  <c r="F13" i="20"/>
  <c r="E13" i="20"/>
  <c r="D13" i="20"/>
  <c r="C297" i="19"/>
  <c r="E295" i="19"/>
  <c r="K294" i="19"/>
  <c r="H291" i="19"/>
  <c r="H289" i="19"/>
  <c r="H285" i="19"/>
  <c r="H281" i="19"/>
  <c r="H279" i="19"/>
  <c r="D279" i="19"/>
  <c r="E277" i="19"/>
  <c r="H275" i="19"/>
  <c r="H273" i="19"/>
  <c r="H269" i="19"/>
  <c r="H265" i="19"/>
  <c r="C255" i="19"/>
  <c r="K253" i="19"/>
  <c r="J253" i="19"/>
  <c r="I253" i="19"/>
  <c r="H253" i="19"/>
  <c r="G253" i="19"/>
  <c r="F253" i="19"/>
  <c r="E253" i="19"/>
  <c r="D253" i="19"/>
  <c r="D295" i="19" s="1"/>
  <c r="K252" i="19"/>
  <c r="J252" i="19"/>
  <c r="I252" i="19"/>
  <c r="I294" i="19" s="1"/>
  <c r="H252" i="19"/>
  <c r="G252" i="19"/>
  <c r="F252" i="19"/>
  <c r="F294" i="19" s="1"/>
  <c r="E252" i="19"/>
  <c r="E294" i="19" s="1"/>
  <c r="D252" i="19"/>
  <c r="K251" i="19"/>
  <c r="J251" i="19"/>
  <c r="I251" i="19"/>
  <c r="H251" i="19"/>
  <c r="G251" i="19"/>
  <c r="F251" i="19"/>
  <c r="E251" i="19"/>
  <c r="D251" i="19"/>
  <c r="D293" i="19" s="1"/>
  <c r="K250" i="19"/>
  <c r="J250" i="19"/>
  <c r="I250" i="19"/>
  <c r="I292" i="19" s="1"/>
  <c r="H250" i="19"/>
  <c r="G250" i="19"/>
  <c r="F250" i="19"/>
  <c r="F292" i="19" s="1"/>
  <c r="E250" i="19"/>
  <c r="E292" i="19" s="1"/>
  <c r="D250" i="19"/>
  <c r="K249" i="19"/>
  <c r="J249" i="19"/>
  <c r="I249" i="19"/>
  <c r="H249" i="19"/>
  <c r="G249" i="19"/>
  <c r="F249" i="19"/>
  <c r="E249" i="19"/>
  <c r="E291" i="19" s="1"/>
  <c r="D249" i="19"/>
  <c r="K248" i="19"/>
  <c r="J248" i="19"/>
  <c r="I248" i="19"/>
  <c r="I290" i="19" s="1"/>
  <c r="H248" i="19"/>
  <c r="G248" i="19"/>
  <c r="F248" i="19"/>
  <c r="E248" i="19"/>
  <c r="E290" i="19" s="1"/>
  <c r="D248" i="19"/>
  <c r="K247" i="19"/>
  <c r="J247" i="19"/>
  <c r="I247" i="19"/>
  <c r="H247" i="19"/>
  <c r="G247" i="19"/>
  <c r="F247" i="19"/>
  <c r="E247" i="19"/>
  <c r="E289" i="19" s="1"/>
  <c r="D247" i="19"/>
  <c r="D289" i="19" s="1"/>
  <c r="K246" i="19"/>
  <c r="J246" i="19"/>
  <c r="I246" i="19"/>
  <c r="I288" i="19" s="1"/>
  <c r="H246" i="19"/>
  <c r="G246" i="19"/>
  <c r="F246" i="19"/>
  <c r="F288" i="19" s="1"/>
  <c r="E246" i="19"/>
  <c r="E288" i="19" s="1"/>
  <c r="D246" i="19"/>
  <c r="K245" i="19"/>
  <c r="J245" i="19"/>
  <c r="I245" i="19"/>
  <c r="H245" i="19"/>
  <c r="G245" i="19"/>
  <c r="F245" i="19"/>
  <c r="E245" i="19"/>
  <c r="D245" i="19"/>
  <c r="D287" i="19" s="1"/>
  <c r="K244" i="19"/>
  <c r="J244" i="19"/>
  <c r="I244" i="19"/>
  <c r="I286" i="19" s="1"/>
  <c r="H244" i="19"/>
  <c r="G244" i="19"/>
  <c r="F244" i="19"/>
  <c r="F286" i="19" s="1"/>
  <c r="E244" i="19"/>
  <c r="E286" i="19" s="1"/>
  <c r="D244" i="19"/>
  <c r="K243" i="19"/>
  <c r="J243" i="19"/>
  <c r="I243" i="19"/>
  <c r="H243" i="19"/>
  <c r="G243" i="19"/>
  <c r="F243" i="19"/>
  <c r="E243" i="19"/>
  <c r="E285" i="19" s="1"/>
  <c r="D243" i="19"/>
  <c r="K242" i="19"/>
  <c r="J242" i="19"/>
  <c r="I242" i="19"/>
  <c r="I284" i="19" s="1"/>
  <c r="H242" i="19"/>
  <c r="G242" i="19"/>
  <c r="F242" i="19"/>
  <c r="F284" i="19" s="1"/>
  <c r="E242" i="19"/>
  <c r="E284" i="19" s="1"/>
  <c r="D242" i="19"/>
  <c r="K241" i="19"/>
  <c r="J241" i="19"/>
  <c r="I241" i="19"/>
  <c r="H241" i="19"/>
  <c r="H283" i="19" s="1"/>
  <c r="G241" i="19"/>
  <c r="F241" i="19"/>
  <c r="E241" i="19"/>
  <c r="E283" i="19" s="1"/>
  <c r="D241" i="19"/>
  <c r="D283" i="19" s="1"/>
  <c r="K240" i="19"/>
  <c r="J240" i="19"/>
  <c r="I240" i="19"/>
  <c r="I282" i="19" s="1"/>
  <c r="H240" i="19"/>
  <c r="G240" i="19"/>
  <c r="F240" i="19"/>
  <c r="F282" i="19" s="1"/>
  <c r="E240" i="19"/>
  <c r="E282" i="19" s="1"/>
  <c r="D240" i="19"/>
  <c r="D282" i="19" s="1"/>
  <c r="K239" i="19"/>
  <c r="J239" i="19"/>
  <c r="I239" i="19"/>
  <c r="H239" i="19"/>
  <c r="G239" i="19"/>
  <c r="F239" i="19"/>
  <c r="E239" i="19"/>
  <c r="E281" i="19" s="1"/>
  <c r="D239" i="19"/>
  <c r="D281" i="19" s="1"/>
  <c r="K238" i="19"/>
  <c r="J238" i="19"/>
  <c r="I238" i="19"/>
  <c r="I280" i="19" s="1"/>
  <c r="H238" i="19"/>
  <c r="G238" i="19"/>
  <c r="F238" i="19"/>
  <c r="E238" i="19"/>
  <c r="E280" i="19" s="1"/>
  <c r="D238" i="19"/>
  <c r="K237" i="19"/>
  <c r="J237" i="19"/>
  <c r="I237" i="19"/>
  <c r="H237" i="19"/>
  <c r="G237" i="19"/>
  <c r="G279" i="19" s="1"/>
  <c r="F237" i="19"/>
  <c r="E237" i="19"/>
  <c r="E279" i="19" s="1"/>
  <c r="D237" i="19"/>
  <c r="K236" i="19"/>
  <c r="K278" i="19" s="1"/>
  <c r="J236" i="19"/>
  <c r="I236" i="19"/>
  <c r="I278" i="19" s="1"/>
  <c r="H236" i="19"/>
  <c r="G236" i="19"/>
  <c r="F236" i="19"/>
  <c r="F278" i="19" s="1"/>
  <c r="E236" i="19"/>
  <c r="E278" i="19" s="1"/>
  <c r="D236" i="19"/>
  <c r="K235" i="19"/>
  <c r="J235" i="19"/>
  <c r="I235" i="19"/>
  <c r="H235" i="19"/>
  <c r="H277" i="19" s="1"/>
  <c r="G235" i="19"/>
  <c r="G277" i="19" s="1"/>
  <c r="F235" i="19"/>
  <c r="F277" i="19" s="1"/>
  <c r="E235" i="19"/>
  <c r="D235" i="19"/>
  <c r="D277" i="19" s="1"/>
  <c r="K234" i="19"/>
  <c r="J234" i="19"/>
  <c r="I234" i="19"/>
  <c r="I276" i="19" s="1"/>
  <c r="H234" i="19"/>
  <c r="G234" i="19"/>
  <c r="F234" i="19"/>
  <c r="F276" i="19" s="1"/>
  <c r="E234" i="19"/>
  <c r="E276" i="19" s="1"/>
  <c r="D234" i="19"/>
  <c r="K233" i="19"/>
  <c r="J233" i="19"/>
  <c r="I233" i="19"/>
  <c r="H233" i="19"/>
  <c r="G233" i="19"/>
  <c r="G275" i="19" s="1"/>
  <c r="F233" i="19"/>
  <c r="E233" i="19"/>
  <c r="E275" i="19" s="1"/>
  <c r="D233" i="19"/>
  <c r="K232" i="19"/>
  <c r="J232" i="19"/>
  <c r="I232" i="19"/>
  <c r="I274" i="19" s="1"/>
  <c r="H232" i="19"/>
  <c r="G232" i="19"/>
  <c r="F232" i="19"/>
  <c r="E232" i="19"/>
  <c r="E274" i="19" s="1"/>
  <c r="D232" i="19"/>
  <c r="K231" i="19"/>
  <c r="J231" i="19"/>
  <c r="I231" i="19"/>
  <c r="H231" i="19"/>
  <c r="G231" i="19"/>
  <c r="G273" i="19" s="1"/>
  <c r="F231" i="19"/>
  <c r="E231" i="19"/>
  <c r="E273" i="19" s="1"/>
  <c r="D231" i="19"/>
  <c r="K230" i="19"/>
  <c r="J230" i="19"/>
  <c r="I230" i="19"/>
  <c r="I272" i="19" s="1"/>
  <c r="H230" i="19"/>
  <c r="G230" i="19"/>
  <c r="F230" i="19"/>
  <c r="F272" i="19" s="1"/>
  <c r="E230" i="19"/>
  <c r="E272" i="19" s="1"/>
  <c r="D230" i="19"/>
  <c r="K229" i="19"/>
  <c r="J229" i="19"/>
  <c r="I229" i="19"/>
  <c r="H229" i="19"/>
  <c r="G229" i="19"/>
  <c r="G271" i="19" s="1"/>
  <c r="F229" i="19"/>
  <c r="E229" i="19"/>
  <c r="E271" i="19" s="1"/>
  <c r="D229" i="19"/>
  <c r="K228" i="19"/>
  <c r="J228" i="19"/>
  <c r="I228" i="19"/>
  <c r="I270" i="19" s="1"/>
  <c r="H228" i="19"/>
  <c r="G228" i="19"/>
  <c r="F228" i="19"/>
  <c r="F270" i="19" s="1"/>
  <c r="E228" i="19"/>
  <c r="E270" i="19" s="1"/>
  <c r="D228" i="19"/>
  <c r="K227" i="19"/>
  <c r="J227" i="19"/>
  <c r="I227" i="19"/>
  <c r="H227" i="19"/>
  <c r="G227" i="19"/>
  <c r="G269" i="19" s="1"/>
  <c r="F227" i="19"/>
  <c r="E227" i="19"/>
  <c r="E269" i="19" s="1"/>
  <c r="D227" i="19"/>
  <c r="K226" i="19"/>
  <c r="J226" i="19"/>
  <c r="I226" i="19"/>
  <c r="I268" i="19" s="1"/>
  <c r="H226" i="19"/>
  <c r="G226" i="19"/>
  <c r="F226" i="19"/>
  <c r="F268" i="19" s="1"/>
  <c r="E226" i="19"/>
  <c r="E268" i="19" s="1"/>
  <c r="D226" i="19"/>
  <c r="K225" i="19"/>
  <c r="J225" i="19"/>
  <c r="I225" i="19"/>
  <c r="H225" i="19"/>
  <c r="H267" i="19" s="1"/>
  <c r="G225" i="19"/>
  <c r="G267" i="19" s="1"/>
  <c r="F225" i="19"/>
  <c r="E225" i="19"/>
  <c r="E267" i="19" s="1"/>
  <c r="D225" i="19"/>
  <c r="K224" i="19"/>
  <c r="J224" i="19"/>
  <c r="I224" i="19"/>
  <c r="I266" i="19" s="1"/>
  <c r="H224" i="19"/>
  <c r="G224" i="19"/>
  <c r="F224" i="19"/>
  <c r="F266" i="19" s="1"/>
  <c r="E224" i="19"/>
  <c r="E266" i="19" s="1"/>
  <c r="D224" i="19"/>
  <c r="K223" i="19"/>
  <c r="K254" i="19" s="1"/>
  <c r="J223" i="19"/>
  <c r="J254" i="19" s="1"/>
  <c r="I223" i="19"/>
  <c r="H223" i="19"/>
  <c r="H254" i="19" s="1"/>
  <c r="G223" i="19"/>
  <c r="F223" i="19"/>
  <c r="F254" i="19" s="1"/>
  <c r="E223" i="19"/>
  <c r="E265" i="19" s="1"/>
  <c r="D223" i="19"/>
  <c r="C214" i="19"/>
  <c r="G212" i="19"/>
  <c r="H210" i="19"/>
  <c r="D210" i="19"/>
  <c r="G208" i="19"/>
  <c r="F207" i="19"/>
  <c r="D207" i="19"/>
  <c r="H206" i="19"/>
  <c r="H204" i="19"/>
  <c r="H202" i="19"/>
  <c r="D202" i="19"/>
  <c r="G200" i="19"/>
  <c r="F199" i="19"/>
  <c r="D199" i="19"/>
  <c r="H198" i="19"/>
  <c r="H196" i="19"/>
  <c r="H194" i="19"/>
  <c r="G194" i="19"/>
  <c r="D194" i="19"/>
  <c r="G192" i="19"/>
  <c r="H190" i="19"/>
  <c r="H188" i="19"/>
  <c r="H186" i="19"/>
  <c r="G184" i="19"/>
  <c r="F183" i="19"/>
  <c r="H182" i="19"/>
  <c r="C172" i="19"/>
  <c r="H171" i="19"/>
  <c r="K170" i="19"/>
  <c r="J170" i="19"/>
  <c r="I170" i="19"/>
  <c r="H170" i="19"/>
  <c r="H212" i="19" s="1"/>
  <c r="G170" i="19"/>
  <c r="F170" i="19"/>
  <c r="E170" i="19"/>
  <c r="D170" i="19"/>
  <c r="K169" i="19"/>
  <c r="J169" i="19"/>
  <c r="I169" i="19"/>
  <c r="H169" i="19"/>
  <c r="G169" i="19"/>
  <c r="F169" i="19"/>
  <c r="E169" i="19"/>
  <c r="D169" i="19"/>
  <c r="D211" i="19" s="1"/>
  <c r="K168" i="19"/>
  <c r="J168" i="19"/>
  <c r="I168" i="19"/>
  <c r="H168" i="19"/>
  <c r="G168" i="19"/>
  <c r="F168" i="19"/>
  <c r="E168" i="19"/>
  <c r="E210" i="19" s="1"/>
  <c r="D168" i="19"/>
  <c r="K167" i="19"/>
  <c r="J167" i="19"/>
  <c r="I167" i="19"/>
  <c r="H167" i="19"/>
  <c r="G167" i="19"/>
  <c r="G209" i="19" s="1"/>
  <c r="F167" i="19"/>
  <c r="E167" i="19"/>
  <c r="E209" i="19" s="1"/>
  <c r="D167" i="19"/>
  <c r="D209" i="19" s="1"/>
  <c r="K166" i="19"/>
  <c r="J166" i="19"/>
  <c r="I166" i="19"/>
  <c r="H166" i="19"/>
  <c r="G166" i="19"/>
  <c r="F166" i="19"/>
  <c r="E166" i="19"/>
  <c r="E208" i="19" s="1"/>
  <c r="D166" i="19"/>
  <c r="K165" i="19"/>
  <c r="J165" i="19"/>
  <c r="I165" i="19"/>
  <c r="H165" i="19"/>
  <c r="G165" i="19"/>
  <c r="F165" i="19"/>
  <c r="E165" i="19"/>
  <c r="E207" i="19" s="1"/>
  <c r="D165" i="19"/>
  <c r="K164" i="19"/>
  <c r="J164" i="19"/>
  <c r="I164" i="19"/>
  <c r="H164" i="19"/>
  <c r="G164" i="19"/>
  <c r="F164" i="19"/>
  <c r="E164" i="19"/>
  <c r="D164" i="19"/>
  <c r="K163" i="19"/>
  <c r="J163" i="19"/>
  <c r="I163" i="19"/>
  <c r="H163" i="19"/>
  <c r="G163" i="19"/>
  <c r="G205" i="19" s="1"/>
  <c r="F163" i="19"/>
  <c r="E163" i="19"/>
  <c r="E205" i="19" s="1"/>
  <c r="D163" i="19"/>
  <c r="D205" i="19" s="1"/>
  <c r="K162" i="19"/>
  <c r="J162" i="19"/>
  <c r="I162" i="19"/>
  <c r="H162" i="19"/>
  <c r="G162" i="19"/>
  <c r="G204" i="19" s="1"/>
  <c r="F162" i="19"/>
  <c r="E162" i="19"/>
  <c r="E204" i="19" s="1"/>
  <c r="D162" i="19"/>
  <c r="K161" i="19"/>
  <c r="J161" i="19"/>
  <c r="I161" i="19"/>
  <c r="H161" i="19"/>
  <c r="G161" i="19"/>
  <c r="F161" i="19"/>
  <c r="E161" i="19"/>
  <c r="D161" i="19"/>
  <c r="D203" i="19" s="1"/>
  <c r="K160" i="19"/>
  <c r="J160" i="19"/>
  <c r="I160" i="19"/>
  <c r="H160" i="19"/>
  <c r="G160" i="19"/>
  <c r="F160" i="19"/>
  <c r="E160" i="19"/>
  <c r="E202" i="19" s="1"/>
  <c r="D160" i="19"/>
  <c r="K159" i="19"/>
  <c r="J159" i="19"/>
  <c r="I159" i="19"/>
  <c r="H159" i="19"/>
  <c r="G159" i="19"/>
  <c r="G201" i="19" s="1"/>
  <c r="F159" i="19"/>
  <c r="E159" i="19"/>
  <c r="E201" i="19" s="1"/>
  <c r="D159" i="19"/>
  <c r="D201" i="19" s="1"/>
  <c r="K158" i="19"/>
  <c r="J158" i="19"/>
  <c r="I158" i="19"/>
  <c r="H158" i="19"/>
  <c r="G158" i="19"/>
  <c r="F158" i="19"/>
  <c r="E158" i="19"/>
  <c r="E200" i="19" s="1"/>
  <c r="D158" i="19"/>
  <c r="K157" i="19"/>
  <c r="J157" i="19"/>
  <c r="I157" i="19"/>
  <c r="H157" i="19"/>
  <c r="G157" i="19"/>
  <c r="F157" i="19"/>
  <c r="E157" i="19"/>
  <c r="E199" i="19" s="1"/>
  <c r="D157" i="19"/>
  <c r="K156" i="19"/>
  <c r="J156" i="19"/>
  <c r="I156" i="19"/>
  <c r="H156" i="19"/>
  <c r="G156" i="19"/>
  <c r="F156" i="19"/>
  <c r="E156" i="19"/>
  <c r="D156" i="19"/>
  <c r="D198" i="19" s="1"/>
  <c r="K155" i="19"/>
  <c r="J155" i="19"/>
  <c r="I155" i="19"/>
  <c r="H155" i="19"/>
  <c r="G155" i="19"/>
  <c r="G197" i="19" s="1"/>
  <c r="F155" i="19"/>
  <c r="E155" i="19"/>
  <c r="E197" i="19" s="1"/>
  <c r="D155" i="19"/>
  <c r="D197" i="19" s="1"/>
  <c r="K154" i="19"/>
  <c r="J154" i="19"/>
  <c r="I154" i="19"/>
  <c r="H154" i="19"/>
  <c r="G154" i="19"/>
  <c r="G196" i="19" s="1"/>
  <c r="F154" i="19"/>
  <c r="F196" i="19" s="1"/>
  <c r="E154" i="19"/>
  <c r="E196" i="19" s="1"/>
  <c r="D154" i="19"/>
  <c r="K153" i="19"/>
  <c r="J153" i="19"/>
  <c r="I153" i="19"/>
  <c r="H153" i="19"/>
  <c r="G153" i="19"/>
  <c r="F153" i="19"/>
  <c r="E153" i="19"/>
  <c r="D153" i="19"/>
  <c r="D195" i="19" s="1"/>
  <c r="K152" i="19"/>
  <c r="J152" i="19"/>
  <c r="I152" i="19"/>
  <c r="H152" i="19"/>
  <c r="G152" i="19"/>
  <c r="F152" i="19"/>
  <c r="F194" i="19" s="1"/>
  <c r="E152" i="19"/>
  <c r="E194" i="19" s="1"/>
  <c r="D152" i="19"/>
  <c r="K151" i="19"/>
  <c r="J151" i="19"/>
  <c r="I151" i="19"/>
  <c r="H151" i="19"/>
  <c r="G151" i="19"/>
  <c r="G193" i="19" s="1"/>
  <c r="F151" i="19"/>
  <c r="E151" i="19"/>
  <c r="E193" i="19" s="1"/>
  <c r="D151" i="19"/>
  <c r="D193" i="19" s="1"/>
  <c r="K150" i="19"/>
  <c r="J150" i="19"/>
  <c r="I150" i="19"/>
  <c r="H150" i="19"/>
  <c r="G150" i="19"/>
  <c r="F150" i="19"/>
  <c r="E150" i="19"/>
  <c r="E192" i="19" s="1"/>
  <c r="D150" i="19"/>
  <c r="K149" i="19"/>
  <c r="J149" i="19"/>
  <c r="I149" i="19"/>
  <c r="H149" i="19"/>
  <c r="G149" i="19"/>
  <c r="F149" i="19"/>
  <c r="E149" i="19"/>
  <c r="E191" i="19" s="1"/>
  <c r="D149" i="19"/>
  <c r="K148" i="19"/>
  <c r="J148" i="19"/>
  <c r="I148" i="19"/>
  <c r="H148" i="19"/>
  <c r="G148" i="19"/>
  <c r="F148" i="19"/>
  <c r="E148" i="19"/>
  <c r="D148" i="19"/>
  <c r="K147" i="19"/>
  <c r="J147" i="19"/>
  <c r="I147" i="19"/>
  <c r="H147" i="19"/>
  <c r="G147" i="19"/>
  <c r="G189" i="19" s="1"/>
  <c r="F147" i="19"/>
  <c r="E147" i="19"/>
  <c r="E189" i="19" s="1"/>
  <c r="D147" i="19"/>
  <c r="K146" i="19"/>
  <c r="J146" i="19"/>
  <c r="I146" i="19"/>
  <c r="H146" i="19"/>
  <c r="G146" i="19"/>
  <c r="G188" i="19" s="1"/>
  <c r="F146" i="19"/>
  <c r="F188" i="19" s="1"/>
  <c r="E146" i="19"/>
  <c r="E188" i="19" s="1"/>
  <c r="D146" i="19"/>
  <c r="K145" i="19"/>
  <c r="J145" i="19"/>
  <c r="I145" i="19"/>
  <c r="H145" i="19"/>
  <c r="G145" i="19"/>
  <c r="F145" i="19"/>
  <c r="E145" i="19"/>
  <c r="D145" i="19"/>
  <c r="K144" i="19"/>
  <c r="J144" i="19"/>
  <c r="I144" i="19"/>
  <c r="H144" i="19"/>
  <c r="G144" i="19"/>
  <c r="F144" i="19"/>
  <c r="E144" i="19"/>
  <c r="E186" i="19" s="1"/>
  <c r="D144" i="19"/>
  <c r="K143" i="19"/>
  <c r="J143" i="19"/>
  <c r="I143" i="19"/>
  <c r="H143" i="19"/>
  <c r="G143" i="19"/>
  <c r="G185" i="19" s="1"/>
  <c r="F143" i="19"/>
  <c r="E143" i="19"/>
  <c r="E185" i="19" s="1"/>
  <c r="D143" i="19"/>
  <c r="K142" i="19"/>
  <c r="J142" i="19"/>
  <c r="I142" i="19"/>
  <c r="H142" i="19"/>
  <c r="G142" i="19"/>
  <c r="F142" i="19"/>
  <c r="E142" i="19"/>
  <c r="E184" i="19" s="1"/>
  <c r="D142" i="19"/>
  <c r="K141" i="19"/>
  <c r="J141" i="19"/>
  <c r="I141" i="19"/>
  <c r="H141" i="19"/>
  <c r="G141" i="19"/>
  <c r="G171" i="19" s="1"/>
  <c r="F141" i="19"/>
  <c r="E141" i="19"/>
  <c r="E183" i="19" s="1"/>
  <c r="D141" i="19"/>
  <c r="K140" i="19"/>
  <c r="J140" i="19"/>
  <c r="I140" i="19"/>
  <c r="H140" i="19"/>
  <c r="G140" i="19"/>
  <c r="F140" i="19"/>
  <c r="E140" i="19"/>
  <c r="E171" i="19" s="1"/>
  <c r="D140" i="19"/>
  <c r="D171" i="19" s="1"/>
  <c r="C130" i="19"/>
  <c r="I127" i="19"/>
  <c r="G127" i="19"/>
  <c r="H126" i="19"/>
  <c r="K125" i="19"/>
  <c r="G125" i="19"/>
  <c r="H124" i="19"/>
  <c r="F123" i="19"/>
  <c r="D123" i="19"/>
  <c r="H122" i="19"/>
  <c r="I121" i="19"/>
  <c r="G121" i="19"/>
  <c r="K120" i="19"/>
  <c r="H120" i="19"/>
  <c r="K119" i="19"/>
  <c r="D119" i="19"/>
  <c r="I118" i="19"/>
  <c r="H118" i="19"/>
  <c r="G117" i="19"/>
  <c r="H116" i="19"/>
  <c r="K115" i="19"/>
  <c r="I115" i="19"/>
  <c r="F115" i="19"/>
  <c r="I114" i="19"/>
  <c r="K113" i="19"/>
  <c r="E113" i="19"/>
  <c r="H112" i="19"/>
  <c r="I111" i="19"/>
  <c r="G111" i="19"/>
  <c r="D111" i="19"/>
  <c r="H110" i="19"/>
  <c r="K109" i="19"/>
  <c r="I109" i="19"/>
  <c r="H108" i="19"/>
  <c r="G107" i="19"/>
  <c r="I106" i="19"/>
  <c r="H106" i="19"/>
  <c r="K105" i="19"/>
  <c r="I105" i="19"/>
  <c r="G105" i="19"/>
  <c r="H104" i="19"/>
  <c r="K101" i="19"/>
  <c r="I101" i="19"/>
  <c r="G101" i="19"/>
  <c r="H98" i="19"/>
  <c r="C88" i="19"/>
  <c r="K86" i="19"/>
  <c r="J86" i="19"/>
  <c r="I86" i="19"/>
  <c r="I128" i="19" s="1"/>
  <c r="H86" i="19"/>
  <c r="H128" i="19" s="1"/>
  <c r="G86" i="19"/>
  <c r="G128" i="19" s="1"/>
  <c r="F86" i="19"/>
  <c r="E86" i="19"/>
  <c r="E128" i="19" s="1"/>
  <c r="D86" i="19"/>
  <c r="K85" i="19"/>
  <c r="J85" i="19"/>
  <c r="I85" i="19"/>
  <c r="H85" i="19"/>
  <c r="G85" i="19"/>
  <c r="F85" i="19"/>
  <c r="E85" i="19"/>
  <c r="E127" i="19" s="1"/>
  <c r="D85" i="19"/>
  <c r="D127" i="19" s="1"/>
  <c r="K84" i="19"/>
  <c r="J84" i="19"/>
  <c r="I84" i="19"/>
  <c r="I126" i="19" s="1"/>
  <c r="H84" i="19"/>
  <c r="G84" i="19"/>
  <c r="G126" i="19" s="1"/>
  <c r="F84" i="19"/>
  <c r="E84" i="19"/>
  <c r="E126" i="19" s="1"/>
  <c r="D84" i="19"/>
  <c r="K83" i="19"/>
  <c r="J83" i="19"/>
  <c r="I83" i="19"/>
  <c r="I125" i="19" s="1"/>
  <c r="H83" i="19"/>
  <c r="G83" i="19"/>
  <c r="F83" i="19"/>
  <c r="E83" i="19"/>
  <c r="E125" i="19" s="1"/>
  <c r="D83" i="19"/>
  <c r="D125" i="19" s="1"/>
  <c r="K82" i="19"/>
  <c r="J82" i="19"/>
  <c r="I82" i="19"/>
  <c r="I124" i="19" s="1"/>
  <c r="H82" i="19"/>
  <c r="G82" i="19"/>
  <c r="G124" i="19" s="1"/>
  <c r="F82" i="19"/>
  <c r="E82" i="19"/>
  <c r="E124" i="19" s="1"/>
  <c r="D82" i="19"/>
  <c r="D124" i="19" s="1"/>
  <c r="K81" i="19"/>
  <c r="J81" i="19"/>
  <c r="I81" i="19"/>
  <c r="I123" i="19" s="1"/>
  <c r="H81" i="19"/>
  <c r="G81" i="19"/>
  <c r="F81" i="19"/>
  <c r="E81" i="19"/>
  <c r="E123" i="19" s="1"/>
  <c r="D81" i="19"/>
  <c r="K80" i="19"/>
  <c r="J80" i="19"/>
  <c r="I80" i="19"/>
  <c r="I122" i="19" s="1"/>
  <c r="H80" i="19"/>
  <c r="G80" i="19"/>
  <c r="G122" i="19" s="1"/>
  <c r="F80" i="19"/>
  <c r="E80" i="19"/>
  <c r="E122" i="19" s="1"/>
  <c r="D80" i="19"/>
  <c r="K79" i="19"/>
  <c r="J79" i="19"/>
  <c r="I79" i="19"/>
  <c r="H79" i="19"/>
  <c r="G79" i="19"/>
  <c r="F79" i="19"/>
  <c r="E79" i="19"/>
  <c r="E121" i="19" s="1"/>
  <c r="D79" i="19"/>
  <c r="D121" i="19" s="1"/>
  <c r="K78" i="19"/>
  <c r="J78" i="19"/>
  <c r="I78" i="19"/>
  <c r="I120" i="19" s="1"/>
  <c r="H78" i="19"/>
  <c r="G78" i="19"/>
  <c r="G120" i="19" s="1"/>
  <c r="F78" i="19"/>
  <c r="E78" i="19"/>
  <c r="E120" i="19" s="1"/>
  <c r="D78" i="19"/>
  <c r="K77" i="19"/>
  <c r="J77" i="19"/>
  <c r="I77" i="19"/>
  <c r="I119" i="19" s="1"/>
  <c r="H77" i="19"/>
  <c r="G77" i="19"/>
  <c r="F77" i="19"/>
  <c r="E77" i="19"/>
  <c r="E119" i="19" s="1"/>
  <c r="D77" i="19"/>
  <c r="K76" i="19"/>
  <c r="J76" i="19"/>
  <c r="I76" i="19"/>
  <c r="H76" i="19"/>
  <c r="G76" i="19"/>
  <c r="G118" i="19" s="1"/>
  <c r="F76" i="19"/>
  <c r="E76" i="19"/>
  <c r="E118" i="19" s="1"/>
  <c r="D76" i="19"/>
  <c r="K75" i="19"/>
  <c r="J75" i="19"/>
  <c r="I75" i="19"/>
  <c r="I117" i="19" s="1"/>
  <c r="H75" i="19"/>
  <c r="G75" i="19"/>
  <c r="F75" i="19"/>
  <c r="E75" i="19"/>
  <c r="E117" i="19" s="1"/>
  <c r="D75" i="19"/>
  <c r="D117" i="19" s="1"/>
  <c r="K74" i="19"/>
  <c r="J74" i="19"/>
  <c r="I74" i="19"/>
  <c r="I116" i="19" s="1"/>
  <c r="H74" i="19"/>
  <c r="G74" i="19"/>
  <c r="G116" i="19" s="1"/>
  <c r="F74" i="19"/>
  <c r="E74" i="19"/>
  <c r="E116" i="19" s="1"/>
  <c r="D74" i="19"/>
  <c r="K73" i="19"/>
  <c r="J73" i="19"/>
  <c r="I73" i="19"/>
  <c r="H73" i="19"/>
  <c r="G73" i="19"/>
  <c r="G115" i="19" s="1"/>
  <c r="F73" i="19"/>
  <c r="E73" i="19"/>
  <c r="E115" i="19" s="1"/>
  <c r="D73" i="19"/>
  <c r="K72" i="19"/>
  <c r="J72" i="19"/>
  <c r="I72" i="19"/>
  <c r="H72" i="19"/>
  <c r="H114" i="19" s="1"/>
  <c r="G72" i="19"/>
  <c r="G114" i="19" s="1"/>
  <c r="F72" i="19"/>
  <c r="E72" i="19"/>
  <c r="E114" i="19" s="1"/>
  <c r="D72" i="19"/>
  <c r="D114" i="19" s="1"/>
  <c r="K71" i="19"/>
  <c r="J71" i="19"/>
  <c r="I71" i="19"/>
  <c r="I113" i="19" s="1"/>
  <c r="H71" i="19"/>
  <c r="G71" i="19"/>
  <c r="G113" i="19" s="1"/>
  <c r="F71" i="19"/>
  <c r="E71" i="19"/>
  <c r="D71" i="19"/>
  <c r="D113" i="19" s="1"/>
  <c r="K70" i="19"/>
  <c r="J70" i="19"/>
  <c r="I70" i="19"/>
  <c r="I112" i="19" s="1"/>
  <c r="H70" i="19"/>
  <c r="G70" i="19"/>
  <c r="G112" i="19" s="1"/>
  <c r="F70" i="19"/>
  <c r="E70" i="19"/>
  <c r="E112" i="19" s="1"/>
  <c r="D70" i="19"/>
  <c r="K69" i="19"/>
  <c r="J69" i="19"/>
  <c r="I69" i="19"/>
  <c r="H69" i="19"/>
  <c r="G69" i="19"/>
  <c r="F69" i="19"/>
  <c r="E69" i="19"/>
  <c r="E111" i="19" s="1"/>
  <c r="D69" i="19"/>
  <c r="K68" i="19"/>
  <c r="J68" i="19"/>
  <c r="I68" i="19"/>
  <c r="I110" i="19" s="1"/>
  <c r="H68" i="19"/>
  <c r="G68" i="19"/>
  <c r="G110" i="19" s="1"/>
  <c r="F68" i="19"/>
  <c r="F110" i="19" s="1"/>
  <c r="E68" i="19"/>
  <c r="E110" i="19" s="1"/>
  <c r="D68" i="19"/>
  <c r="D110" i="19" s="1"/>
  <c r="K67" i="19"/>
  <c r="J67" i="19"/>
  <c r="I67" i="19"/>
  <c r="H67" i="19"/>
  <c r="G67" i="19"/>
  <c r="F67" i="19"/>
  <c r="E67" i="19"/>
  <c r="E109" i="19" s="1"/>
  <c r="D67" i="19"/>
  <c r="D109" i="19" s="1"/>
  <c r="K66" i="19"/>
  <c r="J66" i="19"/>
  <c r="I66" i="19"/>
  <c r="I108" i="19" s="1"/>
  <c r="H66" i="19"/>
  <c r="G66" i="19"/>
  <c r="G108" i="19" s="1"/>
  <c r="F66" i="19"/>
  <c r="E66" i="19"/>
  <c r="E108" i="19" s="1"/>
  <c r="D66" i="19"/>
  <c r="K65" i="19"/>
  <c r="K107" i="19" s="1"/>
  <c r="J65" i="19"/>
  <c r="I65" i="19"/>
  <c r="I107" i="19" s="1"/>
  <c r="H65" i="19"/>
  <c r="G65" i="19"/>
  <c r="F65" i="19"/>
  <c r="E65" i="19"/>
  <c r="E107" i="19" s="1"/>
  <c r="D65" i="19"/>
  <c r="K64" i="19"/>
  <c r="J64" i="19"/>
  <c r="I64" i="19"/>
  <c r="H64" i="19"/>
  <c r="G64" i="19"/>
  <c r="G106" i="19" s="1"/>
  <c r="F64" i="19"/>
  <c r="E64" i="19"/>
  <c r="E106" i="19" s="1"/>
  <c r="D64" i="19"/>
  <c r="K63" i="19"/>
  <c r="J63" i="19"/>
  <c r="I63" i="19"/>
  <c r="H63" i="19"/>
  <c r="G63" i="19"/>
  <c r="F63" i="19"/>
  <c r="E63" i="19"/>
  <c r="E105" i="19" s="1"/>
  <c r="D63" i="19"/>
  <c r="K62" i="19"/>
  <c r="J62" i="19"/>
  <c r="I62" i="19"/>
  <c r="I104" i="19" s="1"/>
  <c r="H62" i="19"/>
  <c r="G62" i="19"/>
  <c r="G104" i="19" s="1"/>
  <c r="F62" i="19"/>
  <c r="E62" i="19"/>
  <c r="E104" i="19" s="1"/>
  <c r="D62" i="19"/>
  <c r="K61" i="19"/>
  <c r="K103" i="19" s="1"/>
  <c r="J61" i="19"/>
  <c r="J103" i="19" s="1"/>
  <c r="I61" i="19"/>
  <c r="I103" i="19" s="1"/>
  <c r="H61" i="19"/>
  <c r="G61" i="19"/>
  <c r="F61" i="19"/>
  <c r="E61" i="19"/>
  <c r="E103" i="19" s="1"/>
  <c r="D61" i="19"/>
  <c r="K60" i="19"/>
  <c r="J60" i="19"/>
  <c r="I60" i="19"/>
  <c r="I102" i="19" s="1"/>
  <c r="H60" i="19"/>
  <c r="H102" i="19" s="1"/>
  <c r="G60" i="19"/>
  <c r="G102" i="19" s="1"/>
  <c r="F60" i="19"/>
  <c r="E60" i="19"/>
  <c r="E102" i="19" s="1"/>
  <c r="D60" i="19"/>
  <c r="K59" i="19"/>
  <c r="J59" i="19"/>
  <c r="I59" i="19"/>
  <c r="H59" i="19"/>
  <c r="G59" i="19"/>
  <c r="F59" i="19"/>
  <c r="E59" i="19"/>
  <c r="E101" i="19" s="1"/>
  <c r="D59" i="19"/>
  <c r="K58" i="19"/>
  <c r="J58" i="19"/>
  <c r="I58" i="19"/>
  <c r="I100" i="19" s="1"/>
  <c r="H58" i="19"/>
  <c r="H100" i="19" s="1"/>
  <c r="G58" i="19"/>
  <c r="G100" i="19" s="1"/>
  <c r="F58" i="19"/>
  <c r="E58" i="19"/>
  <c r="E100" i="19" s="1"/>
  <c r="D58" i="19"/>
  <c r="K57" i="19"/>
  <c r="K99" i="19" s="1"/>
  <c r="J57" i="19"/>
  <c r="J87" i="19" s="1"/>
  <c r="I57" i="19"/>
  <c r="I99" i="19" s="1"/>
  <c r="H57" i="19"/>
  <c r="H87" i="19" s="1"/>
  <c r="G57" i="19"/>
  <c r="F57" i="19"/>
  <c r="E57" i="19"/>
  <c r="E99" i="19" s="1"/>
  <c r="D57" i="19"/>
  <c r="K56" i="19"/>
  <c r="J56" i="19"/>
  <c r="I56" i="19"/>
  <c r="H56" i="19"/>
  <c r="G56" i="19"/>
  <c r="F56" i="19"/>
  <c r="E56" i="19"/>
  <c r="E98" i="19" s="1"/>
  <c r="D56" i="19"/>
  <c r="K44" i="19"/>
  <c r="J44" i="19"/>
  <c r="J295" i="19" s="1"/>
  <c r="I44" i="19"/>
  <c r="I295" i="19" s="1"/>
  <c r="H44" i="19"/>
  <c r="H295" i="19" s="1"/>
  <c r="G44" i="19"/>
  <c r="F44" i="19"/>
  <c r="F128" i="19" s="1"/>
  <c r="E44" i="19"/>
  <c r="E212" i="19" s="1"/>
  <c r="D44" i="19"/>
  <c r="D212" i="19" s="1"/>
  <c r="K43" i="19"/>
  <c r="K211" i="19" s="1"/>
  <c r="J43" i="19"/>
  <c r="J294" i="19" s="1"/>
  <c r="I43" i="19"/>
  <c r="H43" i="19"/>
  <c r="G43" i="19"/>
  <c r="G294" i="19" s="1"/>
  <c r="F43" i="19"/>
  <c r="F127" i="19" s="1"/>
  <c r="E43" i="19"/>
  <c r="E211" i="19" s="1"/>
  <c r="D43" i="19"/>
  <c r="D294" i="19" s="1"/>
  <c r="K42" i="19"/>
  <c r="J42" i="19"/>
  <c r="J293" i="19" s="1"/>
  <c r="I42" i="19"/>
  <c r="H42" i="19"/>
  <c r="H293" i="19" s="1"/>
  <c r="G42" i="19"/>
  <c r="G210" i="19" s="1"/>
  <c r="F42" i="19"/>
  <c r="E42" i="19"/>
  <c r="E293" i="19" s="1"/>
  <c r="D42" i="19"/>
  <c r="K41" i="19"/>
  <c r="K292" i="19" s="1"/>
  <c r="J41" i="19"/>
  <c r="J292" i="19" s="1"/>
  <c r="I41" i="19"/>
  <c r="H41" i="19"/>
  <c r="G41" i="19"/>
  <c r="G292" i="19" s="1"/>
  <c r="F41" i="19"/>
  <c r="F125" i="19" s="1"/>
  <c r="E41" i="19"/>
  <c r="D41" i="19"/>
  <c r="D292" i="19" s="1"/>
  <c r="K40" i="19"/>
  <c r="K124" i="19" s="1"/>
  <c r="J40" i="19"/>
  <c r="J291" i="19" s="1"/>
  <c r="I40" i="19"/>
  <c r="H40" i="19"/>
  <c r="H208" i="19" s="1"/>
  <c r="G40" i="19"/>
  <c r="F40" i="19"/>
  <c r="F124" i="19" s="1"/>
  <c r="E40" i="19"/>
  <c r="D40" i="19"/>
  <c r="D291" i="19" s="1"/>
  <c r="K39" i="19"/>
  <c r="K290" i="19" s="1"/>
  <c r="J39" i="19"/>
  <c r="J290" i="19" s="1"/>
  <c r="I39" i="19"/>
  <c r="H39" i="19"/>
  <c r="G39" i="19"/>
  <c r="G290" i="19" s="1"/>
  <c r="F39" i="19"/>
  <c r="F290" i="19" s="1"/>
  <c r="E39" i="19"/>
  <c r="D39" i="19"/>
  <c r="D290" i="19" s="1"/>
  <c r="K38" i="19"/>
  <c r="J38" i="19"/>
  <c r="J289" i="19" s="1"/>
  <c r="I38" i="19"/>
  <c r="H38" i="19"/>
  <c r="G38" i="19"/>
  <c r="G206" i="19" s="1"/>
  <c r="F38" i="19"/>
  <c r="F122" i="19" s="1"/>
  <c r="E38" i="19"/>
  <c r="E206" i="19" s="1"/>
  <c r="D38" i="19"/>
  <c r="D206" i="19" s="1"/>
  <c r="K37" i="19"/>
  <c r="K205" i="19" s="1"/>
  <c r="J37" i="19"/>
  <c r="J288" i="19" s="1"/>
  <c r="I37" i="19"/>
  <c r="H37" i="19"/>
  <c r="G37" i="19"/>
  <c r="G288" i="19" s="1"/>
  <c r="F37" i="19"/>
  <c r="E37" i="19"/>
  <c r="D37" i="19"/>
  <c r="D288" i="19" s="1"/>
  <c r="K36" i="19"/>
  <c r="J36" i="19"/>
  <c r="J287" i="19" s="1"/>
  <c r="I36" i="19"/>
  <c r="H36" i="19"/>
  <c r="H287" i="19" s="1"/>
  <c r="G36" i="19"/>
  <c r="F36" i="19"/>
  <c r="F120" i="19" s="1"/>
  <c r="E36" i="19"/>
  <c r="E287" i="19" s="1"/>
  <c r="D36" i="19"/>
  <c r="D204" i="19" s="1"/>
  <c r="K35" i="19"/>
  <c r="K203" i="19" s="1"/>
  <c r="J35" i="19"/>
  <c r="J286" i="19" s="1"/>
  <c r="I35" i="19"/>
  <c r="H35" i="19"/>
  <c r="H119" i="19" s="1"/>
  <c r="G35" i="19"/>
  <c r="G286" i="19" s="1"/>
  <c r="F35" i="19"/>
  <c r="F119" i="19" s="1"/>
  <c r="E35" i="19"/>
  <c r="E203" i="19" s="1"/>
  <c r="D35" i="19"/>
  <c r="D286" i="19" s="1"/>
  <c r="K34" i="19"/>
  <c r="J34" i="19"/>
  <c r="J285" i="19" s="1"/>
  <c r="I34" i="19"/>
  <c r="H34" i="19"/>
  <c r="G34" i="19"/>
  <c r="G202" i="19" s="1"/>
  <c r="F34" i="19"/>
  <c r="F118" i="19" s="1"/>
  <c r="E34" i="19"/>
  <c r="D34" i="19"/>
  <c r="D118" i="19" s="1"/>
  <c r="K33" i="19"/>
  <c r="K284" i="19" s="1"/>
  <c r="J33" i="19"/>
  <c r="J284" i="19" s="1"/>
  <c r="I33" i="19"/>
  <c r="H33" i="19"/>
  <c r="G33" i="19"/>
  <c r="G284" i="19" s="1"/>
  <c r="F33" i="19"/>
  <c r="F117" i="19" s="1"/>
  <c r="E33" i="19"/>
  <c r="D33" i="19"/>
  <c r="D284" i="19" s="1"/>
  <c r="K32" i="19"/>
  <c r="K116" i="19" s="1"/>
  <c r="J32" i="19"/>
  <c r="J283" i="19" s="1"/>
  <c r="I32" i="19"/>
  <c r="H32" i="19"/>
  <c r="H200" i="19" s="1"/>
  <c r="G32" i="19"/>
  <c r="F32" i="19"/>
  <c r="F116" i="19" s="1"/>
  <c r="E32" i="19"/>
  <c r="D32" i="19"/>
  <c r="D116" i="19" s="1"/>
  <c r="K31" i="19"/>
  <c r="K282" i="19" s="1"/>
  <c r="J31" i="19"/>
  <c r="J282" i="19" s="1"/>
  <c r="I31" i="19"/>
  <c r="H31" i="19"/>
  <c r="G31" i="19"/>
  <c r="G282" i="19" s="1"/>
  <c r="F31" i="19"/>
  <c r="E31" i="19"/>
  <c r="D31" i="19"/>
  <c r="D115" i="19" s="1"/>
  <c r="K30" i="19"/>
  <c r="J30" i="19"/>
  <c r="J281" i="19" s="1"/>
  <c r="I30" i="19"/>
  <c r="H30" i="19"/>
  <c r="G30" i="19"/>
  <c r="G198" i="19" s="1"/>
  <c r="F30" i="19"/>
  <c r="E30" i="19"/>
  <c r="E198" i="19" s="1"/>
  <c r="D30" i="19"/>
  <c r="K29" i="19"/>
  <c r="K280" i="19" s="1"/>
  <c r="J29" i="19"/>
  <c r="J280" i="19" s="1"/>
  <c r="I29" i="19"/>
  <c r="H29" i="19"/>
  <c r="G29" i="19"/>
  <c r="G280" i="19" s="1"/>
  <c r="F29" i="19"/>
  <c r="E29" i="19"/>
  <c r="D29" i="19"/>
  <c r="D280" i="19" s="1"/>
  <c r="K28" i="19"/>
  <c r="J28" i="19"/>
  <c r="J279" i="19" s="1"/>
  <c r="I28" i="19"/>
  <c r="H28" i="19"/>
  <c r="G28" i="19"/>
  <c r="F28" i="19"/>
  <c r="F112" i="19" s="1"/>
  <c r="E28" i="19"/>
  <c r="D28" i="19"/>
  <c r="D196" i="19" s="1"/>
  <c r="K27" i="19"/>
  <c r="K195" i="19" s="1"/>
  <c r="J27" i="19"/>
  <c r="J278" i="19" s="1"/>
  <c r="I27" i="19"/>
  <c r="H27" i="19"/>
  <c r="G27" i="19"/>
  <c r="G278" i="19" s="1"/>
  <c r="F27" i="19"/>
  <c r="E27" i="19"/>
  <c r="E195" i="19" s="1"/>
  <c r="D27" i="19"/>
  <c r="D278" i="19" s="1"/>
  <c r="K26" i="19"/>
  <c r="J26" i="19"/>
  <c r="J277" i="19" s="1"/>
  <c r="I26" i="19"/>
  <c r="H26" i="19"/>
  <c r="G26" i="19"/>
  <c r="F26" i="19"/>
  <c r="E26" i="19"/>
  <c r="D26" i="19"/>
  <c r="K25" i="19"/>
  <c r="K276" i="19" s="1"/>
  <c r="J25" i="19"/>
  <c r="J276" i="19" s="1"/>
  <c r="I25" i="19"/>
  <c r="H25" i="19"/>
  <c r="G25" i="19"/>
  <c r="G276" i="19" s="1"/>
  <c r="F25" i="19"/>
  <c r="F109" i="19" s="1"/>
  <c r="E25" i="19"/>
  <c r="D25" i="19"/>
  <c r="D276" i="19" s="1"/>
  <c r="K24" i="19"/>
  <c r="K108" i="19" s="1"/>
  <c r="J24" i="19"/>
  <c r="J275" i="19" s="1"/>
  <c r="I24" i="19"/>
  <c r="H24" i="19"/>
  <c r="H192" i="19" s="1"/>
  <c r="G24" i="19"/>
  <c r="F24" i="19"/>
  <c r="F108" i="19" s="1"/>
  <c r="E24" i="19"/>
  <c r="D24" i="19"/>
  <c r="D192" i="19" s="1"/>
  <c r="K23" i="19"/>
  <c r="K274" i="19" s="1"/>
  <c r="J23" i="19"/>
  <c r="J274" i="19" s="1"/>
  <c r="I23" i="19"/>
  <c r="H23" i="19"/>
  <c r="G23" i="19"/>
  <c r="G274" i="19" s="1"/>
  <c r="F23" i="19"/>
  <c r="F191" i="19" s="1"/>
  <c r="E23" i="19"/>
  <c r="D23" i="19"/>
  <c r="D274" i="19" s="1"/>
  <c r="K22" i="19"/>
  <c r="J22" i="19"/>
  <c r="J273" i="19" s="1"/>
  <c r="I22" i="19"/>
  <c r="H22" i="19"/>
  <c r="G22" i="19"/>
  <c r="G190" i="19" s="1"/>
  <c r="F22" i="19"/>
  <c r="E22" i="19"/>
  <c r="E190" i="19" s="1"/>
  <c r="D22" i="19"/>
  <c r="K21" i="19"/>
  <c r="K189" i="19" s="1"/>
  <c r="J21" i="19"/>
  <c r="J272" i="19" s="1"/>
  <c r="I21" i="19"/>
  <c r="H21" i="19"/>
  <c r="G21" i="19"/>
  <c r="G272" i="19" s="1"/>
  <c r="F21" i="19"/>
  <c r="E21" i="19"/>
  <c r="D21" i="19"/>
  <c r="K20" i="19"/>
  <c r="J20" i="19"/>
  <c r="J271" i="19" s="1"/>
  <c r="I20" i="19"/>
  <c r="H20" i="19"/>
  <c r="H271" i="19" s="1"/>
  <c r="G20" i="19"/>
  <c r="F20" i="19"/>
  <c r="F104" i="19" s="1"/>
  <c r="E20" i="19"/>
  <c r="D20" i="19"/>
  <c r="D188" i="19" s="1"/>
  <c r="K19" i="19"/>
  <c r="K187" i="19" s="1"/>
  <c r="J19" i="19"/>
  <c r="J270" i="19" s="1"/>
  <c r="I19" i="19"/>
  <c r="H19" i="19"/>
  <c r="G19" i="19"/>
  <c r="G270" i="19" s="1"/>
  <c r="F19" i="19"/>
  <c r="F103" i="19" s="1"/>
  <c r="E19" i="19"/>
  <c r="E187" i="19" s="1"/>
  <c r="D19" i="19"/>
  <c r="D270" i="19" s="1"/>
  <c r="K18" i="19"/>
  <c r="K102" i="19" s="1"/>
  <c r="J18" i="19"/>
  <c r="J269" i="19" s="1"/>
  <c r="I18" i="19"/>
  <c r="H18" i="19"/>
  <c r="G18" i="19"/>
  <c r="G186" i="19" s="1"/>
  <c r="F18" i="19"/>
  <c r="E18" i="19"/>
  <c r="D18" i="19"/>
  <c r="D269" i="19" s="1"/>
  <c r="K17" i="19"/>
  <c r="K268" i="19" s="1"/>
  <c r="J17" i="19"/>
  <c r="J268" i="19" s="1"/>
  <c r="I17" i="19"/>
  <c r="H17" i="19"/>
  <c r="G17" i="19"/>
  <c r="G268" i="19" s="1"/>
  <c r="F17" i="19"/>
  <c r="F101" i="19" s="1"/>
  <c r="E17" i="19"/>
  <c r="D17" i="19"/>
  <c r="K16" i="19"/>
  <c r="J16" i="19"/>
  <c r="J267" i="19" s="1"/>
  <c r="I16" i="19"/>
  <c r="H16" i="19"/>
  <c r="H184" i="19" s="1"/>
  <c r="G16" i="19"/>
  <c r="F16" i="19"/>
  <c r="F100" i="19" s="1"/>
  <c r="E16" i="19"/>
  <c r="D16" i="19"/>
  <c r="K15" i="19"/>
  <c r="K266" i="19" s="1"/>
  <c r="J15" i="19"/>
  <c r="J266" i="19" s="1"/>
  <c r="I15" i="19"/>
  <c r="H15" i="19"/>
  <c r="G15" i="19"/>
  <c r="G266" i="19" s="1"/>
  <c r="F15" i="19"/>
  <c r="F99" i="19" s="1"/>
  <c r="E15" i="19"/>
  <c r="D15" i="19"/>
  <c r="D99" i="19" s="1"/>
  <c r="K14" i="19"/>
  <c r="K45" i="19" s="1"/>
  <c r="J14" i="19"/>
  <c r="J265" i="19" s="1"/>
  <c r="I14" i="19"/>
  <c r="H14" i="19"/>
  <c r="G14" i="19"/>
  <c r="G182" i="19" s="1"/>
  <c r="F14" i="19"/>
  <c r="F45" i="19" s="1"/>
  <c r="E14" i="19"/>
  <c r="E45" i="19" s="1"/>
  <c r="D14" i="19"/>
  <c r="D45" i="19" s="1"/>
  <c r="U274" i="18"/>
  <c r="H273" i="18"/>
  <c r="S272" i="18"/>
  <c r="Q272" i="18"/>
  <c r="O272" i="18"/>
  <c r="N272" i="18"/>
  <c r="M272" i="18"/>
  <c r="J272" i="18"/>
  <c r="E272" i="18"/>
  <c r="U263" i="18"/>
  <c r="M262" i="18"/>
  <c r="T258" i="18"/>
  <c r="G256" i="18"/>
  <c r="J252" i="18"/>
  <c r="I250" i="18"/>
  <c r="G248" i="18"/>
  <c r="V236" i="18"/>
  <c r="U236" i="18"/>
  <c r="T236" i="18"/>
  <c r="S236" i="18"/>
  <c r="R236" i="18"/>
  <c r="Q236" i="18"/>
  <c r="Q275" i="18" s="1"/>
  <c r="P236" i="18"/>
  <c r="O236" i="18"/>
  <c r="N236" i="18"/>
  <c r="M236" i="18"/>
  <c r="L236" i="18"/>
  <c r="K236" i="18"/>
  <c r="J236" i="18"/>
  <c r="I236" i="18"/>
  <c r="I275" i="18" s="1"/>
  <c r="H236" i="18"/>
  <c r="G236" i="18"/>
  <c r="F236" i="18"/>
  <c r="E236" i="18"/>
  <c r="D236" i="18"/>
  <c r="V235" i="18"/>
  <c r="U235" i="18"/>
  <c r="T235" i="18"/>
  <c r="T274" i="18" s="1"/>
  <c r="S235" i="18"/>
  <c r="R235" i="18"/>
  <c r="Q235" i="18"/>
  <c r="P235" i="18"/>
  <c r="O235" i="18"/>
  <c r="N235" i="18"/>
  <c r="M235" i="18"/>
  <c r="L235" i="18"/>
  <c r="L274" i="18" s="1"/>
  <c r="K235" i="18"/>
  <c r="J235" i="18"/>
  <c r="I235" i="18"/>
  <c r="H235" i="18"/>
  <c r="G235" i="18"/>
  <c r="F235" i="18"/>
  <c r="E235" i="18"/>
  <c r="D235" i="18"/>
  <c r="D274" i="18" s="1"/>
  <c r="V234" i="18"/>
  <c r="U234" i="18"/>
  <c r="T234" i="18"/>
  <c r="S234" i="18"/>
  <c r="R234" i="18"/>
  <c r="Q234" i="18"/>
  <c r="P234" i="18"/>
  <c r="O234" i="18"/>
  <c r="O273" i="18" s="1"/>
  <c r="N234" i="18"/>
  <c r="M234" i="18"/>
  <c r="L234" i="18"/>
  <c r="K234" i="18"/>
  <c r="J234" i="18"/>
  <c r="I234" i="18"/>
  <c r="H234" i="18"/>
  <c r="G234" i="18"/>
  <c r="G273" i="18" s="1"/>
  <c r="F234" i="18"/>
  <c r="E234" i="18"/>
  <c r="D234" i="18"/>
  <c r="V233" i="18"/>
  <c r="U233" i="18"/>
  <c r="T233" i="18"/>
  <c r="T272" i="18" s="1"/>
  <c r="S233" i="18"/>
  <c r="R233" i="18"/>
  <c r="R272" i="18" s="1"/>
  <c r="Q233" i="18"/>
  <c r="P233" i="18"/>
  <c r="P272" i="18" s="1"/>
  <c r="O233" i="18"/>
  <c r="N233" i="18"/>
  <c r="M233" i="18"/>
  <c r="L233" i="18"/>
  <c r="L272" i="18" s="1"/>
  <c r="K233" i="18"/>
  <c r="K272" i="18" s="1"/>
  <c r="J233" i="18"/>
  <c r="I233" i="18"/>
  <c r="I272" i="18" s="1"/>
  <c r="H233" i="18"/>
  <c r="H272" i="18" s="1"/>
  <c r="G233" i="18"/>
  <c r="G272" i="18" s="1"/>
  <c r="F233" i="18"/>
  <c r="F272" i="18" s="1"/>
  <c r="E233" i="18"/>
  <c r="D233" i="18"/>
  <c r="D272" i="18" s="1"/>
  <c r="V232" i="18"/>
  <c r="U232" i="18"/>
  <c r="U271" i="18" s="1"/>
  <c r="T232" i="18"/>
  <c r="S232" i="18"/>
  <c r="R232" i="18"/>
  <c r="Q232" i="18"/>
  <c r="P232" i="18"/>
  <c r="O232" i="18"/>
  <c r="N232" i="18"/>
  <c r="M232" i="18"/>
  <c r="M271" i="18" s="1"/>
  <c r="L232" i="18"/>
  <c r="K232" i="18"/>
  <c r="J232" i="18"/>
  <c r="I232" i="18"/>
  <c r="H232" i="18"/>
  <c r="G232" i="18"/>
  <c r="F232" i="18"/>
  <c r="E232" i="18"/>
  <c r="E271" i="18" s="1"/>
  <c r="D232" i="18"/>
  <c r="V231" i="18"/>
  <c r="U231" i="18"/>
  <c r="T231" i="18"/>
  <c r="S231" i="18"/>
  <c r="R231" i="18"/>
  <c r="Q231" i="18"/>
  <c r="Q270" i="18" s="1"/>
  <c r="P231" i="18"/>
  <c r="O231" i="18"/>
  <c r="N231" i="18"/>
  <c r="M231" i="18"/>
  <c r="L231" i="18"/>
  <c r="K231" i="18"/>
  <c r="J231" i="18"/>
  <c r="I231" i="18"/>
  <c r="H231" i="18"/>
  <c r="H270" i="18" s="1"/>
  <c r="G231" i="18"/>
  <c r="F231" i="18"/>
  <c r="E231" i="18"/>
  <c r="D231" i="18"/>
  <c r="V230" i="18"/>
  <c r="U230" i="18"/>
  <c r="T230" i="18"/>
  <c r="S230" i="18"/>
  <c r="S269" i="18" s="1"/>
  <c r="R230" i="18"/>
  <c r="Q230" i="18"/>
  <c r="P230" i="18"/>
  <c r="O230" i="18"/>
  <c r="N230" i="18"/>
  <c r="M230" i="18"/>
  <c r="L230" i="18"/>
  <c r="K230" i="18"/>
  <c r="K269" i="18" s="1"/>
  <c r="J230" i="18"/>
  <c r="I230" i="18"/>
  <c r="H230" i="18"/>
  <c r="G230" i="18"/>
  <c r="F230" i="18"/>
  <c r="E230" i="18"/>
  <c r="D230" i="18"/>
  <c r="D269" i="18" s="1"/>
  <c r="V229" i="18"/>
  <c r="U229" i="18"/>
  <c r="T229" i="18"/>
  <c r="S229" i="18"/>
  <c r="R229" i="18"/>
  <c r="Q229" i="18"/>
  <c r="P229" i="18"/>
  <c r="O229" i="18"/>
  <c r="N229" i="18"/>
  <c r="N268" i="18" s="1"/>
  <c r="M229" i="18"/>
  <c r="L229" i="18"/>
  <c r="K229" i="18"/>
  <c r="J229" i="18"/>
  <c r="I229" i="18"/>
  <c r="H229" i="18"/>
  <c r="G229" i="18"/>
  <c r="G268" i="18" s="1"/>
  <c r="F229" i="18"/>
  <c r="F268" i="18" s="1"/>
  <c r="E229" i="18"/>
  <c r="D229" i="18"/>
  <c r="V228" i="18"/>
  <c r="U228" i="18"/>
  <c r="T228" i="18"/>
  <c r="S228" i="18"/>
  <c r="R228" i="18"/>
  <c r="Q228" i="18"/>
  <c r="Q267" i="18" s="1"/>
  <c r="P228" i="18"/>
  <c r="P267" i="18" s="1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V227" i="18"/>
  <c r="U227" i="18"/>
  <c r="T227" i="18"/>
  <c r="T266" i="18" s="1"/>
  <c r="S227" i="18"/>
  <c r="S266" i="18" s="1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D266" i="18" s="1"/>
  <c r="V226" i="18"/>
  <c r="U226" i="18"/>
  <c r="T226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G265" i="18" s="1"/>
  <c r="F226" i="18"/>
  <c r="F265" i="18" s="1"/>
  <c r="E226" i="18"/>
  <c r="D226" i="18"/>
  <c r="V225" i="18"/>
  <c r="U225" i="18"/>
  <c r="T225" i="18"/>
  <c r="S225" i="18"/>
  <c r="R225" i="18"/>
  <c r="R264" i="18" s="1"/>
  <c r="Q225" i="18"/>
  <c r="P225" i="18"/>
  <c r="O225" i="18"/>
  <c r="N225" i="18"/>
  <c r="M225" i="18"/>
  <c r="L225" i="18"/>
  <c r="K225" i="18"/>
  <c r="J225" i="18"/>
  <c r="J264" i="18" s="1"/>
  <c r="I225" i="18"/>
  <c r="H225" i="18"/>
  <c r="G225" i="18"/>
  <c r="F225" i="18"/>
  <c r="E225" i="18"/>
  <c r="D225" i="18"/>
  <c r="V224" i="18"/>
  <c r="U224" i="18"/>
  <c r="T224" i="18"/>
  <c r="S224" i="18"/>
  <c r="R224" i="18"/>
  <c r="Q224" i="18"/>
  <c r="P224" i="18"/>
  <c r="O224" i="18"/>
  <c r="N224" i="18"/>
  <c r="M224" i="18"/>
  <c r="M263" i="18" s="1"/>
  <c r="L224" i="18"/>
  <c r="K224" i="18"/>
  <c r="J224" i="18"/>
  <c r="I224" i="18"/>
  <c r="H224" i="18"/>
  <c r="G224" i="18"/>
  <c r="F224" i="18"/>
  <c r="F263" i="18" s="1"/>
  <c r="E224" i="18"/>
  <c r="D224" i="18"/>
  <c r="V223" i="18"/>
  <c r="U223" i="18"/>
  <c r="T223" i="18"/>
  <c r="S223" i="18"/>
  <c r="R223" i="18"/>
  <c r="Q223" i="18"/>
  <c r="P223" i="18"/>
  <c r="P262" i="18" s="1"/>
  <c r="O223" i="18"/>
  <c r="N223" i="18"/>
  <c r="M223" i="18"/>
  <c r="L223" i="18"/>
  <c r="K223" i="18"/>
  <c r="J223" i="18"/>
  <c r="I223" i="18"/>
  <c r="I262" i="18" s="1"/>
  <c r="H223" i="18"/>
  <c r="G223" i="18"/>
  <c r="F223" i="18"/>
  <c r="E223" i="18"/>
  <c r="D223" i="18"/>
  <c r="V222" i="18"/>
  <c r="U222" i="18"/>
  <c r="T222" i="18"/>
  <c r="S222" i="18"/>
  <c r="S261" i="18" s="1"/>
  <c r="R222" i="18"/>
  <c r="R261" i="18" s="1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V221" i="18"/>
  <c r="V260" i="18" s="1"/>
  <c r="U221" i="18"/>
  <c r="U260" i="18" s="1"/>
  <c r="T221" i="18"/>
  <c r="S221" i="18"/>
  <c r="R221" i="18"/>
  <c r="Q221" i="18"/>
  <c r="P221" i="18"/>
  <c r="P260" i="18" s="1"/>
  <c r="O221" i="18"/>
  <c r="O260" i="18" s="1"/>
  <c r="N221" i="18"/>
  <c r="N260" i="18" s="1"/>
  <c r="M221" i="18"/>
  <c r="L221" i="18"/>
  <c r="K221" i="18"/>
  <c r="J221" i="18"/>
  <c r="I221" i="18"/>
  <c r="H221" i="18"/>
  <c r="G221" i="18"/>
  <c r="F221" i="18"/>
  <c r="F260" i="18" s="1"/>
  <c r="E221" i="18"/>
  <c r="D221" i="18"/>
  <c r="R220" i="18"/>
  <c r="V219" i="18"/>
  <c r="U219" i="18"/>
  <c r="T219" i="18"/>
  <c r="S219" i="18"/>
  <c r="R219" i="18"/>
  <c r="R258" i="18" s="1"/>
  <c r="Q219" i="18"/>
  <c r="Q258" i="18" s="1"/>
  <c r="P219" i="18"/>
  <c r="O219" i="18"/>
  <c r="N219" i="18"/>
  <c r="M219" i="18"/>
  <c r="L219" i="18"/>
  <c r="K219" i="18"/>
  <c r="J219" i="18"/>
  <c r="I219" i="18"/>
  <c r="H219" i="18"/>
  <c r="H258" i="18" s="1"/>
  <c r="G219" i="18"/>
  <c r="F219" i="18"/>
  <c r="E219" i="18"/>
  <c r="D219" i="18"/>
  <c r="V218" i="18"/>
  <c r="U218" i="18"/>
  <c r="T218" i="18"/>
  <c r="S218" i="18"/>
  <c r="R218" i="18"/>
  <c r="Q218" i="18"/>
  <c r="P218" i="18"/>
  <c r="O218" i="18"/>
  <c r="N218" i="18"/>
  <c r="M218" i="18"/>
  <c r="M257" i="18" s="1"/>
  <c r="L218" i="18"/>
  <c r="K218" i="18"/>
  <c r="K257" i="18" s="1"/>
  <c r="J218" i="18"/>
  <c r="I218" i="18"/>
  <c r="H218" i="18"/>
  <c r="G218" i="18"/>
  <c r="F218" i="18"/>
  <c r="E218" i="18"/>
  <c r="D218" i="18"/>
  <c r="V217" i="18"/>
  <c r="U217" i="18"/>
  <c r="T217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V216" i="18"/>
  <c r="U216" i="18"/>
  <c r="T216" i="18"/>
  <c r="S216" i="18"/>
  <c r="R216" i="18"/>
  <c r="Q216" i="18"/>
  <c r="P216" i="18"/>
  <c r="O216" i="18"/>
  <c r="N216" i="18"/>
  <c r="M216" i="18"/>
  <c r="L216" i="18"/>
  <c r="K216" i="18"/>
  <c r="K255" i="18" s="1"/>
  <c r="J216" i="18"/>
  <c r="I216" i="18"/>
  <c r="H216" i="18"/>
  <c r="G216" i="18"/>
  <c r="F216" i="18"/>
  <c r="E216" i="18"/>
  <c r="D216" i="18"/>
  <c r="V215" i="18"/>
  <c r="U215" i="18"/>
  <c r="T215" i="18"/>
  <c r="S215" i="18"/>
  <c r="R215" i="18"/>
  <c r="Q215" i="18"/>
  <c r="P215" i="18"/>
  <c r="O215" i="18"/>
  <c r="N215" i="18"/>
  <c r="N254" i="18" s="1"/>
  <c r="M215" i="18"/>
  <c r="L215" i="18"/>
  <c r="K215" i="18"/>
  <c r="J215" i="18"/>
  <c r="I215" i="18"/>
  <c r="H215" i="18"/>
  <c r="G215" i="18"/>
  <c r="F215" i="18"/>
  <c r="F237" i="18" s="1"/>
  <c r="F276" i="18" s="1"/>
  <c r="E215" i="18"/>
  <c r="D215" i="18"/>
  <c r="D254" i="18" s="1"/>
  <c r="V214" i="18"/>
  <c r="U214" i="18"/>
  <c r="T214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H253" i="18" s="1"/>
  <c r="G214" i="18"/>
  <c r="F214" i="18"/>
  <c r="E214" i="18"/>
  <c r="D214" i="18"/>
  <c r="V213" i="18"/>
  <c r="U213" i="18"/>
  <c r="T213" i="18"/>
  <c r="T252" i="18" s="1"/>
  <c r="S213" i="18"/>
  <c r="S252" i="18" s="1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V212" i="18"/>
  <c r="U212" i="18"/>
  <c r="T212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H251" i="18" s="1"/>
  <c r="G212" i="18"/>
  <c r="G251" i="18" s="1"/>
  <c r="F212" i="18"/>
  <c r="F251" i="18" s="1"/>
  <c r="E212" i="18"/>
  <c r="D212" i="18"/>
  <c r="V211" i="18"/>
  <c r="U211" i="18"/>
  <c r="T211" i="18"/>
  <c r="S211" i="18"/>
  <c r="R211" i="18"/>
  <c r="Q211" i="18"/>
  <c r="Q250" i="18" s="1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V210" i="18"/>
  <c r="U210" i="18"/>
  <c r="T210" i="18"/>
  <c r="S210" i="18"/>
  <c r="S249" i="18" s="1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D249" i="18" s="1"/>
  <c r="V209" i="18"/>
  <c r="U209" i="18"/>
  <c r="T209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F248" i="18" s="1"/>
  <c r="E209" i="18"/>
  <c r="D209" i="18"/>
  <c r="V208" i="18"/>
  <c r="U208" i="18"/>
  <c r="T208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D247" i="18" s="1"/>
  <c r="K197" i="18"/>
  <c r="O196" i="18"/>
  <c r="N196" i="18"/>
  <c r="M196" i="18"/>
  <c r="S195" i="18"/>
  <c r="Q195" i="18"/>
  <c r="P195" i="18"/>
  <c r="I195" i="18"/>
  <c r="U194" i="18"/>
  <c r="N194" i="18"/>
  <c r="H193" i="18"/>
  <c r="T192" i="18"/>
  <c r="K192" i="18"/>
  <c r="J192" i="18"/>
  <c r="N191" i="18"/>
  <c r="L191" i="18"/>
  <c r="G191" i="18"/>
  <c r="R189" i="18"/>
  <c r="G188" i="18"/>
  <c r="E188" i="18"/>
  <c r="I187" i="18"/>
  <c r="H187" i="18"/>
  <c r="D187" i="18"/>
  <c r="K186" i="18"/>
  <c r="F186" i="18"/>
  <c r="O185" i="18"/>
  <c r="U183" i="18"/>
  <c r="F183" i="18"/>
  <c r="E183" i="18"/>
  <c r="D183" i="18"/>
  <c r="V182" i="18"/>
  <c r="U182" i="18"/>
  <c r="T182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H181" i="18"/>
  <c r="G181" i="18"/>
  <c r="E181" i="18"/>
  <c r="I179" i="18"/>
  <c r="G179" i="18"/>
  <c r="O177" i="18"/>
  <c r="D177" i="18"/>
  <c r="F176" i="18"/>
  <c r="U175" i="18"/>
  <c r="E175" i="18"/>
  <c r="L174" i="18"/>
  <c r="H174" i="18"/>
  <c r="F174" i="18"/>
  <c r="S173" i="18"/>
  <c r="R172" i="18"/>
  <c r="L172" i="18"/>
  <c r="V171" i="18"/>
  <c r="T170" i="18"/>
  <c r="R170" i="18"/>
  <c r="I170" i="18"/>
  <c r="V159" i="18"/>
  <c r="U159" i="18"/>
  <c r="T159" i="18"/>
  <c r="S159" i="18"/>
  <c r="S198" i="18" s="1"/>
  <c r="R159" i="18"/>
  <c r="R198" i="18" s="1"/>
  <c r="Q159" i="18"/>
  <c r="Q198" i="18" s="1"/>
  <c r="P159" i="18"/>
  <c r="O159" i="18"/>
  <c r="N159" i="18"/>
  <c r="M159" i="18"/>
  <c r="L159" i="18"/>
  <c r="K159" i="18"/>
  <c r="J159" i="18"/>
  <c r="I159" i="18"/>
  <c r="I198" i="18" s="1"/>
  <c r="H159" i="18"/>
  <c r="H198" i="18" s="1"/>
  <c r="G159" i="18"/>
  <c r="F159" i="18"/>
  <c r="E159" i="18"/>
  <c r="D159" i="18"/>
  <c r="V158" i="18"/>
  <c r="V197" i="18" s="1"/>
  <c r="U158" i="18"/>
  <c r="U197" i="18" s="1"/>
  <c r="T158" i="18"/>
  <c r="T197" i="18" s="1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F197" i="18" s="1"/>
  <c r="E158" i="18"/>
  <c r="E197" i="18" s="1"/>
  <c r="D158" i="18"/>
  <c r="D197" i="18" s="1"/>
  <c r="V157" i="18"/>
  <c r="U157" i="18"/>
  <c r="U196" i="18" s="1"/>
  <c r="T157" i="18"/>
  <c r="S157" i="18"/>
  <c r="R157" i="18"/>
  <c r="Q157" i="18"/>
  <c r="P157" i="18"/>
  <c r="O157" i="18"/>
  <c r="N157" i="18"/>
  <c r="M157" i="18"/>
  <c r="L157" i="18"/>
  <c r="K157" i="18"/>
  <c r="J157" i="18"/>
  <c r="I157" i="18"/>
  <c r="I196" i="18" s="1"/>
  <c r="H157" i="18"/>
  <c r="H196" i="18" s="1"/>
  <c r="G157" i="18"/>
  <c r="G196" i="18" s="1"/>
  <c r="F157" i="18"/>
  <c r="E157" i="18"/>
  <c r="D157" i="18"/>
  <c r="V156" i="18"/>
  <c r="U156" i="18"/>
  <c r="T156" i="18"/>
  <c r="T195" i="18" s="1"/>
  <c r="S156" i="18"/>
  <c r="R156" i="18"/>
  <c r="R195" i="18" s="1"/>
  <c r="Q156" i="18"/>
  <c r="P156" i="18"/>
  <c r="O156" i="18"/>
  <c r="O195" i="18" s="1"/>
  <c r="N156" i="18"/>
  <c r="N195" i="18" s="1"/>
  <c r="M156" i="18"/>
  <c r="M195" i="18" s="1"/>
  <c r="L156" i="18"/>
  <c r="L195" i="18" s="1"/>
  <c r="K156" i="18"/>
  <c r="K195" i="18" s="1"/>
  <c r="J156" i="18"/>
  <c r="J195" i="18" s="1"/>
  <c r="I156" i="18"/>
  <c r="H156" i="18"/>
  <c r="H195" i="18" s="1"/>
  <c r="G156" i="18"/>
  <c r="G195" i="18" s="1"/>
  <c r="F156" i="18"/>
  <c r="F195" i="18" s="1"/>
  <c r="E156" i="18"/>
  <c r="E195" i="18" s="1"/>
  <c r="D156" i="18"/>
  <c r="D195" i="18" s="1"/>
  <c r="V155" i="18"/>
  <c r="U155" i="18"/>
  <c r="T155" i="18"/>
  <c r="T194" i="18" s="1"/>
  <c r="S155" i="18"/>
  <c r="R155" i="18"/>
  <c r="Q155" i="18"/>
  <c r="P155" i="18"/>
  <c r="O155" i="18"/>
  <c r="O194" i="18" s="1"/>
  <c r="N155" i="18"/>
  <c r="M155" i="18"/>
  <c r="M194" i="18" s="1"/>
  <c r="L155" i="18"/>
  <c r="K155" i="18"/>
  <c r="J155" i="18"/>
  <c r="I155" i="18"/>
  <c r="H155" i="18"/>
  <c r="G155" i="18"/>
  <c r="F155" i="18"/>
  <c r="E155" i="18"/>
  <c r="E194" i="18" s="1"/>
  <c r="D155" i="18"/>
  <c r="V154" i="18"/>
  <c r="U154" i="18"/>
  <c r="T154" i="18"/>
  <c r="S154" i="18"/>
  <c r="R154" i="18"/>
  <c r="R193" i="18" s="1"/>
  <c r="Q154" i="18"/>
  <c r="Q193" i="18" s="1"/>
  <c r="P154" i="18"/>
  <c r="P193" i="18" s="1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V153" i="18"/>
  <c r="U153" i="18"/>
  <c r="U192" i="18" s="1"/>
  <c r="T153" i="18"/>
  <c r="S153" i="18"/>
  <c r="S192" i="18" s="1"/>
  <c r="R153" i="18"/>
  <c r="Q153" i="18"/>
  <c r="Q192" i="18" s="1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E192" i="18" s="1"/>
  <c r="D153" i="18"/>
  <c r="D192" i="18" s="1"/>
  <c r="V152" i="18"/>
  <c r="V191" i="18" s="1"/>
  <c r="U152" i="18"/>
  <c r="T152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H191" i="18" s="1"/>
  <c r="G152" i="18"/>
  <c r="F152" i="18"/>
  <c r="F191" i="18" s="1"/>
  <c r="E152" i="18"/>
  <c r="D152" i="18"/>
  <c r="D191" i="18" s="1"/>
  <c r="V151" i="18"/>
  <c r="U151" i="18"/>
  <c r="T151" i="18"/>
  <c r="S151" i="18"/>
  <c r="R151" i="18"/>
  <c r="Q151" i="18"/>
  <c r="Q190" i="18" s="1"/>
  <c r="P151" i="18"/>
  <c r="O151" i="18"/>
  <c r="N151" i="18"/>
  <c r="M151" i="18"/>
  <c r="L151" i="18"/>
  <c r="K151" i="18"/>
  <c r="K190" i="18" s="1"/>
  <c r="J151" i="18"/>
  <c r="I151" i="18"/>
  <c r="I190" i="18" s="1"/>
  <c r="H151" i="18"/>
  <c r="G151" i="18"/>
  <c r="F151" i="18"/>
  <c r="E151" i="18"/>
  <c r="D151" i="18"/>
  <c r="V150" i="18"/>
  <c r="U150" i="18"/>
  <c r="T150" i="18"/>
  <c r="S150" i="18"/>
  <c r="R150" i="18"/>
  <c r="Q150" i="18"/>
  <c r="P150" i="18"/>
  <c r="O150" i="18"/>
  <c r="N150" i="18"/>
  <c r="N189" i="18" s="1"/>
  <c r="M150" i="18"/>
  <c r="L150" i="18"/>
  <c r="L189" i="18" s="1"/>
  <c r="K150" i="18"/>
  <c r="J150" i="18"/>
  <c r="I150" i="18"/>
  <c r="H150" i="18"/>
  <c r="G150" i="18"/>
  <c r="F150" i="18"/>
  <c r="E150" i="18"/>
  <c r="D150" i="18"/>
  <c r="D189" i="18" s="1"/>
  <c r="V149" i="18"/>
  <c r="V188" i="18" s="1"/>
  <c r="U149" i="18"/>
  <c r="T149" i="18"/>
  <c r="S149" i="18"/>
  <c r="R149" i="18"/>
  <c r="Q149" i="18"/>
  <c r="Q188" i="18" s="1"/>
  <c r="P149" i="18"/>
  <c r="P188" i="18" s="1"/>
  <c r="O149" i="18"/>
  <c r="O188" i="18" s="1"/>
  <c r="N149" i="18"/>
  <c r="M149" i="18"/>
  <c r="L149" i="18"/>
  <c r="K149" i="18"/>
  <c r="J149" i="18"/>
  <c r="I149" i="18"/>
  <c r="H149" i="18"/>
  <c r="G149" i="18"/>
  <c r="F149" i="18"/>
  <c r="E149" i="18"/>
  <c r="D149" i="18"/>
  <c r="V148" i="18"/>
  <c r="U148" i="18"/>
  <c r="T148" i="18"/>
  <c r="T187" i="18" s="1"/>
  <c r="S148" i="18"/>
  <c r="S187" i="18" s="1"/>
  <c r="R148" i="18"/>
  <c r="R187" i="18" s="1"/>
  <c r="Q148" i="18"/>
  <c r="P148" i="18"/>
  <c r="P187" i="18" s="1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V147" i="18"/>
  <c r="V186" i="18" s="1"/>
  <c r="U147" i="18"/>
  <c r="U186" i="18" s="1"/>
  <c r="T147" i="18"/>
  <c r="S147" i="18"/>
  <c r="R147" i="18"/>
  <c r="Q147" i="18"/>
  <c r="P147" i="18"/>
  <c r="O147" i="18"/>
  <c r="N147" i="18"/>
  <c r="M147" i="18"/>
  <c r="M186" i="18" s="1"/>
  <c r="L147" i="18"/>
  <c r="L186" i="18" s="1"/>
  <c r="K147" i="18"/>
  <c r="J147" i="18"/>
  <c r="I147" i="18"/>
  <c r="H147" i="18"/>
  <c r="G147" i="18"/>
  <c r="G186" i="18" s="1"/>
  <c r="F147" i="18"/>
  <c r="E147" i="18"/>
  <c r="E186" i="18" s="1"/>
  <c r="D147" i="18"/>
  <c r="V146" i="18"/>
  <c r="V185" i="18" s="1"/>
  <c r="U146" i="18"/>
  <c r="T146" i="18"/>
  <c r="S146" i="18"/>
  <c r="R146" i="18"/>
  <c r="Q146" i="18"/>
  <c r="P146" i="18"/>
  <c r="O146" i="18"/>
  <c r="N146" i="18"/>
  <c r="M146" i="18"/>
  <c r="L146" i="18"/>
  <c r="K146" i="18"/>
  <c r="J146" i="18"/>
  <c r="J185" i="18" s="1"/>
  <c r="I146" i="18"/>
  <c r="I185" i="18" s="1"/>
  <c r="H146" i="18"/>
  <c r="H185" i="18" s="1"/>
  <c r="G146" i="18"/>
  <c r="F146" i="18"/>
  <c r="E146" i="18"/>
  <c r="D146" i="18"/>
  <c r="V145" i="18"/>
  <c r="U145" i="18"/>
  <c r="T145" i="18"/>
  <c r="S145" i="18"/>
  <c r="S184" i="18" s="1"/>
  <c r="R145" i="18"/>
  <c r="R184" i="18" s="1"/>
  <c r="Q145" i="18"/>
  <c r="P145" i="18"/>
  <c r="O145" i="18"/>
  <c r="N145" i="18"/>
  <c r="M145" i="18"/>
  <c r="M184" i="18" s="1"/>
  <c r="L145" i="18"/>
  <c r="L184" i="18" s="1"/>
  <c r="K145" i="18"/>
  <c r="K184" i="18" s="1"/>
  <c r="J145" i="18"/>
  <c r="I145" i="18"/>
  <c r="H145" i="18"/>
  <c r="G145" i="18"/>
  <c r="F145" i="18"/>
  <c r="E145" i="18"/>
  <c r="D145" i="18"/>
  <c r="V144" i="18"/>
  <c r="U144" i="18"/>
  <c r="T144" i="18"/>
  <c r="S144" i="18"/>
  <c r="R144" i="18"/>
  <c r="Q144" i="18"/>
  <c r="P144" i="18"/>
  <c r="P183" i="18" s="1"/>
  <c r="O144" i="18"/>
  <c r="O183" i="18" s="1"/>
  <c r="N144" i="18"/>
  <c r="N183" i="18" s="1"/>
  <c r="M144" i="18"/>
  <c r="L144" i="18"/>
  <c r="L183" i="18" s="1"/>
  <c r="K144" i="18"/>
  <c r="J144" i="18"/>
  <c r="I144" i="18"/>
  <c r="H144" i="18"/>
  <c r="G144" i="18"/>
  <c r="F144" i="18"/>
  <c r="E144" i="18"/>
  <c r="D144" i="18"/>
  <c r="R143" i="18"/>
  <c r="V142" i="18"/>
  <c r="U142" i="18"/>
  <c r="T142" i="18"/>
  <c r="S142" i="18"/>
  <c r="S181" i="18" s="1"/>
  <c r="R142" i="18"/>
  <c r="R181" i="18" s="1"/>
  <c r="Q142" i="18"/>
  <c r="Q181" i="18" s="1"/>
  <c r="P142" i="18"/>
  <c r="O142" i="18"/>
  <c r="N142" i="18"/>
  <c r="N181" i="18" s="1"/>
  <c r="M142" i="18"/>
  <c r="L142" i="18"/>
  <c r="K142" i="18"/>
  <c r="J142" i="18"/>
  <c r="I142" i="18"/>
  <c r="H142" i="18"/>
  <c r="G142" i="18"/>
  <c r="F142" i="18"/>
  <c r="E142" i="18"/>
  <c r="D142" i="18"/>
  <c r="V141" i="18"/>
  <c r="V180" i="18" s="1"/>
  <c r="U141" i="18"/>
  <c r="U180" i="18" s="1"/>
  <c r="T141" i="18"/>
  <c r="S141" i="18"/>
  <c r="R141" i="18"/>
  <c r="Q141" i="18"/>
  <c r="Q180" i="18" s="1"/>
  <c r="P141" i="18"/>
  <c r="O141" i="18"/>
  <c r="N141" i="18"/>
  <c r="M141" i="18"/>
  <c r="L141" i="18"/>
  <c r="K141" i="18"/>
  <c r="J141" i="18"/>
  <c r="I141" i="18"/>
  <c r="H141" i="18"/>
  <c r="G141" i="18"/>
  <c r="F141" i="18"/>
  <c r="F180" i="18" s="1"/>
  <c r="E141" i="18"/>
  <c r="E180" i="18" s="1"/>
  <c r="D141" i="18"/>
  <c r="D180" i="18" s="1"/>
  <c r="V140" i="18"/>
  <c r="U140" i="18"/>
  <c r="T140" i="18"/>
  <c r="T179" i="18" s="1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H179" i="18" s="1"/>
  <c r="G140" i="18"/>
  <c r="F140" i="18"/>
  <c r="E140" i="18"/>
  <c r="D140" i="18"/>
  <c r="D179" i="18" s="1"/>
  <c r="V139" i="18"/>
  <c r="U139" i="18"/>
  <c r="T139" i="18"/>
  <c r="S139" i="18"/>
  <c r="R139" i="18"/>
  <c r="Q139" i="18"/>
  <c r="Q178" i="18" s="1"/>
  <c r="P139" i="18"/>
  <c r="P178" i="18" s="1"/>
  <c r="O139" i="18"/>
  <c r="N139" i="18"/>
  <c r="M139" i="18"/>
  <c r="L139" i="18"/>
  <c r="L178" i="18" s="1"/>
  <c r="K139" i="18"/>
  <c r="K178" i="18" s="1"/>
  <c r="J139" i="18"/>
  <c r="I139" i="18"/>
  <c r="H139" i="18"/>
  <c r="G139" i="18"/>
  <c r="F139" i="18"/>
  <c r="E139" i="18"/>
  <c r="D139" i="18"/>
  <c r="V138" i="18"/>
  <c r="U138" i="18"/>
  <c r="T138" i="18"/>
  <c r="T177" i="18" s="1"/>
  <c r="S138" i="18"/>
  <c r="S177" i="18" s="1"/>
  <c r="R138" i="18"/>
  <c r="Q138" i="18"/>
  <c r="P138" i="18"/>
  <c r="O138" i="18"/>
  <c r="N138" i="18"/>
  <c r="N177" i="18" s="1"/>
  <c r="M138" i="18"/>
  <c r="M177" i="18" s="1"/>
  <c r="L138" i="18"/>
  <c r="K138" i="18"/>
  <c r="J138" i="18"/>
  <c r="J177" i="18" s="1"/>
  <c r="I138" i="18"/>
  <c r="H138" i="18"/>
  <c r="G138" i="18"/>
  <c r="F138" i="18"/>
  <c r="E138" i="18"/>
  <c r="D138" i="18"/>
  <c r="V137" i="18"/>
  <c r="V176" i="18" s="1"/>
  <c r="U137" i="18"/>
  <c r="U176" i="18" s="1"/>
  <c r="T137" i="18"/>
  <c r="S137" i="18"/>
  <c r="R137" i="18"/>
  <c r="R176" i="18" s="1"/>
  <c r="Q137" i="18"/>
  <c r="Q176" i="18" s="1"/>
  <c r="P137" i="18"/>
  <c r="O137" i="18"/>
  <c r="N137" i="18"/>
  <c r="M137" i="18"/>
  <c r="M176" i="18" s="1"/>
  <c r="L137" i="18"/>
  <c r="K137" i="18"/>
  <c r="J137" i="18"/>
  <c r="I137" i="18"/>
  <c r="H137" i="18"/>
  <c r="G137" i="18"/>
  <c r="G176" i="18" s="1"/>
  <c r="F137" i="18"/>
  <c r="E137" i="18"/>
  <c r="D137" i="18"/>
  <c r="V136" i="18"/>
  <c r="U136" i="18"/>
  <c r="T136" i="18"/>
  <c r="T175" i="18" s="1"/>
  <c r="S136" i="18"/>
  <c r="S175" i="18" s="1"/>
  <c r="R136" i="18"/>
  <c r="Q136" i="18"/>
  <c r="P136" i="18"/>
  <c r="P175" i="18" s="1"/>
  <c r="O136" i="18"/>
  <c r="N136" i="18"/>
  <c r="M136" i="18"/>
  <c r="L136" i="18"/>
  <c r="K136" i="18"/>
  <c r="J136" i="18"/>
  <c r="J175" i="18" s="1"/>
  <c r="I136" i="18"/>
  <c r="I175" i="18" s="1"/>
  <c r="H136" i="18"/>
  <c r="G136" i="18"/>
  <c r="F136" i="18"/>
  <c r="E136" i="18"/>
  <c r="D136" i="18"/>
  <c r="D175" i="18" s="1"/>
  <c r="V135" i="18"/>
  <c r="U135" i="18"/>
  <c r="T135" i="18"/>
  <c r="S135" i="18"/>
  <c r="R135" i="18"/>
  <c r="Q135" i="18"/>
  <c r="P135" i="18"/>
  <c r="O135" i="18"/>
  <c r="N135" i="18"/>
  <c r="M135" i="18"/>
  <c r="M174" i="18" s="1"/>
  <c r="L135" i="18"/>
  <c r="K135" i="18"/>
  <c r="J135" i="18"/>
  <c r="I135" i="18"/>
  <c r="H135" i="18"/>
  <c r="G135" i="18"/>
  <c r="G174" i="18" s="1"/>
  <c r="F135" i="18"/>
  <c r="E135" i="18"/>
  <c r="D135" i="18"/>
  <c r="V134" i="18"/>
  <c r="V173" i="18" s="1"/>
  <c r="U134" i="18"/>
  <c r="T134" i="18"/>
  <c r="S134" i="18"/>
  <c r="R134" i="18"/>
  <c r="Q134" i="18"/>
  <c r="P134" i="18"/>
  <c r="P173" i="18" s="1"/>
  <c r="O134" i="18"/>
  <c r="O173" i="18" s="1"/>
  <c r="N134" i="18"/>
  <c r="M134" i="18"/>
  <c r="L134" i="18"/>
  <c r="K134" i="18"/>
  <c r="K173" i="18" s="1"/>
  <c r="J134" i="18"/>
  <c r="J173" i="18" s="1"/>
  <c r="I134" i="18"/>
  <c r="I173" i="18" s="1"/>
  <c r="H134" i="18"/>
  <c r="G134" i="18"/>
  <c r="F134" i="18"/>
  <c r="F173" i="18" s="1"/>
  <c r="E134" i="18"/>
  <c r="D134" i="18"/>
  <c r="V133" i="18"/>
  <c r="U133" i="18"/>
  <c r="T133" i="18"/>
  <c r="S133" i="18"/>
  <c r="S172" i="18" s="1"/>
  <c r="R133" i="18"/>
  <c r="Q133" i="18"/>
  <c r="P133" i="18"/>
  <c r="O133" i="18"/>
  <c r="N133" i="18"/>
  <c r="N172" i="18" s="1"/>
  <c r="M133" i="18"/>
  <c r="M172" i="18" s="1"/>
  <c r="L133" i="18"/>
  <c r="K133" i="18"/>
  <c r="J133" i="18"/>
  <c r="I133" i="18"/>
  <c r="I160" i="18" s="1"/>
  <c r="H133" i="18"/>
  <c r="G133" i="18"/>
  <c r="F133" i="18"/>
  <c r="E133" i="18"/>
  <c r="D133" i="18"/>
  <c r="V132" i="18"/>
  <c r="U132" i="18"/>
  <c r="U171" i="18" s="1"/>
  <c r="T132" i="18"/>
  <c r="S132" i="18"/>
  <c r="R132" i="18"/>
  <c r="Q132" i="18"/>
  <c r="Q171" i="18" s="1"/>
  <c r="P132" i="18"/>
  <c r="P171" i="18" s="1"/>
  <c r="O132" i="18"/>
  <c r="O171" i="18" s="1"/>
  <c r="N132" i="18"/>
  <c r="M132" i="18"/>
  <c r="L132" i="18"/>
  <c r="L171" i="18" s="1"/>
  <c r="K132" i="18"/>
  <c r="J132" i="18"/>
  <c r="I132" i="18"/>
  <c r="H132" i="18"/>
  <c r="G132" i="18"/>
  <c r="F132" i="18"/>
  <c r="F171" i="18" s="1"/>
  <c r="E132" i="18"/>
  <c r="E171" i="18" s="1"/>
  <c r="D132" i="18"/>
  <c r="V131" i="18"/>
  <c r="U131" i="18"/>
  <c r="T131" i="18"/>
  <c r="S131" i="18"/>
  <c r="R131" i="18"/>
  <c r="Q131" i="18"/>
  <c r="P131" i="18"/>
  <c r="O131" i="18"/>
  <c r="O170" i="18" s="1"/>
  <c r="N131" i="18"/>
  <c r="M131" i="18"/>
  <c r="L131" i="18"/>
  <c r="K131" i="18"/>
  <c r="J131" i="18"/>
  <c r="I131" i="18"/>
  <c r="H131" i="18"/>
  <c r="H170" i="18" s="1"/>
  <c r="G131" i="18"/>
  <c r="F131" i="18"/>
  <c r="E131" i="18"/>
  <c r="D131" i="18"/>
  <c r="F119" i="18"/>
  <c r="R118" i="18"/>
  <c r="T117" i="18"/>
  <c r="S117" i="18"/>
  <c r="M117" i="18"/>
  <c r="F117" i="18"/>
  <c r="E117" i="18"/>
  <c r="D117" i="18"/>
  <c r="I116" i="18"/>
  <c r="G116" i="18"/>
  <c r="E114" i="18"/>
  <c r="Q113" i="18"/>
  <c r="F111" i="18"/>
  <c r="Q110" i="18"/>
  <c r="T107" i="18"/>
  <c r="M106" i="18"/>
  <c r="P105" i="18"/>
  <c r="I105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R103" i="18"/>
  <c r="Q103" i="18"/>
  <c r="G103" i="18"/>
  <c r="U102" i="18"/>
  <c r="T102" i="18"/>
  <c r="E102" i="18"/>
  <c r="D102" i="18"/>
  <c r="R101" i="18"/>
  <c r="H101" i="18"/>
  <c r="G101" i="18"/>
  <c r="K100" i="18"/>
  <c r="J100" i="18"/>
  <c r="H100" i="18"/>
  <c r="E100" i="18"/>
  <c r="N99" i="18"/>
  <c r="M99" i="18"/>
  <c r="Q98" i="18"/>
  <c r="P98" i="18"/>
  <c r="N98" i="18"/>
  <c r="T97" i="18"/>
  <c r="S97" i="18"/>
  <c r="J97" i="18"/>
  <c r="H97" i="18"/>
  <c r="D97" i="18"/>
  <c r="V96" i="18"/>
  <c r="G96" i="18"/>
  <c r="F96" i="18"/>
  <c r="P95" i="18"/>
  <c r="N95" i="18"/>
  <c r="J95" i="18"/>
  <c r="I95" i="18"/>
  <c r="M94" i="18"/>
  <c r="L94" i="18"/>
  <c r="I94" i="18"/>
  <c r="V93" i="18"/>
  <c r="P93" i="18"/>
  <c r="O93" i="18"/>
  <c r="F93" i="18"/>
  <c r="S92" i="18"/>
  <c r="R92" i="18"/>
  <c r="Q92" i="18"/>
  <c r="O92" i="18"/>
  <c r="F82" i="18"/>
  <c r="F121" i="18" s="1"/>
  <c r="V81" i="18"/>
  <c r="U81" i="18"/>
  <c r="T81" i="18"/>
  <c r="S81" i="18"/>
  <c r="S120" i="18" s="1"/>
  <c r="R81" i="18"/>
  <c r="R120" i="18" s="1"/>
  <c r="Q81" i="18"/>
  <c r="Q120" i="18" s="1"/>
  <c r="P81" i="18"/>
  <c r="O81" i="18"/>
  <c r="N81" i="18"/>
  <c r="N120" i="18" s="1"/>
  <c r="M81" i="18"/>
  <c r="M120" i="18" s="1"/>
  <c r="L81" i="18"/>
  <c r="K81" i="18"/>
  <c r="J81" i="18"/>
  <c r="I81" i="18"/>
  <c r="I120" i="18" s="1"/>
  <c r="H81" i="18"/>
  <c r="H120" i="18" s="1"/>
  <c r="G81" i="18"/>
  <c r="G120" i="18" s="1"/>
  <c r="F81" i="18"/>
  <c r="E81" i="18"/>
  <c r="D81" i="18"/>
  <c r="V80" i="18"/>
  <c r="V119" i="18" s="1"/>
  <c r="U80" i="18"/>
  <c r="U119" i="18" s="1"/>
  <c r="T80" i="18"/>
  <c r="T119" i="18" s="1"/>
  <c r="S80" i="18"/>
  <c r="R80" i="18"/>
  <c r="Q80" i="18"/>
  <c r="Q119" i="18" s="1"/>
  <c r="P80" i="18"/>
  <c r="P119" i="18" s="1"/>
  <c r="O80" i="18"/>
  <c r="N80" i="18"/>
  <c r="M80" i="18"/>
  <c r="L80" i="18"/>
  <c r="L119" i="18" s="1"/>
  <c r="K80" i="18"/>
  <c r="K119" i="18" s="1"/>
  <c r="J80" i="18"/>
  <c r="J119" i="18" s="1"/>
  <c r="I80" i="18"/>
  <c r="H80" i="18"/>
  <c r="G80" i="18"/>
  <c r="F80" i="18"/>
  <c r="E80" i="18"/>
  <c r="E119" i="18" s="1"/>
  <c r="D80" i="18"/>
  <c r="D119" i="18" s="1"/>
  <c r="V79" i="18"/>
  <c r="U79" i="18"/>
  <c r="T79" i="18"/>
  <c r="T118" i="18" s="1"/>
  <c r="S79" i="18"/>
  <c r="S118" i="18" s="1"/>
  <c r="R79" i="18"/>
  <c r="Q79" i="18"/>
  <c r="P79" i="18"/>
  <c r="O79" i="18"/>
  <c r="O118" i="18" s="1"/>
  <c r="N79" i="18"/>
  <c r="N118" i="18" s="1"/>
  <c r="M79" i="18"/>
  <c r="M118" i="18" s="1"/>
  <c r="L79" i="18"/>
  <c r="K79" i="18"/>
  <c r="J79" i="18"/>
  <c r="I79" i="18"/>
  <c r="I118" i="18" s="1"/>
  <c r="H79" i="18"/>
  <c r="H118" i="18" s="1"/>
  <c r="G79" i="18"/>
  <c r="G118" i="18" s="1"/>
  <c r="F79" i="18"/>
  <c r="E79" i="18"/>
  <c r="D79" i="18"/>
  <c r="D118" i="18" s="1"/>
  <c r="V78" i="18"/>
  <c r="V117" i="18" s="1"/>
  <c r="U78" i="18"/>
  <c r="T78" i="18"/>
  <c r="S78" i="18"/>
  <c r="R78" i="18"/>
  <c r="R117" i="18" s="1"/>
  <c r="Q78" i="18"/>
  <c r="Q117" i="18" s="1"/>
  <c r="P78" i="18"/>
  <c r="P117" i="18" s="1"/>
  <c r="O78" i="18"/>
  <c r="O117" i="18" s="1"/>
  <c r="N78" i="18"/>
  <c r="N117" i="18" s="1"/>
  <c r="M78" i="18"/>
  <c r="L78" i="18"/>
  <c r="L117" i="18" s="1"/>
  <c r="K78" i="18"/>
  <c r="K117" i="18" s="1"/>
  <c r="J78" i="18"/>
  <c r="J117" i="18" s="1"/>
  <c r="I78" i="18"/>
  <c r="I117" i="18" s="1"/>
  <c r="H78" i="18"/>
  <c r="H117" i="18" s="1"/>
  <c r="G78" i="18"/>
  <c r="G117" i="18" s="1"/>
  <c r="F78" i="18"/>
  <c r="E78" i="18"/>
  <c r="D78" i="18"/>
  <c r="V77" i="18"/>
  <c r="U77" i="18"/>
  <c r="U116" i="18" s="1"/>
  <c r="T77" i="18"/>
  <c r="T116" i="18" s="1"/>
  <c r="S77" i="18"/>
  <c r="S116" i="18" s="1"/>
  <c r="R77" i="18"/>
  <c r="Q77" i="18"/>
  <c r="P77" i="18"/>
  <c r="O77" i="18"/>
  <c r="O116" i="18" s="1"/>
  <c r="N77" i="18"/>
  <c r="N116" i="18" s="1"/>
  <c r="M77" i="18"/>
  <c r="M116" i="18" s="1"/>
  <c r="L77" i="18"/>
  <c r="K77" i="18"/>
  <c r="J77" i="18"/>
  <c r="J116" i="18" s="1"/>
  <c r="I77" i="18"/>
  <c r="H77" i="18"/>
  <c r="G77" i="18"/>
  <c r="F77" i="18"/>
  <c r="E77" i="18"/>
  <c r="E116" i="18" s="1"/>
  <c r="D77" i="18"/>
  <c r="D116" i="18" s="1"/>
  <c r="V76" i="18"/>
  <c r="V115" i="18" s="1"/>
  <c r="U76" i="18"/>
  <c r="T76" i="18"/>
  <c r="S76" i="18"/>
  <c r="R76" i="18"/>
  <c r="R115" i="18" s="1"/>
  <c r="Q76" i="18"/>
  <c r="Q115" i="18" s="1"/>
  <c r="P76" i="18"/>
  <c r="P115" i="18" s="1"/>
  <c r="O76" i="18"/>
  <c r="N76" i="18"/>
  <c r="M76" i="18"/>
  <c r="M115" i="18" s="1"/>
  <c r="L76" i="18"/>
  <c r="L115" i="18" s="1"/>
  <c r="K76" i="18"/>
  <c r="J76" i="18"/>
  <c r="I76" i="18"/>
  <c r="H76" i="18"/>
  <c r="H115" i="18" s="1"/>
  <c r="G76" i="18"/>
  <c r="G115" i="18" s="1"/>
  <c r="F76" i="18"/>
  <c r="F115" i="18" s="1"/>
  <c r="E76" i="18"/>
  <c r="D76" i="18"/>
  <c r="V75" i="18"/>
  <c r="U75" i="18"/>
  <c r="U114" i="18" s="1"/>
  <c r="T75" i="18"/>
  <c r="T114" i="18" s="1"/>
  <c r="S75" i="18"/>
  <c r="S114" i="18" s="1"/>
  <c r="R75" i="18"/>
  <c r="Q75" i="18"/>
  <c r="P75" i="18"/>
  <c r="P114" i="18" s="1"/>
  <c r="O75" i="18"/>
  <c r="O114" i="18" s="1"/>
  <c r="N75" i="18"/>
  <c r="M75" i="18"/>
  <c r="L75" i="18"/>
  <c r="K75" i="18"/>
  <c r="K114" i="18" s="1"/>
  <c r="J75" i="18"/>
  <c r="J114" i="18" s="1"/>
  <c r="I75" i="18"/>
  <c r="I114" i="18" s="1"/>
  <c r="H75" i="18"/>
  <c r="G75" i="18"/>
  <c r="F75" i="18"/>
  <c r="E75" i="18"/>
  <c r="D75" i="18"/>
  <c r="D114" i="18" s="1"/>
  <c r="V74" i="18"/>
  <c r="V113" i="18" s="1"/>
  <c r="U74" i="18"/>
  <c r="T74" i="18"/>
  <c r="S74" i="18"/>
  <c r="S113" i="18" s="1"/>
  <c r="R74" i="18"/>
  <c r="R113" i="18" s="1"/>
  <c r="Q74" i="18"/>
  <c r="P74" i="18"/>
  <c r="O74" i="18"/>
  <c r="N74" i="18"/>
  <c r="N113" i="18" s="1"/>
  <c r="M74" i="18"/>
  <c r="M113" i="18" s="1"/>
  <c r="L74" i="18"/>
  <c r="L113" i="18" s="1"/>
  <c r="K74" i="18"/>
  <c r="J74" i="18"/>
  <c r="I74" i="18"/>
  <c r="H74" i="18"/>
  <c r="H113" i="18" s="1"/>
  <c r="G74" i="18"/>
  <c r="G113" i="18" s="1"/>
  <c r="F74" i="18"/>
  <c r="F113" i="18" s="1"/>
  <c r="E74" i="18"/>
  <c r="D74" i="18"/>
  <c r="V73" i="18"/>
  <c r="V112" i="18" s="1"/>
  <c r="U73" i="18"/>
  <c r="U112" i="18" s="1"/>
  <c r="T73" i="18"/>
  <c r="S73" i="18"/>
  <c r="R73" i="18"/>
  <c r="Q73" i="18"/>
  <c r="Q112" i="18" s="1"/>
  <c r="P73" i="18"/>
  <c r="P112" i="18" s="1"/>
  <c r="O73" i="18"/>
  <c r="O112" i="18" s="1"/>
  <c r="N73" i="18"/>
  <c r="M73" i="18"/>
  <c r="L73" i="18"/>
  <c r="K73" i="18"/>
  <c r="K112" i="18" s="1"/>
  <c r="J73" i="18"/>
  <c r="J112" i="18" s="1"/>
  <c r="I73" i="18"/>
  <c r="I112" i="18" s="1"/>
  <c r="H73" i="18"/>
  <c r="G73" i="18"/>
  <c r="F73" i="18"/>
  <c r="F112" i="18" s="1"/>
  <c r="E73" i="18"/>
  <c r="E112" i="18" s="1"/>
  <c r="D73" i="18"/>
  <c r="V72" i="18"/>
  <c r="U72" i="18"/>
  <c r="T72" i="18"/>
  <c r="T111" i="18" s="1"/>
  <c r="S72" i="18"/>
  <c r="S111" i="18" s="1"/>
  <c r="R72" i="18"/>
  <c r="R111" i="18" s="1"/>
  <c r="Q72" i="18"/>
  <c r="P72" i="18"/>
  <c r="O72" i="18"/>
  <c r="N72" i="18"/>
  <c r="N111" i="18" s="1"/>
  <c r="M72" i="18"/>
  <c r="M111" i="18" s="1"/>
  <c r="L72" i="18"/>
  <c r="L111" i="18" s="1"/>
  <c r="K72" i="18"/>
  <c r="J72" i="18"/>
  <c r="I72" i="18"/>
  <c r="I111" i="18" s="1"/>
  <c r="H72" i="18"/>
  <c r="G72" i="18"/>
  <c r="F72" i="18"/>
  <c r="E72" i="18"/>
  <c r="D72" i="18"/>
  <c r="D111" i="18" s="1"/>
  <c r="V71" i="18"/>
  <c r="V110" i="18" s="1"/>
  <c r="U71" i="18"/>
  <c r="U110" i="18" s="1"/>
  <c r="T71" i="18"/>
  <c r="S71" i="18"/>
  <c r="R71" i="18"/>
  <c r="Q71" i="18"/>
  <c r="P71" i="18"/>
  <c r="P110" i="18" s="1"/>
  <c r="O71" i="18"/>
  <c r="O110" i="18" s="1"/>
  <c r="N71" i="18"/>
  <c r="M71" i="18"/>
  <c r="L71" i="18"/>
  <c r="L110" i="18" s="1"/>
  <c r="K71" i="18"/>
  <c r="K110" i="18" s="1"/>
  <c r="J71" i="18"/>
  <c r="I71" i="18"/>
  <c r="H71" i="18"/>
  <c r="G71" i="18"/>
  <c r="G110" i="18" s="1"/>
  <c r="F71" i="18"/>
  <c r="F110" i="18" s="1"/>
  <c r="E71" i="18"/>
  <c r="E110" i="18" s="1"/>
  <c r="D71" i="18"/>
  <c r="V70" i="18"/>
  <c r="U70" i="18"/>
  <c r="T70" i="18"/>
  <c r="T109" i="18" s="1"/>
  <c r="S70" i="18"/>
  <c r="S109" i="18" s="1"/>
  <c r="R70" i="18"/>
  <c r="R109" i="18" s="1"/>
  <c r="Q70" i="18"/>
  <c r="P70" i="18"/>
  <c r="O70" i="18"/>
  <c r="O109" i="18" s="1"/>
  <c r="N70" i="18"/>
  <c r="N109" i="18" s="1"/>
  <c r="M70" i="18"/>
  <c r="L70" i="18"/>
  <c r="K70" i="18"/>
  <c r="J70" i="18"/>
  <c r="J109" i="18" s="1"/>
  <c r="I70" i="18"/>
  <c r="I109" i="18" s="1"/>
  <c r="H70" i="18"/>
  <c r="H109" i="18" s="1"/>
  <c r="G70" i="18"/>
  <c r="F70" i="18"/>
  <c r="E70" i="18"/>
  <c r="D70" i="18"/>
  <c r="D109" i="18" s="1"/>
  <c r="V69" i="18"/>
  <c r="V108" i="18" s="1"/>
  <c r="U69" i="18"/>
  <c r="U108" i="18" s="1"/>
  <c r="T69" i="18"/>
  <c r="S69" i="18"/>
  <c r="R69" i="18"/>
  <c r="R108" i="18" s="1"/>
  <c r="Q69" i="18"/>
  <c r="Q108" i="18" s="1"/>
  <c r="P69" i="18"/>
  <c r="O69" i="18"/>
  <c r="N69" i="18"/>
  <c r="M69" i="18"/>
  <c r="M108" i="18" s="1"/>
  <c r="L69" i="18"/>
  <c r="L108" i="18" s="1"/>
  <c r="K69" i="18"/>
  <c r="K108" i="18" s="1"/>
  <c r="J69" i="18"/>
  <c r="I69" i="18"/>
  <c r="H69" i="18"/>
  <c r="G69" i="18"/>
  <c r="G108" i="18" s="1"/>
  <c r="F69" i="18"/>
  <c r="F108" i="18" s="1"/>
  <c r="E69" i="18"/>
  <c r="E108" i="18" s="1"/>
  <c r="D69" i="18"/>
  <c r="V68" i="18"/>
  <c r="U68" i="18"/>
  <c r="U107" i="18" s="1"/>
  <c r="T68" i="18"/>
  <c r="S68" i="18"/>
  <c r="R68" i="18"/>
  <c r="Q68" i="18"/>
  <c r="P68" i="18"/>
  <c r="P107" i="18" s="1"/>
  <c r="O68" i="18"/>
  <c r="O107" i="18" s="1"/>
  <c r="N68" i="18"/>
  <c r="N107" i="18" s="1"/>
  <c r="M68" i="18"/>
  <c r="L68" i="18"/>
  <c r="K68" i="18"/>
  <c r="J68" i="18"/>
  <c r="J107" i="18" s="1"/>
  <c r="I68" i="18"/>
  <c r="I107" i="18" s="1"/>
  <c r="H68" i="18"/>
  <c r="H107" i="18" s="1"/>
  <c r="G68" i="18"/>
  <c r="F68" i="18"/>
  <c r="E68" i="18"/>
  <c r="E107" i="18" s="1"/>
  <c r="D68" i="18"/>
  <c r="D107" i="18" s="1"/>
  <c r="V67" i="18"/>
  <c r="U67" i="18"/>
  <c r="T67" i="18"/>
  <c r="S67" i="18"/>
  <c r="S106" i="18" s="1"/>
  <c r="R67" i="18"/>
  <c r="R106" i="18" s="1"/>
  <c r="Q67" i="18"/>
  <c r="Q106" i="18" s="1"/>
  <c r="P67" i="18"/>
  <c r="O67" i="18"/>
  <c r="N67" i="18"/>
  <c r="M67" i="18"/>
  <c r="L67" i="18"/>
  <c r="L106" i="18" s="1"/>
  <c r="K67" i="18"/>
  <c r="K106" i="18" s="1"/>
  <c r="J67" i="18"/>
  <c r="I67" i="18"/>
  <c r="H67" i="18"/>
  <c r="H106" i="18" s="1"/>
  <c r="G67" i="18"/>
  <c r="G106" i="18" s="1"/>
  <c r="F67" i="18"/>
  <c r="E67" i="18"/>
  <c r="D67" i="18"/>
  <c r="V66" i="18"/>
  <c r="V105" i="18" s="1"/>
  <c r="U66" i="18"/>
  <c r="U105" i="18" s="1"/>
  <c r="T66" i="18"/>
  <c r="T105" i="18" s="1"/>
  <c r="S66" i="18"/>
  <c r="R66" i="18"/>
  <c r="Q66" i="18"/>
  <c r="P66" i="18"/>
  <c r="O66" i="18"/>
  <c r="O105" i="18" s="1"/>
  <c r="N66" i="18"/>
  <c r="N105" i="18" s="1"/>
  <c r="M66" i="18"/>
  <c r="L66" i="18"/>
  <c r="K66" i="18"/>
  <c r="K105" i="18" s="1"/>
  <c r="J66" i="18"/>
  <c r="J105" i="18" s="1"/>
  <c r="I66" i="18"/>
  <c r="H66" i="18"/>
  <c r="G66" i="18"/>
  <c r="F66" i="18"/>
  <c r="F105" i="18" s="1"/>
  <c r="E66" i="18"/>
  <c r="E105" i="18" s="1"/>
  <c r="D66" i="18"/>
  <c r="D105" i="18" s="1"/>
  <c r="V64" i="18"/>
  <c r="V103" i="18" s="1"/>
  <c r="U64" i="18"/>
  <c r="T64" i="18"/>
  <c r="S64" i="18"/>
  <c r="S103" i="18" s="1"/>
  <c r="R64" i="18"/>
  <c r="Q64" i="18"/>
  <c r="P64" i="18"/>
  <c r="O64" i="18"/>
  <c r="O103" i="18" s="1"/>
  <c r="N64" i="18"/>
  <c r="N103" i="18" s="1"/>
  <c r="M64" i="18"/>
  <c r="L64" i="18"/>
  <c r="K64" i="18"/>
  <c r="J64" i="18"/>
  <c r="I64" i="18"/>
  <c r="I103" i="18" s="1"/>
  <c r="H64" i="18"/>
  <c r="H103" i="18" s="1"/>
  <c r="G64" i="18"/>
  <c r="F64" i="18"/>
  <c r="F103" i="18" s="1"/>
  <c r="E64" i="18"/>
  <c r="D64" i="18"/>
  <c r="V63" i="18"/>
  <c r="V102" i="18" s="1"/>
  <c r="U63" i="18"/>
  <c r="T63" i="18"/>
  <c r="S63" i="18"/>
  <c r="R63" i="18"/>
  <c r="R102" i="18" s="1"/>
  <c r="Q63" i="18"/>
  <c r="Q102" i="18" s="1"/>
  <c r="P63" i="18"/>
  <c r="O63" i="18"/>
  <c r="N63" i="18"/>
  <c r="M63" i="18"/>
  <c r="L63" i="18"/>
  <c r="L102" i="18" s="1"/>
  <c r="K63" i="18"/>
  <c r="K102" i="18" s="1"/>
  <c r="J63" i="18"/>
  <c r="J102" i="18" s="1"/>
  <c r="I63" i="18"/>
  <c r="I102" i="18" s="1"/>
  <c r="H63" i="18"/>
  <c r="G63" i="18"/>
  <c r="F63" i="18"/>
  <c r="F102" i="18" s="1"/>
  <c r="E63" i="18"/>
  <c r="D63" i="18"/>
  <c r="V62" i="18"/>
  <c r="U62" i="18"/>
  <c r="U101" i="18" s="1"/>
  <c r="T62" i="18"/>
  <c r="T101" i="18" s="1"/>
  <c r="S62" i="18"/>
  <c r="R62" i="18"/>
  <c r="Q62" i="18"/>
  <c r="P62" i="18"/>
  <c r="O62" i="18"/>
  <c r="O101" i="18" s="1"/>
  <c r="N62" i="18"/>
  <c r="N101" i="18" s="1"/>
  <c r="M62" i="18"/>
  <c r="M101" i="18" s="1"/>
  <c r="L62" i="18"/>
  <c r="L101" i="18" s="1"/>
  <c r="K62" i="18"/>
  <c r="J62" i="18"/>
  <c r="I62" i="18"/>
  <c r="I101" i="18" s="1"/>
  <c r="H62" i="18"/>
  <c r="G62" i="18"/>
  <c r="F62" i="18"/>
  <c r="E62" i="18"/>
  <c r="E101" i="18" s="1"/>
  <c r="D62" i="18"/>
  <c r="D101" i="18" s="1"/>
  <c r="V61" i="18"/>
  <c r="U61" i="18"/>
  <c r="T61" i="18"/>
  <c r="S61" i="18"/>
  <c r="R61" i="18"/>
  <c r="R100" i="18" s="1"/>
  <c r="Q61" i="18"/>
  <c r="Q100" i="18" s="1"/>
  <c r="P61" i="18"/>
  <c r="P100" i="18" s="1"/>
  <c r="O61" i="18"/>
  <c r="O100" i="18" s="1"/>
  <c r="N61" i="18"/>
  <c r="M61" i="18"/>
  <c r="L61" i="18"/>
  <c r="L100" i="18" s="1"/>
  <c r="K61" i="18"/>
  <c r="J61" i="18"/>
  <c r="I61" i="18"/>
  <c r="H61" i="18"/>
  <c r="G61" i="18"/>
  <c r="G100" i="18" s="1"/>
  <c r="F61" i="18"/>
  <c r="E61" i="18"/>
  <c r="D61" i="18"/>
  <c r="V60" i="18"/>
  <c r="U60" i="18"/>
  <c r="U99" i="18" s="1"/>
  <c r="T60" i="18"/>
  <c r="T99" i="18" s="1"/>
  <c r="S60" i="18"/>
  <c r="S99" i="18" s="1"/>
  <c r="R60" i="18"/>
  <c r="R99" i="18" s="1"/>
  <c r="Q60" i="18"/>
  <c r="P60" i="18"/>
  <c r="O60" i="18"/>
  <c r="O99" i="18" s="1"/>
  <c r="N60" i="18"/>
  <c r="M60" i="18"/>
  <c r="L60" i="18"/>
  <c r="K60" i="18"/>
  <c r="K99" i="18" s="1"/>
  <c r="J60" i="18"/>
  <c r="J99" i="18" s="1"/>
  <c r="I60" i="18"/>
  <c r="H60" i="18"/>
  <c r="G60" i="18"/>
  <c r="F60" i="18"/>
  <c r="E60" i="18"/>
  <c r="E99" i="18" s="1"/>
  <c r="D60" i="18"/>
  <c r="D99" i="18" s="1"/>
  <c r="V59" i="18"/>
  <c r="V98" i="18" s="1"/>
  <c r="U59" i="18"/>
  <c r="T59" i="18"/>
  <c r="S59" i="18"/>
  <c r="R59" i="18"/>
  <c r="R98" i="18" s="1"/>
  <c r="Q59" i="18"/>
  <c r="P59" i="18"/>
  <c r="O59" i="18"/>
  <c r="N59" i="18"/>
  <c r="M59" i="18"/>
  <c r="M98" i="18" s="1"/>
  <c r="L59" i="18"/>
  <c r="K59" i="18"/>
  <c r="J59" i="18"/>
  <c r="I59" i="18"/>
  <c r="H59" i="18"/>
  <c r="H98" i="18" s="1"/>
  <c r="G59" i="18"/>
  <c r="G98" i="18" s="1"/>
  <c r="F59" i="18"/>
  <c r="F98" i="18" s="1"/>
  <c r="E59" i="18"/>
  <c r="E98" i="18" s="1"/>
  <c r="D59" i="18"/>
  <c r="V58" i="18"/>
  <c r="U58" i="18"/>
  <c r="U97" i="18" s="1"/>
  <c r="T58" i="18"/>
  <c r="S58" i="18"/>
  <c r="R58" i="18"/>
  <c r="Q58" i="18"/>
  <c r="Q97" i="18" s="1"/>
  <c r="P58" i="18"/>
  <c r="P97" i="18" s="1"/>
  <c r="O58" i="18"/>
  <c r="N58" i="18"/>
  <c r="M58" i="18"/>
  <c r="L58" i="18"/>
  <c r="K58" i="18"/>
  <c r="K97" i="18" s="1"/>
  <c r="J58" i="18"/>
  <c r="I58" i="18"/>
  <c r="I97" i="18" s="1"/>
  <c r="H58" i="18"/>
  <c r="G58" i="18"/>
  <c r="F58" i="18"/>
  <c r="E58" i="18"/>
  <c r="E97" i="18" s="1"/>
  <c r="D58" i="18"/>
  <c r="V57" i="18"/>
  <c r="U57" i="18"/>
  <c r="T57" i="18"/>
  <c r="T96" i="18" s="1"/>
  <c r="S57" i="18"/>
  <c r="S96" i="18" s="1"/>
  <c r="R57" i="18"/>
  <c r="Q57" i="18"/>
  <c r="P57" i="18"/>
  <c r="O57" i="18"/>
  <c r="N57" i="18"/>
  <c r="N96" i="18" s="1"/>
  <c r="M57" i="18"/>
  <c r="M96" i="18" s="1"/>
  <c r="L57" i="18"/>
  <c r="L96" i="18" s="1"/>
  <c r="K57" i="18"/>
  <c r="K96" i="18" s="1"/>
  <c r="J57" i="18"/>
  <c r="I57" i="18"/>
  <c r="H57" i="18"/>
  <c r="H96" i="18" s="1"/>
  <c r="G57" i="18"/>
  <c r="F57" i="18"/>
  <c r="E57" i="18"/>
  <c r="D57" i="18"/>
  <c r="D96" i="18" s="1"/>
  <c r="V56" i="18"/>
  <c r="V95" i="18" s="1"/>
  <c r="U56" i="18"/>
  <c r="T56" i="18"/>
  <c r="S56" i="18"/>
  <c r="R56" i="18"/>
  <c r="Q56" i="18"/>
  <c r="Q95" i="18" s="1"/>
  <c r="P56" i="18"/>
  <c r="O56" i="18"/>
  <c r="O95" i="18" s="1"/>
  <c r="N56" i="18"/>
  <c r="M56" i="18"/>
  <c r="L56" i="18"/>
  <c r="K56" i="18"/>
  <c r="K95" i="18" s="1"/>
  <c r="J56" i="18"/>
  <c r="I56" i="18"/>
  <c r="H56" i="18"/>
  <c r="G56" i="18"/>
  <c r="G95" i="18" s="1"/>
  <c r="F56" i="18"/>
  <c r="F95" i="18" s="1"/>
  <c r="E56" i="18"/>
  <c r="D56" i="18"/>
  <c r="V55" i="18"/>
  <c r="U55" i="18"/>
  <c r="T55" i="18"/>
  <c r="T94" i="18" s="1"/>
  <c r="S55" i="18"/>
  <c r="S94" i="18" s="1"/>
  <c r="R55" i="18"/>
  <c r="R94" i="18" s="1"/>
  <c r="Q55" i="18"/>
  <c r="Q94" i="18" s="1"/>
  <c r="P55" i="18"/>
  <c r="O55" i="18"/>
  <c r="N55" i="18"/>
  <c r="N94" i="18" s="1"/>
  <c r="M55" i="18"/>
  <c r="L55" i="18"/>
  <c r="K55" i="18"/>
  <c r="J55" i="18"/>
  <c r="J94" i="18" s="1"/>
  <c r="I55" i="18"/>
  <c r="H55" i="18"/>
  <c r="G55" i="18"/>
  <c r="F55" i="18"/>
  <c r="E55" i="18"/>
  <c r="D55" i="18"/>
  <c r="V54" i="18"/>
  <c r="U54" i="18"/>
  <c r="U93" i="18" s="1"/>
  <c r="T54" i="18"/>
  <c r="T93" i="18" s="1"/>
  <c r="S54" i="18"/>
  <c r="S82" i="18" s="1"/>
  <c r="R54" i="18"/>
  <c r="Q54" i="18"/>
  <c r="P54" i="18"/>
  <c r="O54" i="18"/>
  <c r="N54" i="18"/>
  <c r="M54" i="18"/>
  <c r="M93" i="18" s="1"/>
  <c r="L54" i="18"/>
  <c r="L93" i="18" s="1"/>
  <c r="K54" i="18"/>
  <c r="J54" i="18"/>
  <c r="I54" i="18"/>
  <c r="H54" i="18"/>
  <c r="G54" i="18"/>
  <c r="G93" i="18" s="1"/>
  <c r="F54" i="18"/>
  <c r="E54" i="18"/>
  <c r="E93" i="18" s="1"/>
  <c r="D54" i="18"/>
  <c r="D93" i="18" s="1"/>
  <c r="V53" i="18"/>
  <c r="V82" i="18" s="1"/>
  <c r="U53" i="18"/>
  <c r="T53" i="18"/>
  <c r="T92" i="18" s="1"/>
  <c r="S53" i="18"/>
  <c r="R53" i="18"/>
  <c r="Q53" i="18"/>
  <c r="P53" i="18"/>
  <c r="P82" i="18" s="1"/>
  <c r="O53" i="18"/>
  <c r="N53" i="18"/>
  <c r="M53" i="18"/>
  <c r="L53" i="18"/>
  <c r="K53" i="18"/>
  <c r="J53" i="18"/>
  <c r="I53" i="18"/>
  <c r="H53" i="18"/>
  <c r="G53" i="18"/>
  <c r="G92" i="18" s="1"/>
  <c r="F53" i="18"/>
  <c r="E53" i="18"/>
  <c r="D53" i="18"/>
  <c r="D92" i="18" s="1"/>
  <c r="G43" i="18"/>
  <c r="V42" i="18"/>
  <c r="V275" i="18" s="1"/>
  <c r="U42" i="18"/>
  <c r="U275" i="18" s="1"/>
  <c r="T42" i="18"/>
  <c r="S42" i="18"/>
  <c r="R42" i="18"/>
  <c r="R275" i="18" s="1"/>
  <c r="Q42" i="18"/>
  <c r="P42" i="18"/>
  <c r="P198" i="18" s="1"/>
  <c r="O42" i="18"/>
  <c r="O198" i="18" s="1"/>
  <c r="N42" i="18"/>
  <c r="N198" i="18" s="1"/>
  <c r="M42" i="18"/>
  <c r="L42" i="18"/>
  <c r="L120" i="18" s="1"/>
  <c r="K42" i="18"/>
  <c r="K198" i="18" s="1"/>
  <c r="J42" i="18"/>
  <c r="I42" i="18"/>
  <c r="H42" i="18"/>
  <c r="H275" i="18" s="1"/>
  <c r="G42" i="18"/>
  <c r="G198" i="18" s="1"/>
  <c r="F42" i="18"/>
  <c r="F275" i="18" s="1"/>
  <c r="E42" i="18"/>
  <c r="E275" i="18" s="1"/>
  <c r="D42" i="18"/>
  <c r="V41" i="18"/>
  <c r="U41" i="18"/>
  <c r="T41" i="18"/>
  <c r="S41" i="18"/>
  <c r="S197" i="18" s="1"/>
  <c r="R41" i="18"/>
  <c r="R197" i="18" s="1"/>
  <c r="Q41" i="18"/>
  <c r="Q197" i="18" s="1"/>
  <c r="P41" i="18"/>
  <c r="O41" i="18"/>
  <c r="O119" i="18" s="1"/>
  <c r="N41" i="18"/>
  <c r="N119" i="18" s="1"/>
  <c r="M41" i="18"/>
  <c r="L41" i="18"/>
  <c r="L197" i="18" s="1"/>
  <c r="K41" i="18"/>
  <c r="K274" i="18" s="1"/>
  <c r="J41" i="18"/>
  <c r="J197" i="18" s="1"/>
  <c r="I41" i="18"/>
  <c r="I274" i="18" s="1"/>
  <c r="H41" i="18"/>
  <c r="H274" i="18" s="1"/>
  <c r="G41" i="18"/>
  <c r="F41" i="18"/>
  <c r="E41" i="18"/>
  <c r="E274" i="18" s="1"/>
  <c r="D41" i="18"/>
  <c r="V40" i="18"/>
  <c r="V196" i="18" s="1"/>
  <c r="U40" i="18"/>
  <c r="T40" i="18"/>
  <c r="S40" i="18"/>
  <c r="R40" i="18"/>
  <c r="Q40" i="18"/>
  <c r="Q118" i="18" s="1"/>
  <c r="P40" i="18"/>
  <c r="O40" i="18"/>
  <c r="N40" i="18"/>
  <c r="N273" i="18" s="1"/>
  <c r="M40" i="18"/>
  <c r="L40" i="18"/>
  <c r="L273" i="18" s="1"/>
  <c r="K40" i="18"/>
  <c r="K273" i="18" s="1"/>
  <c r="J40" i="18"/>
  <c r="J196" i="18" s="1"/>
  <c r="I40" i="18"/>
  <c r="H40" i="18"/>
  <c r="G40" i="18"/>
  <c r="F40" i="18"/>
  <c r="F196" i="18" s="1"/>
  <c r="E40" i="18"/>
  <c r="E196" i="18" s="1"/>
  <c r="D40" i="18"/>
  <c r="D196" i="18" s="1"/>
  <c r="V39" i="18"/>
  <c r="U39" i="18"/>
  <c r="U117" i="18" s="1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V38" i="18"/>
  <c r="U38" i="18"/>
  <c r="T38" i="18"/>
  <c r="T271" i="18" s="1"/>
  <c r="S38" i="18"/>
  <c r="S194" i="18" s="1"/>
  <c r="R38" i="18"/>
  <c r="R271" i="18" s="1"/>
  <c r="Q38" i="18"/>
  <c r="Q271" i="18" s="1"/>
  <c r="P38" i="18"/>
  <c r="P116" i="18" s="1"/>
  <c r="O38" i="18"/>
  <c r="N38" i="18"/>
  <c r="N271" i="18" s="1"/>
  <c r="M38" i="18"/>
  <c r="L38" i="18"/>
  <c r="L194" i="18" s="1"/>
  <c r="K38" i="18"/>
  <c r="K194" i="18" s="1"/>
  <c r="J38" i="18"/>
  <c r="J194" i="18" s="1"/>
  <c r="I38" i="18"/>
  <c r="H38" i="18"/>
  <c r="H116" i="18" s="1"/>
  <c r="G38" i="18"/>
  <c r="F38" i="18"/>
  <c r="E38" i="18"/>
  <c r="D38" i="18"/>
  <c r="D194" i="18" s="1"/>
  <c r="V37" i="18"/>
  <c r="V193" i="18" s="1"/>
  <c r="U37" i="18"/>
  <c r="T37" i="18"/>
  <c r="T270" i="18" s="1"/>
  <c r="S37" i="18"/>
  <c r="R37" i="18"/>
  <c r="Q37" i="18"/>
  <c r="P37" i="18"/>
  <c r="P270" i="18" s="1"/>
  <c r="O37" i="18"/>
  <c r="O193" i="18" s="1"/>
  <c r="N37" i="18"/>
  <c r="N193" i="18" s="1"/>
  <c r="M37" i="18"/>
  <c r="M193" i="18" s="1"/>
  <c r="L37" i="18"/>
  <c r="K37" i="18"/>
  <c r="K115" i="18" s="1"/>
  <c r="J37" i="18"/>
  <c r="J115" i="18" s="1"/>
  <c r="I37" i="18"/>
  <c r="H37" i="18"/>
  <c r="G37" i="18"/>
  <c r="G193" i="18" s="1"/>
  <c r="F37" i="18"/>
  <c r="F193" i="18" s="1"/>
  <c r="E37" i="18"/>
  <c r="E270" i="18" s="1"/>
  <c r="D37" i="18"/>
  <c r="D270" i="18" s="1"/>
  <c r="V36" i="18"/>
  <c r="V114" i="18" s="1"/>
  <c r="U36" i="18"/>
  <c r="T36" i="18"/>
  <c r="T269" i="18" s="1"/>
  <c r="S36" i="18"/>
  <c r="R36" i="18"/>
  <c r="R192" i="18" s="1"/>
  <c r="Q36" i="18"/>
  <c r="P36" i="18"/>
  <c r="P192" i="18" s="1"/>
  <c r="O36" i="18"/>
  <c r="N36" i="18"/>
  <c r="N114" i="18" s="1"/>
  <c r="M36" i="18"/>
  <c r="M114" i="18" s="1"/>
  <c r="L36" i="18"/>
  <c r="K36" i="18"/>
  <c r="J36" i="18"/>
  <c r="J269" i="18" s="1"/>
  <c r="I36" i="18"/>
  <c r="I192" i="18" s="1"/>
  <c r="H36" i="18"/>
  <c r="G36" i="18"/>
  <c r="G269" i="18" s="1"/>
  <c r="F36" i="18"/>
  <c r="E36" i="18"/>
  <c r="D36" i="18"/>
  <c r="V35" i="18"/>
  <c r="V268" i="18" s="1"/>
  <c r="U35" i="18"/>
  <c r="T35" i="18"/>
  <c r="T191" i="18" s="1"/>
  <c r="S35" i="18"/>
  <c r="R35" i="18"/>
  <c r="Q35" i="18"/>
  <c r="P35" i="18"/>
  <c r="P113" i="18" s="1"/>
  <c r="O35" i="18"/>
  <c r="N35" i="18"/>
  <c r="M35" i="18"/>
  <c r="M191" i="18" s="1"/>
  <c r="L35" i="18"/>
  <c r="K35" i="18"/>
  <c r="K268" i="18" s="1"/>
  <c r="J35" i="18"/>
  <c r="J268" i="18" s="1"/>
  <c r="I35" i="18"/>
  <c r="H35" i="18"/>
  <c r="G35" i="18"/>
  <c r="F35" i="18"/>
  <c r="E35" i="18"/>
  <c r="D35" i="18"/>
  <c r="V34" i="18"/>
  <c r="V190" i="18" s="1"/>
  <c r="U34" i="18"/>
  <c r="T34" i="18"/>
  <c r="T112" i="18" s="1"/>
  <c r="S34" i="18"/>
  <c r="S112" i="18" s="1"/>
  <c r="R34" i="18"/>
  <c r="Q34" i="18"/>
  <c r="P34" i="18"/>
  <c r="P190" i="18" s="1"/>
  <c r="O34" i="18"/>
  <c r="O190" i="18" s="1"/>
  <c r="N34" i="18"/>
  <c r="M34" i="18"/>
  <c r="M267" i="18" s="1"/>
  <c r="L34" i="18"/>
  <c r="K34" i="18"/>
  <c r="J34" i="18"/>
  <c r="J267" i="18" s="1"/>
  <c r="I34" i="18"/>
  <c r="I267" i="18" s="1"/>
  <c r="H34" i="18"/>
  <c r="G34" i="18"/>
  <c r="G190" i="18" s="1"/>
  <c r="F34" i="18"/>
  <c r="F190" i="18" s="1"/>
  <c r="E34" i="18"/>
  <c r="D34" i="18"/>
  <c r="D112" i="18" s="1"/>
  <c r="V33" i="18"/>
  <c r="V111" i="18" s="1"/>
  <c r="U33" i="18"/>
  <c r="U111" i="18" s="1"/>
  <c r="T33" i="18"/>
  <c r="T189" i="18" s="1"/>
  <c r="S33" i="18"/>
  <c r="S189" i="18" s="1"/>
  <c r="R33" i="18"/>
  <c r="Q33" i="18"/>
  <c r="P33" i="18"/>
  <c r="P266" i="18" s="1"/>
  <c r="O33" i="18"/>
  <c r="N33" i="18"/>
  <c r="M33" i="18"/>
  <c r="M266" i="18" s="1"/>
  <c r="L33" i="18"/>
  <c r="L266" i="18" s="1"/>
  <c r="K33" i="18"/>
  <c r="J33" i="18"/>
  <c r="J189" i="18" s="1"/>
  <c r="I33" i="18"/>
  <c r="I189" i="18" s="1"/>
  <c r="H33" i="18"/>
  <c r="H111" i="18" s="1"/>
  <c r="G33" i="18"/>
  <c r="G111" i="18" s="1"/>
  <c r="F33" i="18"/>
  <c r="E33" i="18"/>
  <c r="E111" i="18" s="1"/>
  <c r="D33" i="18"/>
  <c r="V32" i="18"/>
  <c r="V265" i="18" s="1"/>
  <c r="U32" i="18"/>
  <c r="U188" i="18" s="1"/>
  <c r="T32" i="18"/>
  <c r="T265" i="18" s="1"/>
  <c r="S32" i="18"/>
  <c r="S265" i="18" s="1"/>
  <c r="R32" i="18"/>
  <c r="Q32" i="18"/>
  <c r="P32" i="18"/>
  <c r="P265" i="18" s="1"/>
  <c r="O32" i="18"/>
  <c r="O265" i="18" s="1"/>
  <c r="N32" i="18"/>
  <c r="M32" i="18"/>
  <c r="M188" i="18" s="1"/>
  <c r="L32" i="18"/>
  <c r="L188" i="18" s="1"/>
  <c r="K32" i="18"/>
  <c r="J32" i="18"/>
  <c r="J110" i="18" s="1"/>
  <c r="I32" i="18"/>
  <c r="I110" i="18" s="1"/>
  <c r="H32" i="18"/>
  <c r="G32" i="18"/>
  <c r="F32" i="18"/>
  <c r="F188" i="18" s="1"/>
  <c r="E32" i="18"/>
  <c r="D32" i="18"/>
  <c r="D265" i="18" s="1"/>
  <c r="V31" i="18"/>
  <c r="V264" i="18" s="1"/>
  <c r="U31" i="18"/>
  <c r="T31" i="18"/>
  <c r="S31" i="18"/>
  <c r="S264" i="18" s="1"/>
  <c r="R31" i="18"/>
  <c r="Q31" i="18"/>
  <c r="P31" i="18"/>
  <c r="O31" i="18"/>
  <c r="O187" i="18" s="1"/>
  <c r="N31" i="18"/>
  <c r="M31" i="18"/>
  <c r="M109" i="18" s="1"/>
  <c r="L31" i="18"/>
  <c r="L109" i="18" s="1"/>
  <c r="K31" i="18"/>
  <c r="J31" i="18"/>
  <c r="J187" i="18" s="1"/>
  <c r="I31" i="18"/>
  <c r="I264" i="18" s="1"/>
  <c r="H31" i="18"/>
  <c r="G31" i="18"/>
  <c r="G264" i="18" s="1"/>
  <c r="F31" i="18"/>
  <c r="F264" i="18" s="1"/>
  <c r="E31" i="18"/>
  <c r="D31" i="18"/>
  <c r="V30" i="18"/>
  <c r="V263" i="18" s="1"/>
  <c r="U30" i="18"/>
  <c r="T30" i="18"/>
  <c r="T186" i="18" s="1"/>
  <c r="S30" i="18"/>
  <c r="S186" i="18" s="1"/>
  <c r="R30" i="18"/>
  <c r="R186" i="18" s="1"/>
  <c r="Q30" i="18"/>
  <c r="P30" i="18"/>
  <c r="P108" i="18" s="1"/>
  <c r="O30" i="18"/>
  <c r="O108" i="18" s="1"/>
  <c r="N30" i="18"/>
  <c r="M30" i="18"/>
  <c r="L30" i="18"/>
  <c r="L263" i="18" s="1"/>
  <c r="K30" i="18"/>
  <c r="J30" i="18"/>
  <c r="J263" i="18" s="1"/>
  <c r="I30" i="18"/>
  <c r="I263" i="18" s="1"/>
  <c r="H30" i="18"/>
  <c r="G30" i="18"/>
  <c r="F30" i="18"/>
  <c r="E30" i="18"/>
  <c r="E263" i="18" s="1"/>
  <c r="D30" i="18"/>
  <c r="D263" i="18" s="1"/>
  <c r="V29" i="18"/>
  <c r="U29" i="18"/>
  <c r="T29" i="18"/>
  <c r="S29" i="18"/>
  <c r="S107" i="18" s="1"/>
  <c r="R29" i="18"/>
  <c r="R107" i="18" s="1"/>
  <c r="Q29" i="18"/>
  <c r="P29" i="18"/>
  <c r="P185" i="18" s="1"/>
  <c r="O29" i="18"/>
  <c r="O262" i="18" s="1"/>
  <c r="N29" i="18"/>
  <c r="N185" i="18" s="1"/>
  <c r="M29" i="18"/>
  <c r="L29" i="18"/>
  <c r="L262" i="18" s="1"/>
  <c r="K29" i="18"/>
  <c r="J29" i="18"/>
  <c r="I29" i="18"/>
  <c r="H29" i="18"/>
  <c r="H262" i="18" s="1"/>
  <c r="G29" i="18"/>
  <c r="F29" i="18"/>
  <c r="F185" i="18" s="1"/>
  <c r="E29" i="18"/>
  <c r="E185" i="18" s="1"/>
  <c r="D29" i="18"/>
  <c r="V28" i="18"/>
  <c r="V106" i="18" s="1"/>
  <c r="U28" i="18"/>
  <c r="U184" i="18" s="1"/>
  <c r="T28" i="18"/>
  <c r="S28" i="18"/>
  <c r="R28" i="18"/>
  <c r="Q28" i="18"/>
  <c r="Q184" i="18" s="1"/>
  <c r="P28" i="18"/>
  <c r="P261" i="18" s="1"/>
  <c r="O28" i="18"/>
  <c r="O261" i="18" s="1"/>
  <c r="N28" i="18"/>
  <c r="M28" i="18"/>
  <c r="L28" i="18"/>
  <c r="L261" i="18" s="1"/>
  <c r="K28" i="18"/>
  <c r="K261" i="18" s="1"/>
  <c r="J28" i="18"/>
  <c r="I28" i="18"/>
  <c r="I184" i="18" s="1"/>
  <c r="H28" i="18"/>
  <c r="H184" i="18" s="1"/>
  <c r="G28" i="18"/>
  <c r="F28" i="18"/>
  <c r="F106" i="18" s="1"/>
  <c r="E28" i="18"/>
  <c r="E106" i="18" s="1"/>
  <c r="D28" i="18"/>
  <c r="V27" i="18"/>
  <c r="V183" i="18" s="1"/>
  <c r="U27" i="18"/>
  <c r="T27" i="18"/>
  <c r="T183" i="18" s="1"/>
  <c r="S27" i="18"/>
  <c r="S260" i="18" s="1"/>
  <c r="R27" i="18"/>
  <c r="R260" i="18" s="1"/>
  <c r="Q27" i="18"/>
  <c r="P27" i="18"/>
  <c r="O27" i="18"/>
  <c r="N27" i="18"/>
  <c r="M27" i="18"/>
  <c r="M183" i="18" s="1"/>
  <c r="L27" i="18"/>
  <c r="K27" i="18"/>
  <c r="J27" i="18"/>
  <c r="I27" i="18"/>
  <c r="H27" i="18"/>
  <c r="H105" i="18" s="1"/>
  <c r="G27" i="18"/>
  <c r="F27" i="18"/>
  <c r="E27" i="18"/>
  <c r="E260" i="18" s="1"/>
  <c r="D27" i="18"/>
  <c r="V25" i="18"/>
  <c r="V258" i="18" s="1"/>
  <c r="U25" i="18"/>
  <c r="U258" i="18" s="1"/>
  <c r="T25" i="18"/>
  <c r="S25" i="18"/>
  <c r="R25" i="18"/>
  <c r="Q25" i="18"/>
  <c r="P25" i="18"/>
  <c r="P103" i="18" s="1"/>
  <c r="O25" i="18"/>
  <c r="O258" i="18" s="1"/>
  <c r="N25" i="18"/>
  <c r="M25" i="18"/>
  <c r="L25" i="18"/>
  <c r="L103" i="18" s="1"/>
  <c r="K25" i="18"/>
  <c r="K181" i="18" s="1"/>
  <c r="J25" i="18"/>
  <c r="J181" i="18" s="1"/>
  <c r="I25" i="18"/>
  <c r="H25" i="18"/>
  <c r="G25" i="18"/>
  <c r="F25" i="18"/>
  <c r="F258" i="18" s="1"/>
  <c r="E25" i="18"/>
  <c r="E258" i="18" s="1"/>
  <c r="D25" i="18"/>
  <c r="V24" i="18"/>
  <c r="U24" i="18"/>
  <c r="U257" i="18" s="1"/>
  <c r="T24" i="18"/>
  <c r="T180" i="18" s="1"/>
  <c r="S24" i="18"/>
  <c r="S102" i="18" s="1"/>
  <c r="R24" i="18"/>
  <c r="R257" i="18" s="1"/>
  <c r="Q24" i="18"/>
  <c r="P24" i="18"/>
  <c r="O24" i="18"/>
  <c r="O102" i="18" s="1"/>
  <c r="N24" i="18"/>
  <c r="N180" i="18" s="1"/>
  <c r="M24" i="18"/>
  <c r="L24" i="18"/>
  <c r="K24" i="18"/>
  <c r="K180" i="18" s="1"/>
  <c r="J24" i="18"/>
  <c r="J180" i="18" s="1"/>
  <c r="I24" i="18"/>
  <c r="I257" i="18" s="1"/>
  <c r="H24" i="18"/>
  <c r="H257" i="18" s="1"/>
  <c r="G24" i="18"/>
  <c r="F24" i="18"/>
  <c r="E24" i="18"/>
  <c r="E257" i="18" s="1"/>
  <c r="D24" i="18"/>
  <c r="D257" i="18" s="1"/>
  <c r="V23" i="18"/>
  <c r="V101" i="18" s="1"/>
  <c r="U23" i="18"/>
  <c r="U256" i="18" s="1"/>
  <c r="T23" i="18"/>
  <c r="S23" i="18"/>
  <c r="R23" i="18"/>
  <c r="Q23" i="18"/>
  <c r="Q179" i="18" s="1"/>
  <c r="P23" i="18"/>
  <c r="P179" i="18" s="1"/>
  <c r="O23" i="18"/>
  <c r="N23" i="18"/>
  <c r="N179" i="18" s="1"/>
  <c r="M23" i="18"/>
  <c r="M179" i="18" s="1"/>
  <c r="L23" i="18"/>
  <c r="L256" i="18" s="1"/>
  <c r="K23" i="18"/>
  <c r="K256" i="18" s="1"/>
  <c r="J23" i="18"/>
  <c r="I23" i="18"/>
  <c r="H23" i="18"/>
  <c r="H256" i="18" s="1"/>
  <c r="G23" i="18"/>
  <c r="F23" i="18"/>
  <c r="F101" i="18" s="1"/>
  <c r="E23" i="18"/>
  <c r="E256" i="18" s="1"/>
  <c r="D23" i="18"/>
  <c r="V22" i="18"/>
  <c r="V178" i="18" s="1"/>
  <c r="U22" i="18"/>
  <c r="U100" i="18" s="1"/>
  <c r="T22" i="18"/>
  <c r="S22" i="18"/>
  <c r="R22" i="18"/>
  <c r="Q22" i="18"/>
  <c r="Q255" i="18" s="1"/>
  <c r="P22" i="18"/>
  <c r="O22" i="18"/>
  <c r="O255" i="18" s="1"/>
  <c r="N22" i="18"/>
  <c r="N255" i="18" s="1"/>
  <c r="M22" i="18"/>
  <c r="L22" i="18"/>
  <c r="K22" i="18"/>
  <c r="J22" i="18"/>
  <c r="J255" i="18" s="1"/>
  <c r="I22" i="18"/>
  <c r="I100" i="18" s="1"/>
  <c r="H22" i="18"/>
  <c r="H255" i="18" s="1"/>
  <c r="G22" i="18"/>
  <c r="G178" i="18" s="1"/>
  <c r="F22" i="18"/>
  <c r="E22" i="18"/>
  <c r="D22" i="18"/>
  <c r="D178" i="18" s="1"/>
  <c r="V21" i="18"/>
  <c r="V177" i="18" s="1"/>
  <c r="U21" i="18"/>
  <c r="T21" i="18"/>
  <c r="T254" i="18" s="1"/>
  <c r="S21" i="18"/>
  <c r="R21" i="18"/>
  <c r="R254" i="18" s="1"/>
  <c r="Q21" i="18"/>
  <c r="Q254" i="18" s="1"/>
  <c r="P21" i="18"/>
  <c r="O21" i="18"/>
  <c r="N21" i="18"/>
  <c r="M21" i="18"/>
  <c r="M254" i="18" s="1"/>
  <c r="L21" i="18"/>
  <c r="L99" i="18" s="1"/>
  <c r="K21" i="18"/>
  <c r="K254" i="18" s="1"/>
  <c r="J21" i="18"/>
  <c r="I21" i="18"/>
  <c r="H21" i="18"/>
  <c r="H99" i="18" s="1"/>
  <c r="G21" i="18"/>
  <c r="G177" i="18" s="1"/>
  <c r="F21" i="18"/>
  <c r="F177" i="18" s="1"/>
  <c r="E21" i="18"/>
  <c r="D21" i="18"/>
  <c r="V20" i="18"/>
  <c r="U20" i="18"/>
  <c r="U253" i="18" s="1"/>
  <c r="T20" i="18"/>
  <c r="T253" i="18" s="1"/>
  <c r="S20" i="18"/>
  <c r="R20" i="18"/>
  <c r="Q20" i="18"/>
  <c r="Q253" i="18" s="1"/>
  <c r="P20" i="18"/>
  <c r="P176" i="18" s="1"/>
  <c r="O20" i="18"/>
  <c r="O98" i="18" s="1"/>
  <c r="N20" i="18"/>
  <c r="N253" i="18" s="1"/>
  <c r="M20" i="18"/>
  <c r="L20" i="18"/>
  <c r="K20" i="18"/>
  <c r="K98" i="18" s="1"/>
  <c r="J20" i="18"/>
  <c r="I20" i="18"/>
  <c r="I176" i="18" s="1"/>
  <c r="H20" i="18"/>
  <c r="G20" i="18"/>
  <c r="G253" i="18" s="1"/>
  <c r="F20" i="18"/>
  <c r="E20" i="18"/>
  <c r="E253" i="18" s="1"/>
  <c r="D20" i="18"/>
  <c r="D253" i="18" s="1"/>
  <c r="V19" i="18"/>
  <c r="U19" i="18"/>
  <c r="T19" i="18"/>
  <c r="S19" i="18"/>
  <c r="R19" i="18"/>
  <c r="R97" i="18" s="1"/>
  <c r="Q19" i="18"/>
  <c r="Q252" i="18" s="1"/>
  <c r="P19" i="18"/>
  <c r="O19" i="18"/>
  <c r="N19" i="18"/>
  <c r="N97" i="18" s="1"/>
  <c r="M19" i="18"/>
  <c r="M175" i="18" s="1"/>
  <c r="L19" i="18"/>
  <c r="K19" i="18"/>
  <c r="K252" i="18" s="1"/>
  <c r="J19" i="18"/>
  <c r="I19" i="18"/>
  <c r="H19" i="18"/>
  <c r="H252" i="18" s="1"/>
  <c r="G19" i="18"/>
  <c r="G252" i="18" s="1"/>
  <c r="F19" i="18"/>
  <c r="E19" i="18"/>
  <c r="E252" i="18" s="1"/>
  <c r="D19" i="18"/>
  <c r="D252" i="18" s="1"/>
  <c r="V18" i="18"/>
  <c r="V251" i="18" s="1"/>
  <c r="U18" i="18"/>
  <c r="U96" i="18" s="1"/>
  <c r="T18" i="18"/>
  <c r="T251" i="18" s="1"/>
  <c r="S18" i="18"/>
  <c r="S174" i="18" s="1"/>
  <c r="R18" i="18"/>
  <c r="Q18" i="18"/>
  <c r="Q96" i="18" s="1"/>
  <c r="P18" i="18"/>
  <c r="O18" i="18"/>
  <c r="O174" i="18" s="1"/>
  <c r="N18" i="18"/>
  <c r="N251" i="18" s="1"/>
  <c r="M18" i="18"/>
  <c r="M251" i="18" s="1"/>
  <c r="L18" i="18"/>
  <c r="K18" i="18"/>
  <c r="K251" i="18" s="1"/>
  <c r="J18" i="18"/>
  <c r="J251" i="18" s="1"/>
  <c r="I18" i="18"/>
  <c r="I251" i="18" s="1"/>
  <c r="H18" i="18"/>
  <c r="G18" i="18"/>
  <c r="F18" i="18"/>
  <c r="E18" i="18"/>
  <c r="E96" i="18" s="1"/>
  <c r="D18" i="18"/>
  <c r="D251" i="18" s="1"/>
  <c r="V17" i="18"/>
  <c r="U17" i="18"/>
  <c r="T17" i="18"/>
  <c r="T95" i="18" s="1"/>
  <c r="S17" i="18"/>
  <c r="R17" i="18"/>
  <c r="Q17" i="18"/>
  <c r="P17" i="18"/>
  <c r="P250" i="18" s="1"/>
  <c r="O17" i="18"/>
  <c r="N17" i="18"/>
  <c r="N250" i="18" s="1"/>
  <c r="M17" i="18"/>
  <c r="M250" i="18" s="1"/>
  <c r="L17" i="18"/>
  <c r="K17" i="18"/>
  <c r="K250" i="18" s="1"/>
  <c r="J17" i="18"/>
  <c r="J250" i="18" s="1"/>
  <c r="I17" i="18"/>
  <c r="H17" i="18"/>
  <c r="H95" i="18" s="1"/>
  <c r="G17" i="18"/>
  <c r="G250" i="18" s="1"/>
  <c r="F17" i="18"/>
  <c r="E17" i="18"/>
  <c r="D17" i="18"/>
  <c r="D95" i="18" s="1"/>
  <c r="V16" i="18"/>
  <c r="U16" i="18"/>
  <c r="U172" i="18" s="1"/>
  <c r="T16" i="18"/>
  <c r="T249" i="18" s="1"/>
  <c r="S16" i="18"/>
  <c r="R16" i="18"/>
  <c r="Q16" i="18"/>
  <c r="Q249" i="18" s="1"/>
  <c r="P16" i="18"/>
  <c r="P249" i="18" s="1"/>
  <c r="O16" i="18"/>
  <c r="N16" i="18"/>
  <c r="N249" i="18" s="1"/>
  <c r="M16" i="18"/>
  <c r="M249" i="18" s="1"/>
  <c r="L16" i="18"/>
  <c r="L249" i="18" s="1"/>
  <c r="K16" i="18"/>
  <c r="K94" i="18" s="1"/>
  <c r="J16" i="18"/>
  <c r="J249" i="18" s="1"/>
  <c r="I16" i="18"/>
  <c r="H16" i="18"/>
  <c r="G16" i="18"/>
  <c r="G249" i="18" s="1"/>
  <c r="F16" i="18"/>
  <c r="F172" i="18" s="1"/>
  <c r="E16" i="18"/>
  <c r="E172" i="18" s="1"/>
  <c r="D16" i="18"/>
  <c r="V15" i="18"/>
  <c r="V248" i="18" s="1"/>
  <c r="U15" i="18"/>
  <c r="T15" i="18"/>
  <c r="T248" i="18" s="1"/>
  <c r="S15" i="18"/>
  <c r="S248" i="18" s="1"/>
  <c r="R15" i="18"/>
  <c r="R43" i="18" s="1"/>
  <c r="Q15" i="18"/>
  <c r="Q248" i="18" s="1"/>
  <c r="P15" i="18"/>
  <c r="O15" i="18"/>
  <c r="O248" i="18" s="1"/>
  <c r="N15" i="18"/>
  <c r="N93" i="18" s="1"/>
  <c r="M15" i="18"/>
  <c r="M248" i="18" s="1"/>
  <c r="L15" i="18"/>
  <c r="K15" i="18"/>
  <c r="J15" i="18"/>
  <c r="J93" i="18" s="1"/>
  <c r="I15" i="18"/>
  <c r="I43" i="18" s="1"/>
  <c r="H15" i="18"/>
  <c r="H43" i="18" s="1"/>
  <c r="G15" i="18"/>
  <c r="F15" i="18"/>
  <c r="E15" i="18"/>
  <c r="D15" i="18"/>
  <c r="D248" i="18" s="1"/>
  <c r="V14" i="18"/>
  <c r="U14" i="18"/>
  <c r="T14" i="18"/>
  <c r="S14" i="18"/>
  <c r="S247" i="18" s="1"/>
  <c r="R14" i="18"/>
  <c r="Q14" i="18"/>
  <c r="Q43" i="18" s="1"/>
  <c r="P14" i="18"/>
  <c r="O14" i="18"/>
  <c r="N14" i="18"/>
  <c r="M14" i="18"/>
  <c r="M92" i="18" s="1"/>
  <c r="L14" i="18"/>
  <c r="L170" i="18" s="1"/>
  <c r="K14" i="18"/>
  <c r="K170" i="18" s="1"/>
  <c r="J14" i="18"/>
  <c r="J247" i="18" s="1"/>
  <c r="I14" i="18"/>
  <c r="I247" i="18" s="1"/>
  <c r="H14" i="18"/>
  <c r="G14" i="18"/>
  <c r="G247" i="18" s="1"/>
  <c r="F14" i="18"/>
  <c r="F43" i="18" s="1"/>
  <c r="E14" i="18"/>
  <c r="D14" i="18"/>
  <c r="K299" i="17"/>
  <c r="C298" i="17"/>
  <c r="G296" i="17"/>
  <c r="J295" i="17"/>
  <c r="I295" i="17"/>
  <c r="I292" i="17"/>
  <c r="J289" i="17"/>
  <c r="I289" i="17"/>
  <c r="I287" i="17"/>
  <c r="I286" i="17"/>
  <c r="G286" i="17"/>
  <c r="G280" i="17"/>
  <c r="J279" i="17"/>
  <c r="I279" i="17"/>
  <c r="E278" i="17"/>
  <c r="G277" i="17"/>
  <c r="E277" i="17"/>
  <c r="K273" i="17"/>
  <c r="I273" i="17"/>
  <c r="I271" i="17"/>
  <c r="I267" i="17"/>
  <c r="G267" i="17"/>
  <c r="C256" i="17"/>
  <c r="J255" i="17"/>
  <c r="H255" i="17"/>
  <c r="K254" i="17"/>
  <c r="J254" i="17"/>
  <c r="I254" i="17"/>
  <c r="I296" i="17" s="1"/>
  <c r="H254" i="17"/>
  <c r="G254" i="17"/>
  <c r="F254" i="17"/>
  <c r="E254" i="17"/>
  <c r="D254" i="17"/>
  <c r="K253" i="17"/>
  <c r="J253" i="17"/>
  <c r="I253" i="17"/>
  <c r="H253" i="17"/>
  <c r="G253" i="17"/>
  <c r="F253" i="17"/>
  <c r="E253" i="17"/>
  <c r="D253" i="17"/>
  <c r="K252" i="17"/>
  <c r="J252" i="17"/>
  <c r="I252" i="17"/>
  <c r="H252" i="17"/>
  <c r="G252" i="17"/>
  <c r="G294" i="17" s="1"/>
  <c r="F252" i="17"/>
  <c r="E252" i="17"/>
  <c r="D252" i="17"/>
  <c r="K251" i="17"/>
  <c r="J251" i="17"/>
  <c r="I251" i="17"/>
  <c r="I293" i="17" s="1"/>
  <c r="H251" i="17"/>
  <c r="G251" i="17"/>
  <c r="F251" i="17"/>
  <c r="E251" i="17"/>
  <c r="D251" i="17"/>
  <c r="K250" i="17"/>
  <c r="J250" i="17"/>
  <c r="I250" i="17"/>
  <c r="H250" i="17"/>
  <c r="G250" i="17"/>
  <c r="G292" i="17" s="1"/>
  <c r="F250" i="17"/>
  <c r="E250" i="17"/>
  <c r="D250" i="17"/>
  <c r="K249" i="17"/>
  <c r="J249" i="17"/>
  <c r="I249" i="17"/>
  <c r="I291" i="17" s="1"/>
  <c r="H249" i="17"/>
  <c r="G249" i="17"/>
  <c r="F249" i="17"/>
  <c r="E249" i="17"/>
  <c r="D249" i="17"/>
  <c r="K248" i="17"/>
  <c r="J248" i="17"/>
  <c r="I248" i="17"/>
  <c r="H248" i="17"/>
  <c r="G248" i="17"/>
  <c r="G290" i="17" s="1"/>
  <c r="F248" i="17"/>
  <c r="E248" i="17"/>
  <c r="D248" i="17"/>
  <c r="K247" i="17"/>
  <c r="J247" i="17"/>
  <c r="I247" i="17"/>
  <c r="H247" i="17"/>
  <c r="G247" i="17"/>
  <c r="F247" i="17"/>
  <c r="E247" i="17"/>
  <c r="D247" i="17"/>
  <c r="K246" i="17"/>
  <c r="J246" i="17"/>
  <c r="I246" i="17"/>
  <c r="I288" i="17" s="1"/>
  <c r="H246" i="17"/>
  <c r="G246" i="17"/>
  <c r="G288" i="17" s="1"/>
  <c r="F246" i="17"/>
  <c r="E246" i="17"/>
  <c r="D246" i="17"/>
  <c r="K245" i="17"/>
  <c r="J245" i="17"/>
  <c r="I245" i="17"/>
  <c r="H245" i="17"/>
  <c r="G245" i="17"/>
  <c r="F245" i="17"/>
  <c r="E245" i="17"/>
  <c r="D245" i="17"/>
  <c r="K244" i="17"/>
  <c r="J244" i="17"/>
  <c r="I244" i="17"/>
  <c r="H244" i="17"/>
  <c r="G244" i="17"/>
  <c r="F244" i="17"/>
  <c r="E244" i="17"/>
  <c r="D244" i="17"/>
  <c r="K243" i="17"/>
  <c r="J243" i="17"/>
  <c r="J285" i="17" s="1"/>
  <c r="I243" i="17"/>
  <c r="I285" i="17" s="1"/>
  <c r="H243" i="17"/>
  <c r="G243" i="17"/>
  <c r="F243" i="17"/>
  <c r="E243" i="17"/>
  <c r="D243" i="17"/>
  <c r="K242" i="17"/>
  <c r="J242" i="17"/>
  <c r="I242" i="17"/>
  <c r="H242" i="17"/>
  <c r="G242" i="17"/>
  <c r="G284" i="17" s="1"/>
  <c r="F242" i="17"/>
  <c r="E242" i="17"/>
  <c r="D242" i="17"/>
  <c r="K241" i="17"/>
  <c r="J241" i="17"/>
  <c r="J283" i="17" s="1"/>
  <c r="I241" i="17"/>
  <c r="I283" i="17" s="1"/>
  <c r="H241" i="17"/>
  <c r="G241" i="17"/>
  <c r="F241" i="17"/>
  <c r="E241" i="17"/>
  <c r="D241" i="17"/>
  <c r="K240" i="17"/>
  <c r="J240" i="17"/>
  <c r="I240" i="17"/>
  <c r="I282" i="17" s="1"/>
  <c r="H240" i="17"/>
  <c r="G240" i="17"/>
  <c r="G282" i="17" s="1"/>
  <c r="F240" i="17"/>
  <c r="E240" i="17"/>
  <c r="D240" i="17"/>
  <c r="K239" i="17"/>
  <c r="J239" i="17"/>
  <c r="I239" i="17"/>
  <c r="I281" i="17" s="1"/>
  <c r="H239" i="17"/>
  <c r="G239" i="17"/>
  <c r="F239" i="17"/>
  <c r="E239" i="17"/>
  <c r="D239" i="17"/>
  <c r="K238" i="17"/>
  <c r="J238" i="17"/>
  <c r="I238" i="17"/>
  <c r="I280" i="17" s="1"/>
  <c r="H238" i="17"/>
  <c r="G238" i="17"/>
  <c r="F238" i="17"/>
  <c r="E238" i="17"/>
  <c r="D238" i="17"/>
  <c r="K237" i="17"/>
  <c r="J237" i="17"/>
  <c r="I237" i="17"/>
  <c r="H237" i="17"/>
  <c r="G237" i="17"/>
  <c r="F237" i="17"/>
  <c r="E237" i="17"/>
  <c r="D237" i="17"/>
  <c r="K236" i="17"/>
  <c r="J236" i="17"/>
  <c r="I236" i="17"/>
  <c r="I278" i="17" s="1"/>
  <c r="H236" i="17"/>
  <c r="G236" i="17"/>
  <c r="G278" i="17" s="1"/>
  <c r="F236" i="17"/>
  <c r="F278" i="17" s="1"/>
  <c r="E236" i="17"/>
  <c r="D236" i="17"/>
  <c r="D278" i="17" s="1"/>
  <c r="K235" i="17"/>
  <c r="J235" i="17"/>
  <c r="J277" i="17" s="1"/>
  <c r="I235" i="17"/>
  <c r="I277" i="17" s="1"/>
  <c r="H235" i="17"/>
  <c r="G235" i="17"/>
  <c r="F235" i="17"/>
  <c r="E235" i="17"/>
  <c r="D235" i="17"/>
  <c r="K234" i="17"/>
  <c r="J234" i="17"/>
  <c r="I234" i="17"/>
  <c r="I276" i="17" s="1"/>
  <c r="H234" i="17"/>
  <c r="G234" i="17"/>
  <c r="G276" i="17" s="1"/>
  <c r="F234" i="17"/>
  <c r="E234" i="17"/>
  <c r="D234" i="17"/>
  <c r="K233" i="17"/>
  <c r="J233" i="17"/>
  <c r="J275" i="17" s="1"/>
  <c r="I233" i="17"/>
  <c r="H233" i="17"/>
  <c r="G233" i="17"/>
  <c r="F233" i="17"/>
  <c r="E233" i="17"/>
  <c r="D233" i="17"/>
  <c r="K232" i="17"/>
  <c r="J232" i="17"/>
  <c r="I232" i="17"/>
  <c r="I274" i="17" s="1"/>
  <c r="H232" i="17"/>
  <c r="G232" i="17"/>
  <c r="G274" i="17" s="1"/>
  <c r="F232" i="17"/>
  <c r="E232" i="17"/>
  <c r="D232" i="17"/>
  <c r="K231" i="17"/>
  <c r="J231" i="17"/>
  <c r="I231" i="17"/>
  <c r="H231" i="17"/>
  <c r="G231" i="17"/>
  <c r="F231" i="17"/>
  <c r="E231" i="17"/>
  <c r="D231" i="17"/>
  <c r="K230" i="17"/>
  <c r="J230" i="17"/>
  <c r="I230" i="17"/>
  <c r="I272" i="17" s="1"/>
  <c r="H230" i="17"/>
  <c r="G230" i="17"/>
  <c r="G272" i="17" s="1"/>
  <c r="F230" i="17"/>
  <c r="E230" i="17"/>
  <c r="D230" i="17"/>
  <c r="K229" i="17"/>
  <c r="J229" i="17"/>
  <c r="I229" i="17"/>
  <c r="H229" i="17"/>
  <c r="G229" i="17"/>
  <c r="F229" i="17"/>
  <c r="E229" i="17"/>
  <c r="D229" i="17"/>
  <c r="K228" i="17"/>
  <c r="J228" i="17"/>
  <c r="I228" i="17"/>
  <c r="I270" i="17" s="1"/>
  <c r="H228" i="17"/>
  <c r="G228" i="17"/>
  <c r="G270" i="17" s="1"/>
  <c r="F228" i="17"/>
  <c r="E228" i="17"/>
  <c r="D228" i="17"/>
  <c r="K227" i="17"/>
  <c r="J227" i="17"/>
  <c r="J269" i="17" s="1"/>
  <c r="I227" i="17"/>
  <c r="H227" i="17"/>
  <c r="G227" i="17"/>
  <c r="F227" i="17"/>
  <c r="E227" i="17"/>
  <c r="D227" i="17"/>
  <c r="K226" i="17"/>
  <c r="J226" i="17"/>
  <c r="I226" i="17"/>
  <c r="H226" i="17"/>
  <c r="G226" i="17"/>
  <c r="G268" i="17" s="1"/>
  <c r="F226" i="17"/>
  <c r="E226" i="17"/>
  <c r="D226" i="17"/>
  <c r="K225" i="17"/>
  <c r="J225" i="17"/>
  <c r="J267" i="17" s="1"/>
  <c r="I225" i="17"/>
  <c r="H225" i="17"/>
  <c r="G225" i="17"/>
  <c r="F225" i="17"/>
  <c r="E225" i="17"/>
  <c r="D225" i="17"/>
  <c r="K224" i="17"/>
  <c r="J224" i="17"/>
  <c r="I224" i="17"/>
  <c r="I266" i="17" s="1"/>
  <c r="H224" i="17"/>
  <c r="G224" i="17"/>
  <c r="G255" i="17" s="1"/>
  <c r="F224" i="17"/>
  <c r="E224" i="17"/>
  <c r="E255" i="17" s="1"/>
  <c r="D224" i="17"/>
  <c r="C215" i="17"/>
  <c r="K213" i="17"/>
  <c r="K211" i="17"/>
  <c r="G211" i="17"/>
  <c r="J210" i="17"/>
  <c r="I210" i="17"/>
  <c r="K209" i="17"/>
  <c r="K207" i="17"/>
  <c r="I207" i="17"/>
  <c r="I206" i="17"/>
  <c r="K205" i="17"/>
  <c r="K204" i="17"/>
  <c r="I204" i="17"/>
  <c r="K203" i="17"/>
  <c r="D202" i="17"/>
  <c r="K201" i="17"/>
  <c r="J201" i="17"/>
  <c r="I201" i="17"/>
  <c r="I200" i="17"/>
  <c r="K199" i="17"/>
  <c r="G199" i="17"/>
  <c r="J198" i="17"/>
  <c r="I198" i="17"/>
  <c r="G197" i="17"/>
  <c r="E196" i="17"/>
  <c r="K195" i="17"/>
  <c r="G195" i="17"/>
  <c r="K192" i="17"/>
  <c r="I192" i="17"/>
  <c r="K191" i="17"/>
  <c r="G190" i="17"/>
  <c r="D190" i="17"/>
  <c r="K189" i="17"/>
  <c r="I188" i="17"/>
  <c r="I187" i="17"/>
  <c r="G187" i="17"/>
  <c r="I184" i="17"/>
  <c r="C173" i="17"/>
  <c r="K172" i="17"/>
  <c r="I172" i="17"/>
  <c r="K171" i="17"/>
  <c r="J171" i="17"/>
  <c r="I171" i="17"/>
  <c r="H171" i="17"/>
  <c r="G171" i="17"/>
  <c r="F171" i="17"/>
  <c r="E171" i="17"/>
  <c r="D171" i="17"/>
  <c r="K170" i="17"/>
  <c r="J170" i="17"/>
  <c r="I170" i="17"/>
  <c r="H170" i="17"/>
  <c r="G170" i="17"/>
  <c r="F170" i="17"/>
  <c r="E170" i="17"/>
  <c r="D170" i="17"/>
  <c r="K169" i="17"/>
  <c r="J169" i="17"/>
  <c r="J211" i="17" s="1"/>
  <c r="I169" i="17"/>
  <c r="H169" i="17"/>
  <c r="G169" i="17"/>
  <c r="F169" i="17"/>
  <c r="E169" i="17"/>
  <c r="D169" i="17"/>
  <c r="K168" i="17"/>
  <c r="J168" i="17"/>
  <c r="I168" i="17"/>
  <c r="H168" i="17"/>
  <c r="G168" i="17"/>
  <c r="F168" i="17"/>
  <c r="E168" i="17"/>
  <c r="D168" i="17"/>
  <c r="D210" i="17" s="1"/>
  <c r="K167" i="17"/>
  <c r="J167" i="17"/>
  <c r="J209" i="17" s="1"/>
  <c r="I167" i="17"/>
  <c r="H167" i="17"/>
  <c r="G167" i="17"/>
  <c r="F167" i="17"/>
  <c r="E167" i="17"/>
  <c r="D167" i="17"/>
  <c r="K166" i="17"/>
  <c r="J166" i="17"/>
  <c r="I166" i="17"/>
  <c r="H166" i="17"/>
  <c r="G166" i="17"/>
  <c r="F166" i="17"/>
  <c r="E166" i="17"/>
  <c r="D166" i="17"/>
  <c r="D208" i="17" s="1"/>
  <c r="K165" i="17"/>
  <c r="J165" i="17"/>
  <c r="J207" i="17" s="1"/>
  <c r="I165" i="17"/>
  <c r="H165" i="17"/>
  <c r="G165" i="17"/>
  <c r="F165" i="17"/>
  <c r="E165" i="17"/>
  <c r="D165" i="17"/>
  <c r="K164" i="17"/>
  <c r="K206" i="17" s="1"/>
  <c r="J164" i="17"/>
  <c r="I164" i="17"/>
  <c r="H164" i="17"/>
  <c r="G164" i="17"/>
  <c r="F164" i="17"/>
  <c r="E164" i="17"/>
  <c r="D164" i="17"/>
  <c r="D206" i="17" s="1"/>
  <c r="K163" i="17"/>
  <c r="J163" i="17"/>
  <c r="J205" i="17" s="1"/>
  <c r="I163" i="17"/>
  <c r="H163" i="17"/>
  <c r="G163" i="17"/>
  <c r="F163" i="17"/>
  <c r="E163" i="17"/>
  <c r="D163" i="17"/>
  <c r="K162" i="17"/>
  <c r="J162" i="17"/>
  <c r="I162" i="17"/>
  <c r="H162" i="17"/>
  <c r="G162" i="17"/>
  <c r="F162" i="17"/>
  <c r="E162" i="17"/>
  <c r="D162" i="17"/>
  <c r="D204" i="17" s="1"/>
  <c r="K161" i="17"/>
  <c r="J161" i="17"/>
  <c r="J203" i="17" s="1"/>
  <c r="I161" i="17"/>
  <c r="H161" i="17"/>
  <c r="G161" i="17"/>
  <c r="F161" i="17"/>
  <c r="E161" i="17"/>
  <c r="D161" i="17"/>
  <c r="K160" i="17"/>
  <c r="J160" i="17"/>
  <c r="I160" i="17"/>
  <c r="H160" i="17"/>
  <c r="G160" i="17"/>
  <c r="F160" i="17"/>
  <c r="E160" i="17"/>
  <c r="D160" i="17"/>
  <c r="K159" i="17"/>
  <c r="J159" i="17"/>
  <c r="I159" i="17"/>
  <c r="H159" i="17"/>
  <c r="G159" i="17"/>
  <c r="F159" i="17"/>
  <c r="E159" i="17"/>
  <c r="D159" i="17"/>
  <c r="K158" i="17"/>
  <c r="J158" i="17"/>
  <c r="J200" i="17" s="1"/>
  <c r="I158" i="17"/>
  <c r="H158" i="17"/>
  <c r="G158" i="17"/>
  <c r="F158" i="17"/>
  <c r="E158" i="17"/>
  <c r="D158" i="17"/>
  <c r="K157" i="17"/>
  <c r="J157" i="17"/>
  <c r="J199" i="17" s="1"/>
  <c r="I157" i="17"/>
  <c r="H157" i="17"/>
  <c r="G157" i="17"/>
  <c r="F157" i="17"/>
  <c r="E157" i="17"/>
  <c r="D157" i="17"/>
  <c r="K156" i="17"/>
  <c r="J156" i="17"/>
  <c r="I156" i="17"/>
  <c r="H156" i="17"/>
  <c r="G156" i="17"/>
  <c r="F156" i="17"/>
  <c r="E156" i="17"/>
  <c r="D156" i="17"/>
  <c r="D198" i="17" s="1"/>
  <c r="K155" i="17"/>
  <c r="J155" i="17"/>
  <c r="J197" i="17" s="1"/>
  <c r="I155" i="17"/>
  <c r="H155" i="17"/>
  <c r="G155" i="17"/>
  <c r="F155" i="17"/>
  <c r="E155" i="17"/>
  <c r="D155" i="17"/>
  <c r="K154" i="17"/>
  <c r="J154" i="17"/>
  <c r="J196" i="17" s="1"/>
  <c r="I154" i="17"/>
  <c r="H154" i="17"/>
  <c r="G154" i="17"/>
  <c r="F154" i="17"/>
  <c r="E154" i="17"/>
  <c r="D154" i="17"/>
  <c r="D196" i="17" s="1"/>
  <c r="K153" i="17"/>
  <c r="J153" i="17"/>
  <c r="I153" i="17"/>
  <c r="H153" i="17"/>
  <c r="G153" i="17"/>
  <c r="F153" i="17"/>
  <c r="F195" i="17" s="1"/>
  <c r="E153" i="17"/>
  <c r="E195" i="17" s="1"/>
  <c r="D153" i="17"/>
  <c r="D195" i="17" s="1"/>
  <c r="K152" i="17"/>
  <c r="K194" i="17" s="1"/>
  <c r="J152" i="17"/>
  <c r="I152" i="17"/>
  <c r="H152" i="17"/>
  <c r="G152" i="17"/>
  <c r="F152" i="17"/>
  <c r="E152" i="17"/>
  <c r="D152" i="17"/>
  <c r="D194" i="17" s="1"/>
  <c r="K151" i="17"/>
  <c r="J151" i="17"/>
  <c r="I151" i="17"/>
  <c r="H151" i="17"/>
  <c r="G151" i="17"/>
  <c r="F151" i="17"/>
  <c r="E151" i="17"/>
  <c r="D151" i="17"/>
  <c r="K150" i="17"/>
  <c r="J150" i="17"/>
  <c r="I150" i="17"/>
  <c r="H150" i="17"/>
  <c r="G150" i="17"/>
  <c r="F150" i="17"/>
  <c r="E150" i="17"/>
  <c r="D150" i="17"/>
  <c r="D192" i="17" s="1"/>
  <c r="K149" i="17"/>
  <c r="J149" i="17"/>
  <c r="I149" i="17"/>
  <c r="H149" i="17"/>
  <c r="G149" i="17"/>
  <c r="F149" i="17"/>
  <c r="E149" i="17"/>
  <c r="D149" i="17"/>
  <c r="K148" i="17"/>
  <c r="K190" i="17" s="1"/>
  <c r="J148" i="17"/>
  <c r="J190" i="17" s="1"/>
  <c r="I148" i="17"/>
  <c r="I190" i="17" s="1"/>
  <c r="H148" i="17"/>
  <c r="G148" i="17"/>
  <c r="F148" i="17"/>
  <c r="E148" i="17"/>
  <c r="D148" i="17"/>
  <c r="K147" i="17"/>
  <c r="J147" i="17"/>
  <c r="I147" i="17"/>
  <c r="H147" i="17"/>
  <c r="G147" i="17"/>
  <c r="F147" i="17"/>
  <c r="E147" i="17"/>
  <c r="D147" i="17"/>
  <c r="K146" i="17"/>
  <c r="J146" i="17"/>
  <c r="J188" i="17" s="1"/>
  <c r="I146" i="17"/>
  <c r="H146" i="17"/>
  <c r="G146" i="17"/>
  <c r="F146" i="17"/>
  <c r="E146" i="17"/>
  <c r="D146" i="17"/>
  <c r="K145" i="17"/>
  <c r="J145" i="17"/>
  <c r="I145" i="17"/>
  <c r="H145" i="17"/>
  <c r="G145" i="17"/>
  <c r="F145" i="17"/>
  <c r="E145" i="17"/>
  <c r="D145" i="17"/>
  <c r="K144" i="17"/>
  <c r="J144" i="17"/>
  <c r="I144" i="17"/>
  <c r="H144" i="17"/>
  <c r="G144" i="17"/>
  <c r="F144" i="17"/>
  <c r="E144" i="17"/>
  <c r="D144" i="17"/>
  <c r="K143" i="17"/>
  <c r="J143" i="17"/>
  <c r="I143" i="17"/>
  <c r="H143" i="17"/>
  <c r="G143" i="17"/>
  <c r="F143" i="17"/>
  <c r="E143" i="17"/>
  <c r="D143" i="17"/>
  <c r="K142" i="17"/>
  <c r="K184" i="17" s="1"/>
  <c r="J142" i="17"/>
  <c r="J184" i="17" s="1"/>
  <c r="I142" i="17"/>
  <c r="H142" i="17"/>
  <c r="G142" i="17"/>
  <c r="F142" i="17"/>
  <c r="E142" i="17"/>
  <c r="D142" i="17"/>
  <c r="K141" i="17"/>
  <c r="J141" i="17"/>
  <c r="I141" i="17"/>
  <c r="H141" i="17"/>
  <c r="G141" i="17"/>
  <c r="G172" i="17" s="1"/>
  <c r="F141" i="17"/>
  <c r="E141" i="17"/>
  <c r="D141" i="17"/>
  <c r="C131" i="17"/>
  <c r="I129" i="17"/>
  <c r="J128" i="17"/>
  <c r="I128" i="17"/>
  <c r="G127" i="17"/>
  <c r="I125" i="17"/>
  <c r="J124" i="17"/>
  <c r="E124" i="17"/>
  <c r="J122" i="17"/>
  <c r="I121" i="17"/>
  <c r="F121" i="17"/>
  <c r="J120" i="17"/>
  <c r="I119" i="17"/>
  <c r="K118" i="17"/>
  <c r="I118" i="17"/>
  <c r="I117" i="17"/>
  <c r="D116" i="17"/>
  <c r="I115" i="17"/>
  <c r="J114" i="17"/>
  <c r="E114" i="17"/>
  <c r="K113" i="17"/>
  <c r="I113" i="17"/>
  <c r="J112" i="17"/>
  <c r="E112" i="17"/>
  <c r="K111" i="17"/>
  <c r="I111" i="17"/>
  <c r="J110" i="17"/>
  <c r="E110" i="17"/>
  <c r="K109" i="17"/>
  <c r="I109" i="17"/>
  <c r="J108" i="17"/>
  <c r="K107" i="17"/>
  <c r="I107" i="17"/>
  <c r="J106" i="17"/>
  <c r="K105" i="17"/>
  <c r="I105" i="17"/>
  <c r="J104" i="17"/>
  <c r="K103" i="17"/>
  <c r="I103" i="17"/>
  <c r="J102" i="17"/>
  <c r="K101" i="17"/>
  <c r="I101" i="17"/>
  <c r="J100" i="17"/>
  <c r="K99" i="17"/>
  <c r="I99" i="17"/>
  <c r="H95" i="17"/>
  <c r="C89" i="17"/>
  <c r="K87" i="17"/>
  <c r="K129" i="17" s="1"/>
  <c r="J87" i="17"/>
  <c r="I87" i="17"/>
  <c r="H87" i="17"/>
  <c r="G87" i="17"/>
  <c r="G129" i="17" s="1"/>
  <c r="F87" i="17"/>
  <c r="E87" i="17"/>
  <c r="D87" i="17"/>
  <c r="D129" i="17" s="1"/>
  <c r="K86" i="17"/>
  <c r="K128" i="17" s="1"/>
  <c r="J86" i="17"/>
  <c r="I86" i="17"/>
  <c r="H86" i="17"/>
  <c r="G86" i="17"/>
  <c r="G128" i="17" s="1"/>
  <c r="F86" i="17"/>
  <c r="E86" i="17"/>
  <c r="E128" i="17" s="1"/>
  <c r="D86" i="17"/>
  <c r="D128" i="17" s="1"/>
  <c r="K85" i="17"/>
  <c r="K127" i="17" s="1"/>
  <c r="J85" i="17"/>
  <c r="I85" i="17"/>
  <c r="I127" i="17" s="1"/>
  <c r="H85" i="17"/>
  <c r="G85" i="17"/>
  <c r="F85" i="17"/>
  <c r="F127" i="17" s="1"/>
  <c r="E85" i="17"/>
  <c r="E127" i="17" s="1"/>
  <c r="D85" i="17"/>
  <c r="D127" i="17" s="1"/>
  <c r="K84" i="17"/>
  <c r="K126" i="17" s="1"/>
  <c r="J84" i="17"/>
  <c r="J126" i="17" s="1"/>
  <c r="I84" i="17"/>
  <c r="I126" i="17" s="1"/>
  <c r="H84" i="17"/>
  <c r="G84" i="17"/>
  <c r="G126" i="17" s="1"/>
  <c r="F84" i="17"/>
  <c r="E84" i="17"/>
  <c r="E126" i="17" s="1"/>
  <c r="D84" i="17"/>
  <c r="D126" i="17" s="1"/>
  <c r="K83" i="17"/>
  <c r="K125" i="17" s="1"/>
  <c r="J83" i="17"/>
  <c r="I83" i="17"/>
  <c r="H83" i="17"/>
  <c r="G83" i="17"/>
  <c r="G125" i="17" s="1"/>
  <c r="F83" i="17"/>
  <c r="E83" i="17"/>
  <c r="D83" i="17"/>
  <c r="D125" i="17" s="1"/>
  <c r="K82" i="17"/>
  <c r="K124" i="17" s="1"/>
  <c r="J82" i="17"/>
  <c r="I82" i="17"/>
  <c r="I124" i="17" s="1"/>
  <c r="H82" i="17"/>
  <c r="G82" i="17"/>
  <c r="G124" i="17" s="1"/>
  <c r="F82" i="17"/>
  <c r="E82" i="17"/>
  <c r="D82" i="17"/>
  <c r="D124" i="17" s="1"/>
  <c r="K81" i="17"/>
  <c r="K123" i="17" s="1"/>
  <c r="J81" i="17"/>
  <c r="I81" i="17"/>
  <c r="I123" i="17" s="1"/>
  <c r="H81" i="17"/>
  <c r="G81" i="17"/>
  <c r="G123" i="17" s="1"/>
  <c r="F81" i="17"/>
  <c r="F123" i="17" s="1"/>
  <c r="E81" i="17"/>
  <c r="D81" i="17"/>
  <c r="D123" i="17" s="1"/>
  <c r="K80" i="17"/>
  <c r="K122" i="17" s="1"/>
  <c r="J80" i="17"/>
  <c r="I80" i="17"/>
  <c r="I122" i="17" s="1"/>
  <c r="H80" i="17"/>
  <c r="G80" i="17"/>
  <c r="G122" i="17" s="1"/>
  <c r="F80" i="17"/>
  <c r="E80" i="17"/>
  <c r="E122" i="17" s="1"/>
  <c r="D80" i="17"/>
  <c r="D122" i="17" s="1"/>
  <c r="K79" i="17"/>
  <c r="K121" i="17" s="1"/>
  <c r="J79" i="17"/>
  <c r="I79" i="17"/>
  <c r="H79" i="17"/>
  <c r="G79" i="17"/>
  <c r="G121" i="17" s="1"/>
  <c r="F79" i="17"/>
  <c r="E79" i="17"/>
  <c r="D79" i="17"/>
  <c r="D121" i="17" s="1"/>
  <c r="K78" i="17"/>
  <c r="K120" i="17" s="1"/>
  <c r="J78" i="17"/>
  <c r="I78" i="17"/>
  <c r="I120" i="17" s="1"/>
  <c r="H78" i="17"/>
  <c r="G78" i="17"/>
  <c r="G120" i="17" s="1"/>
  <c r="F78" i="17"/>
  <c r="E78" i="17"/>
  <c r="E120" i="17" s="1"/>
  <c r="D78" i="17"/>
  <c r="D120" i="17" s="1"/>
  <c r="K77" i="17"/>
  <c r="K119" i="17" s="1"/>
  <c r="J77" i="17"/>
  <c r="I77" i="17"/>
  <c r="H77" i="17"/>
  <c r="G77" i="17"/>
  <c r="G119" i="17" s="1"/>
  <c r="F77" i="17"/>
  <c r="F119" i="17" s="1"/>
  <c r="E77" i="17"/>
  <c r="D77" i="17"/>
  <c r="D119" i="17" s="1"/>
  <c r="K76" i="17"/>
  <c r="J76" i="17"/>
  <c r="I76" i="17"/>
  <c r="H76" i="17"/>
  <c r="G76" i="17"/>
  <c r="G118" i="17" s="1"/>
  <c r="F76" i="17"/>
  <c r="E76" i="17"/>
  <c r="E118" i="17" s="1"/>
  <c r="D76" i="17"/>
  <c r="D118" i="17" s="1"/>
  <c r="K75" i="17"/>
  <c r="K117" i="17" s="1"/>
  <c r="J75" i="17"/>
  <c r="I75" i="17"/>
  <c r="H75" i="17"/>
  <c r="G75" i="17"/>
  <c r="G117" i="17" s="1"/>
  <c r="F75" i="17"/>
  <c r="F117" i="17" s="1"/>
  <c r="E75" i="17"/>
  <c r="D75" i="17"/>
  <c r="K74" i="17"/>
  <c r="K116" i="17" s="1"/>
  <c r="J74" i="17"/>
  <c r="I74" i="17"/>
  <c r="I116" i="17" s="1"/>
  <c r="H74" i="17"/>
  <c r="G74" i="17"/>
  <c r="G116" i="17" s="1"/>
  <c r="F74" i="17"/>
  <c r="E74" i="17"/>
  <c r="E116" i="17" s="1"/>
  <c r="D74" i="17"/>
  <c r="K73" i="17"/>
  <c r="K115" i="17" s="1"/>
  <c r="J73" i="17"/>
  <c r="I73" i="17"/>
  <c r="H73" i="17"/>
  <c r="G73" i="17"/>
  <c r="G115" i="17" s="1"/>
  <c r="F73" i="17"/>
  <c r="F115" i="17" s="1"/>
  <c r="E73" i="17"/>
  <c r="D73" i="17"/>
  <c r="D115" i="17" s="1"/>
  <c r="K72" i="17"/>
  <c r="K114" i="17" s="1"/>
  <c r="J72" i="17"/>
  <c r="I72" i="17"/>
  <c r="I114" i="17" s="1"/>
  <c r="H72" i="17"/>
  <c r="G72" i="17"/>
  <c r="G114" i="17" s="1"/>
  <c r="F72" i="17"/>
  <c r="E72" i="17"/>
  <c r="D72" i="17"/>
  <c r="D114" i="17" s="1"/>
  <c r="K71" i="17"/>
  <c r="J71" i="17"/>
  <c r="I71" i="17"/>
  <c r="H71" i="17"/>
  <c r="G71" i="17"/>
  <c r="G113" i="17" s="1"/>
  <c r="F71" i="17"/>
  <c r="F113" i="17" s="1"/>
  <c r="E71" i="17"/>
  <c r="D71" i="17"/>
  <c r="D113" i="17" s="1"/>
  <c r="K70" i="17"/>
  <c r="K112" i="17" s="1"/>
  <c r="J70" i="17"/>
  <c r="I70" i="17"/>
  <c r="I112" i="17" s="1"/>
  <c r="H70" i="17"/>
  <c r="G70" i="17"/>
  <c r="G112" i="17" s="1"/>
  <c r="F70" i="17"/>
  <c r="E70" i="17"/>
  <c r="D70" i="17"/>
  <c r="D112" i="17" s="1"/>
  <c r="K69" i="17"/>
  <c r="J69" i="17"/>
  <c r="I69" i="17"/>
  <c r="H69" i="17"/>
  <c r="G69" i="17"/>
  <c r="G111" i="17" s="1"/>
  <c r="F69" i="17"/>
  <c r="F111" i="17" s="1"/>
  <c r="E69" i="17"/>
  <c r="E111" i="17" s="1"/>
  <c r="D69" i="17"/>
  <c r="D111" i="17" s="1"/>
  <c r="K68" i="17"/>
  <c r="K110" i="17" s="1"/>
  <c r="J68" i="17"/>
  <c r="I68" i="17"/>
  <c r="I110" i="17" s="1"/>
  <c r="H68" i="17"/>
  <c r="G68" i="17"/>
  <c r="G110" i="17" s="1"/>
  <c r="F68" i="17"/>
  <c r="E68" i="17"/>
  <c r="D68" i="17"/>
  <c r="D110" i="17" s="1"/>
  <c r="K67" i="17"/>
  <c r="J67" i="17"/>
  <c r="I67" i="17"/>
  <c r="H67" i="17"/>
  <c r="G67" i="17"/>
  <c r="G109" i="17" s="1"/>
  <c r="F67" i="17"/>
  <c r="F109" i="17" s="1"/>
  <c r="E67" i="17"/>
  <c r="D67" i="17"/>
  <c r="D109" i="17" s="1"/>
  <c r="K66" i="17"/>
  <c r="K108" i="17" s="1"/>
  <c r="J66" i="17"/>
  <c r="I66" i="17"/>
  <c r="I108" i="17" s="1"/>
  <c r="H66" i="17"/>
  <c r="G66" i="17"/>
  <c r="G108" i="17" s="1"/>
  <c r="F66" i="17"/>
  <c r="E66" i="17"/>
  <c r="D66" i="17"/>
  <c r="D108" i="17" s="1"/>
  <c r="K65" i="17"/>
  <c r="J65" i="17"/>
  <c r="I65" i="17"/>
  <c r="H65" i="17"/>
  <c r="G65" i="17"/>
  <c r="G107" i="17" s="1"/>
  <c r="F65" i="17"/>
  <c r="F107" i="17" s="1"/>
  <c r="E65" i="17"/>
  <c r="D65" i="17"/>
  <c r="D107" i="17" s="1"/>
  <c r="K64" i="17"/>
  <c r="K106" i="17" s="1"/>
  <c r="J64" i="17"/>
  <c r="I64" i="17"/>
  <c r="I106" i="17" s="1"/>
  <c r="H64" i="17"/>
  <c r="G64" i="17"/>
  <c r="G106" i="17" s="1"/>
  <c r="F64" i="17"/>
  <c r="E64" i="17"/>
  <c r="D64" i="17"/>
  <c r="D106" i="17" s="1"/>
  <c r="K63" i="17"/>
  <c r="J63" i="17"/>
  <c r="I63" i="17"/>
  <c r="H63" i="17"/>
  <c r="G63" i="17"/>
  <c r="G105" i="17" s="1"/>
  <c r="F63" i="17"/>
  <c r="F105" i="17" s="1"/>
  <c r="E63" i="17"/>
  <c r="D63" i="17"/>
  <c r="D105" i="17" s="1"/>
  <c r="K62" i="17"/>
  <c r="K104" i="17" s="1"/>
  <c r="J62" i="17"/>
  <c r="I62" i="17"/>
  <c r="I104" i="17" s="1"/>
  <c r="H62" i="17"/>
  <c r="G62" i="17"/>
  <c r="G104" i="17" s="1"/>
  <c r="F62" i="17"/>
  <c r="E62" i="17"/>
  <c r="D62" i="17"/>
  <c r="D104" i="17" s="1"/>
  <c r="K61" i="17"/>
  <c r="J61" i="17"/>
  <c r="I61" i="17"/>
  <c r="H61" i="17"/>
  <c r="G61" i="17"/>
  <c r="G103" i="17" s="1"/>
  <c r="F61" i="17"/>
  <c r="F103" i="17" s="1"/>
  <c r="E61" i="17"/>
  <c r="D61" i="17"/>
  <c r="D103" i="17" s="1"/>
  <c r="K60" i="17"/>
  <c r="K102" i="17" s="1"/>
  <c r="J60" i="17"/>
  <c r="I60" i="17"/>
  <c r="I102" i="17" s="1"/>
  <c r="H60" i="17"/>
  <c r="G60" i="17"/>
  <c r="G102" i="17" s="1"/>
  <c r="F60" i="17"/>
  <c r="E60" i="17"/>
  <c r="D60" i="17"/>
  <c r="D102" i="17" s="1"/>
  <c r="K59" i="17"/>
  <c r="J59" i="17"/>
  <c r="I59" i="17"/>
  <c r="H59" i="17"/>
  <c r="G59" i="17"/>
  <c r="G101" i="17" s="1"/>
  <c r="F59" i="17"/>
  <c r="F101" i="17" s="1"/>
  <c r="E59" i="17"/>
  <c r="D59" i="17"/>
  <c r="D101" i="17" s="1"/>
  <c r="K58" i="17"/>
  <c r="K100" i="17" s="1"/>
  <c r="J58" i="17"/>
  <c r="I58" i="17"/>
  <c r="I88" i="17" s="1"/>
  <c r="H58" i="17"/>
  <c r="H88" i="17" s="1"/>
  <c r="G58" i="17"/>
  <c r="G100" i="17" s="1"/>
  <c r="F58" i="17"/>
  <c r="E58" i="17"/>
  <c r="D58" i="17"/>
  <c r="D100" i="17" s="1"/>
  <c r="K57" i="17"/>
  <c r="K88" i="17" s="1"/>
  <c r="J57" i="17"/>
  <c r="J88" i="17" s="1"/>
  <c r="I57" i="17"/>
  <c r="H57" i="17"/>
  <c r="G57" i="17"/>
  <c r="F57" i="17"/>
  <c r="F99" i="17" s="1"/>
  <c r="E57" i="17"/>
  <c r="D57" i="17"/>
  <c r="D99" i="17" s="1"/>
  <c r="K45" i="17"/>
  <c r="J45" i="17"/>
  <c r="J213" i="17" s="1"/>
  <c r="I45" i="17"/>
  <c r="I213" i="17" s="1"/>
  <c r="H45" i="17"/>
  <c r="G45" i="17"/>
  <c r="G213" i="17" s="1"/>
  <c r="F45" i="17"/>
  <c r="F129" i="17" s="1"/>
  <c r="E45" i="17"/>
  <c r="E296" i="17" s="1"/>
  <c r="D45" i="17"/>
  <c r="K44" i="17"/>
  <c r="K212" i="17" s="1"/>
  <c r="J44" i="17"/>
  <c r="J212" i="17" s="1"/>
  <c r="I44" i="17"/>
  <c r="I212" i="17" s="1"/>
  <c r="H44" i="17"/>
  <c r="H295" i="17" s="1"/>
  <c r="G44" i="17"/>
  <c r="G212" i="17" s="1"/>
  <c r="F44" i="17"/>
  <c r="F295" i="17" s="1"/>
  <c r="E44" i="17"/>
  <c r="E295" i="17" s="1"/>
  <c r="D44" i="17"/>
  <c r="D212" i="17" s="1"/>
  <c r="K43" i="17"/>
  <c r="J43" i="17"/>
  <c r="I43" i="17"/>
  <c r="I294" i="17" s="1"/>
  <c r="H43" i="17"/>
  <c r="G43" i="17"/>
  <c r="F43" i="17"/>
  <c r="E43" i="17"/>
  <c r="E294" i="17" s="1"/>
  <c r="D43" i="17"/>
  <c r="K42" i="17"/>
  <c r="K293" i="17" s="1"/>
  <c r="J42" i="17"/>
  <c r="J293" i="17" s="1"/>
  <c r="I42" i="17"/>
  <c r="H42" i="17"/>
  <c r="H293" i="17" s="1"/>
  <c r="G42" i="17"/>
  <c r="G210" i="17" s="1"/>
  <c r="F42" i="17"/>
  <c r="F293" i="17" s="1"/>
  <c r="E42" i="17"/>
  <c r="E210" i="17" s="1"/>
  <c r="D42" i="17"/>
  <c r="K41" i="17"/>
  <c r="J41" i="17"/>
  <c r="I41" i="17"/>
  <c r="I209" i="17" s="1"/>
  <c r="H41" i="17"/>
  <c r="H292" i="17" s="1"/>
  <c r="G41" i="17"/>
  <c r="G209" i="17" s="1"/>
  <c r="F41" i="17"/>
  <c r="F125" i="17" s="1"/>
  <c r="E41" i="17"/>
  <c r="E292" i="17" s="1"/>
  <c r="D41" i="17"/>
  <c r="K40" i="17"/>
  <c r="K291" i="17" s="1"/>
  <c r="J40" i="17"/>
  <c r="J291" i="17" s="1"/>
  <c r="I40" i="17"/>
  <c r="I208" i="17" s="1"/>
  <c r="H40" i="17"/>
  <c r="H291" i="17" s="1"/>
  <c r="G40" i="17"/>
  <c r="G208" i="17" s="1"/>
  <c r="F40" i="17"/>
  <c r="F291" i="17" s="1"/>
  <c r="E40" i="17"/>
  <c r="E291" i="17" s="1"/>
  <c r="D40" i="17"/>
  <c r="K39" i="17"/>
  <c r="J39" i="17"/>
  <c r="I39" i="17"/>
  <c r="I290" i="17" s="1"/>
  <c r="H39" i="17"/>
  <c r="G39" i="17"/>
  <c r="G207" i="17" s="1"/>
  <c r="F39" i="17"/>
  <c r="E39" i="17"/>
  <c r="E290" i="17" s="1"/>
  <c r="D39" i="17"/>
  <c r="K38" i="17"/>
  <c r="K289" i="17" s="1"/>
  <c r="J38" i="17"/>
  <c r="J206" i="17" s="1"/>
  <c r="I38" i="17"/>
  <c r="H38" i="17"/>
  <c r="H289" i="17" s="1"/>
  <c r="G38" i="17"/>
  <c r="G289" i="17" s="1"/>
  <c r="F38" i="17"/>
  <c r="F289" i="17" s="1"/>
  <c r="E38" i="17"/>
  <c r="E289" i="17" s="1"/>
  <c r="D38" i="17"/>
  <c r="K37" i="17"/>
  <c r="J37" i="17"/>
  <c r="I37" i="17"/>
  <c r="I205" i="17" s="1"/>
  <c r="H37" i="17"/>
  <c r="G37" i="17"/>
  <c r="G205" i="17" s="1"/>
  <c r="F37" i="17"/>
  <c r="E37" i="17"/>
  <c r="E288" i="17" s="1"/>
  <c r="D37" i="17"/>
  <c r="K36" i="17"/>
  <c r="K287" i="17" s="1"/>
  <c r="J36" i="17"/>
  <c r="J287" i="17" s="1"/>
  <c r="I36" i="17"/>
  <c r="H36" i="17"/>
  <c r="H287" i="17" s="1"/>
  <c r="G36" i="17"/>
  <c r="G204" i="17" s="1"/>
  <c r="F36" i="17"/>
  <c r="F287" i="17" s="1"/>
  <c r="E36" i="17"/>
  <c r="E204" i="17" s="1"/>
  <c r="D36" i="17"/>
  <c r="K35" i="17"/>
  <c r="J35" i="17"/>
  <c r="I35" i="17"/>
  <c r="I203" i="17" s="1"/>
  <c r="H35" i="17"/>
  <c r="H286" i="17" s="1"/>
  <c r="G35" i="17"/>
  <c r="G203" i="17" s="1"/>
  <c r="F35" i="17"/>
  <c r="E35" i="17"/>
  <c r="E286" i="17" s="1"/>
  <c r="D35" i="17"/>
  <c r="K34" i="17"/>
  <c r="K285" i="17" s="1"/>
  <c r="J34" i="17"/>
  <c r="J202" i="17" s="1"/>
  <c r="I34" i="17"/>
  <c r="I202" i="17" s="1"/>
  <c r="H34" i="17"/>
  <c r="H285" i="17" s="1"/>
  <c r="G34" i="17"/>
  <c r="G285" i="17" s="1"/>
  <c r="F34" i="17"/>
  <c r="F285" i="17" s="1"/>
  <c r="E34" i="17"/>
  <c r="E285" i="17" s="1"/>
  <c r="D34" i="17"/>
  <c r="K33" i="17"/>
  <c r="J33" i="17"/>
  <c r="I33" i="17"/>
  <c r="I284" i="17" s="1"/>
  <c r="H33" i="17"/>
  <c r="G33" i="17"/>
  <c r="G201" i="17" s="1"/>
  <c r="F33" i="17"/>
  <c r="E33" i="17"/>
  <c r="E284" i="17" s="1"/>
  <c r="D33" i="17"/>
  <c r="D117" i="17" s="1"/>
  <c r="K32" i="17"/>
  <c r="K200" i="17" s="1"/>
  <c r="J32" i="17"/>
  <c r="J116" i="17" s="1"/>
  <c r="I32" i="17"/>
  <c r="H32" i="17"/>
  <c r="H283" i="17" s="1"/>
  <c r="G32" i="17"/>
  <c r="G200" i="17" s="1"/>
  <c r="F32" i="17"/>
  <c r="F116" i="17" s="1"/>
  <c r="E32" i="17"/>
  <c r="E283" i="17" s="1"/>
  <c r="D32" i="17"/>
  <c r="D200" i="17" s="1"/>
  <c r="K31" i="17"/>
  <c r="J31" i="17"/>
  <c r="I31" i="17"/>
  <c r="I199" i="17" s="1"/>
  <c r="H31" i="17"/>
  <c r="G31" i="17"/>
  <c r="F31" i="17"/>
  <c r="E31" i="17"/>
  <c r="E282" i="17" s="1"/>
  <c r="D31" i="17"/>
  <c r="K30" i="17"/>
  <c r="K281" i="17" s="1"/>
  <c r="J30" i="17"/>
  <c r="J281" i="17" s="1"/>
  <c r="I30" i="17"/>
  <c r="H30" i="17"/>
  <c r="H281" i="17" s="1"/>
  <c r="G30" i="17"/>
  <c r="G198" i="17" s="1"/>
  <c r="F30" i="17"/>
  <c r="F281" i="17" s="1"/>
  <c r="E30" i="17"/>
  <c r="E198" i="17" s="1"/>
  <c r="D30" i="17"/>
  <c r="K29" i="17"/>
  <c r="K197" i="17" s="1"/>
  <c r="J29" i="17"/>
  <c r="J113" i="17" s="1"/>
  <c r="I29" i="17"/>
  <c r="I197" i="17" s="1"/>
  <c r="H29" i="17"/>
  <c r="G29" i="17"/>
  <c r="F29" i="17"/>
  <c r="E29" i="17"/>
  <c r="E280" i="17" s="1"/>
  <c r="D29" i="17"/>
  <c r="K28" i="17"/>
  <c r="K196" i="17" s="1"/>
  <c r="J28" i="17"/>
  <c r="I28" i="17"/>
  <c r="I196" i="17" s="1"/>
  <c r="H28" i="17"/>
  <c r="H279" i="17" s="1"/>
  <c r="G28" i="17"/>
  <c r="G279" i="17" s="1"/>
  <c r="F28" i="17"/>
  <c r="F279" i="17" s="1"/>
  <c r="E28" i="17"/>
  <c r="E279" i="17" s="1"/>
  <c r="D28" i="17"/>
  <c r="K27" i="17"/>
  <c r="J27" i="17"/>
  <c r="J195" i="17" s="1"/>
  <c r="I27" i="17"/>
  <c r="I195" i="17" s="1"/>
  <c r="H27" i="17"/>
  <c r="G27" i="17"/>
  <c r="F27" i="17"/>
  <c r="E27" i="17"/>
  <c r="D27" i="17"/>
  <c r="K26" i="17"/>
  <c r="K277" i="17" s="1"/>
  <c r="J26" i="17"/>
  <c r="J194" i="17" s="1"/>
  <c r="I26" i="17"/>
  <c r="I194" i="17" s="1"/>
  <c r="H26" i="17"/>
  <c r="G26" i="17"/>
  <c r="G194" i="17" s="1"/>
  <c r="F26" i="17"/>
  <c r="F277" i="17" s="1"/>
  <c r="E26" i="17"/>
  <c r="E194" i="17" s="1"/>
  <c r="D26" i="17"/>
  <c r="K25" i="17"/>
  <c r="K193" i="17" s="1"/>
  <c r="J25" i="17"/>
  <c r="J109" i="17" s="1"/>
  <c r="I25" i="17"/>
  <c r="I193" i="17" s="1"/>
  <c r="H25" i="17"/>
  <c r="H193" i="17" s="1"/>
  <c r="G25" i="17"/>
  <c r="G193" i="17" s="1"/>
  <c r="F25" i="17"/>
  <c r="E25" i="17"/>
  <c r="E276" i="17" s="1"/>
  <c r="D25" i="17"/>
  <c r="K24" i="17"/>
  <c r="K275" i="17" s="1"/>
  <c r="J24" i="17"/>
  <c r="J192" i="17" s="1"/>
  <c r="I24" i="17"/>
  <c r="I275" i="17" s="1"/>
  <c r="H24" i="17"/>
  <c r="H275" i="17" s="1"/>
  <c r="G24" i="17"/>
  <c r="G192" i="17" s="1"/>
  <c r="F24" i="17"/>
  <c r="F275" i="17" s="1"/>
  <c r="E24" i="17"/>
  <c r="D24" i="17"/>
  <c r="K23" i="17"/>
  <c r="J23" i="17"/>
  <c r="J107" i="17" s="1"/>
  <c r="I23" i="17"/>
  <c r="I191" i="17" s="1"/>
  <c r="H23" i="17"/>
  <c r="G23" i="17"/>
  <c r="G191" i="17" s="1"/>
  <c r="F23" i="17"/>
  <c r="E23" i="17"/>
  <c r="E274" i="17" s="1"/>
  <c r="D23" i="17"/>
  <c r="K22" i="17"/>
  <c r="J22" i="17"/>
  <c r="J273" i="17" s="1"/>
  <c r="I22" i="17"/>
  <c r="H22" i="17"/>
  <c r="H273" i="17" s="1"/>
  <c r="G22" i="17"/>
  <c r="G273" i="17" s="1"/>
  <c r="F22" i="17"/>
  <c r="F273" i="17" s="1"/>
  <c r="E22" i="17"/>
  <c r="E106" i="17" s="1"/>
  <c r="D22" i="17"/>
  <c r="K21" i="17"/>
  <c r="J21" i="17"/>
  <c r="J105" i="17" s="1"/>
  <c r="I21" i="17"/>
  <c r="I189" i="17" s="1"/>
  <c r="H21" i="17"/>
  <c r="H272" i="17" s="1"/>
  <c r="G21" i="17"/>
  <c r="G189" i="17" s="1"/>
  <c r="F21" i="17"/>
  <c r="E21" i="17"/>
  <c r="E272" i="17" s="1"/>
  <c r="D21" i="17"/>
  <c r="K20" i="17"/>
  <c r="K188" i="17" s="1"/>
  <c r="J20" i="17"/>
  <c r="J271" i="17" s="1"/>
  <c r="I20" i="17"/>
  <c r="H20" i="17"/>
  <c r="H271" i="17" s="1"/>
  <c r="G20" i="17"/>
  <c r="G188" i="17" s="1"/>
  <c r="F20" i="17"/>
  <c r="F271" i="17" s="1"/>
  <c r="E20" i="17"/>
  <c r="E188" i="17" s="1"/>
  <c r="D20" i="17"/>
  <c r="K19" i="17"/>
  <c r="K187" i="17" s="1"/>
  <c r="J19" i="17"/>
  <c r="J103" i="17" s="1"/>
  <c r="I19" i="17"/>
  <c r="H19" i="17"/>
  <c r="H270" i="17" s="1"/>
  <c r="G19" i="17"/>
  <c r="F19" i="17"/>
  <c r="E19" i="17"/>
  <c r="E270" i="17" s="1"/>
  <c r="D19" i="17"/>
  <c r="K18" i="17"/>
  <c r="K186" i="17" s="1"/>
  <c r="J18" i="17"/>
  <c r="J186" i="17" s="1"/>
  <c r="I18" i="17"/>
  <c r="I186" i="17" s="1"/>
  <c r="H18" i="17"/>
  <c r="H269" i="17" s="1"/>
  <c r="G18" i="17"/>
  <c r="G186" i="17" s="1"/>
  <c r="F18" i="17"/>
  <c r="F269" i="17" s="1"/>
  <c r="E18" i="17"/>
  <c r="D18" i="17"/>
  <c r="K17" i="17"/>
  <c r="K185" i="17" s="1"/>
  <c r="J17" i="17"/>
  <c r="J101" i="17" s="1"/>
  <c r="I17" i="17"/>
  <c r="I268" i="17" s="1"/>
  <c r="H17" i="17"/>
  <c r="H268" i="17" s="1"/>
  <c r="G17" i="17"/>
  <c r="G185" i="17" s="1"/>
  <c r="F17" i="17"/>
  <c r="E17" i="17"/>
  <c r="E268" i="17" s="1"/>
  <c r="D17" i="17"/>
  <c r="K16" i="17"/>
  <c r="K46" i="17" s="1"/>
  <c r="J16" i="17"/>
  <c r="I16" i="17"/>
  <c r="H16" i="17"/>
  <c r="H267" i="17" s="1"/>
  <c r="G16" i="17"/>
  <c r="G184" i="17" s="1"/>
  <c r="F16" i="17"/>
  <c r="F267" i="17" s="1"/>
  <c r="E16" i="17"/>
  <c r="E267" i="17" s="1"/>
  <c r="D16" i="17"/>
  <c r="D184" i="17" s="1"/>
  <c r="K15" i="17"/>
  <c r="K183" i="17" s="1"/>
  <c r="J15" i="17"/>
  <c r="I15" i="17"/>
  <c r="I183" i="17" s="1"/>
  <c r="H15" i="17"/>
  <c r="H46" i="17" s="1"/>
  <c r="G15" i="17"/>
  <c r="G183" i="17" s="1"/>
  <c r="F15" i="17"/>
  <c r="F46" i="17" s="1"/>
  <c r="E15" i="17"/>
  <c r="D15" i="17"/>
  <c r="R274" i="16"/>
  <c r="T271" i="16"/>
  <c r="S271" i="16"/>
  <c r="M271" i="16"/>
  <c r="L271" i="16"/>
  <c r="K271" i="16"/>
  <c r="I271" i="16"/>
  <c r="D271" i="16"/>
  <c r="H267" i="16"/>
  <c r="I264" i="16"/>
  <c r="I261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O251" i="16"/>
  <c r="N248" i="16"/>
  <c r="V235" i="16"/>
  <c r="U235" i="16"/>
  <c r="T235" i="16"/>
  <c r="S235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F235" i="16"/>
  <c r="E235" i="16"/>
  <c r="D235" i="16"/>
  <c r="V234" i="16"/>
  <c r="U234" i="16"/>
  <c r="T234" i="16"/>
  <c r="S234" i="16"/>
  <c r="R234" i="16"/>
  <c r="Q234" i="16"/>
  <c r="P234" i="16"/>
  <c r="O234" i="16"/>
  <c r="N234" i="16"/>
  <c r="M234" i="16"/>
  <c r="L234" i="16"/>
  <c r="K234" i="16"/>
  <c r="J234" i="16"/>
  <c r="I234" i="16"/>
  <c r="H234" i="16"/>
  <c r="G234" i="16"/>
  <c r="F234" i="16"/>
  <c r="E234" i="16"/>
  <c r="D234" i="16"/>
  <c r="V233" i="16"/>
  <c r="U233" i="16"/>
  <c r="T233" i="16"/>
  <c r="S233" i="16"/>
  <c r="R233" i="16"/>
  <c r="Q233" i="16"/>
  <c r="P233" i="16"/>
  <c r="O233" i="16"/>
  <c r="N233" i="16"/>
  <c r="M233" i="16"/>
  <c r="L233" i="16"/>
  <c r="K233" i="16"/>
  <c r="J233" i="16"/>
  <c r="I233" i="16"/>
  <c r="H233" i="16"/>
  <c r="G233" i="16"/>
  <c r="F233" i="16"/>
  <c r="E233" i="16"/>
  <c r="D233" i="16"/>
  <c r="V232" i="16"/>
  <c r="U232" i="16"/>
  <c r="T232" i="16"/>
  <c r="S232" i="16"/>
  <c r="R232" i="16"/>
  <c r="R271" i="16" s="1"/>
  <c r="Q232" i="16"/>
  <c r="Q271" i="16" s="1"/>
  <c r="P232" i="16"/>
  <c r="P271" i="16" s="1"/>
  <c r="O232" i="16"/>
  <c r="O271" i="16" s="1"/>
  <c r="N232" i="16"/>
  <c r="N271" i="16" s="1"/>
  <c r="M232" i="16"/>
  <c r="L232" i="16"/>
  <c r="K232" i="16"/>
  <c r="J232" i="16"/>
  <c r="J271" i="16" s="1"/>
  <c r="I232" i="16"/>
  <c r="H232" i="16"/>
  <c r="H271" i="16" s="1"/>
  <c r="G232" i="16"/>
  <c r="G271" i="16" s="1"/>
  <c r="F232" i="16"/>
  <c r="F271" i="16" s="1"/>
  <c r="E232" i="16"/>
  <c r="E271" i="16" s="1"/>
  <c r="D232" i="16"/>
  <c r="V231" i="16"/>
  <c r="U231" i="16"/>
  <c r="T231" i="16"/>
  <c r="S231" i="16"/>
  <c r="R231" i="16"/>
  <c r="Q231" i="16"/>
  <c r="P231" i="16"/>
  <c r="O231" i="16"/>
  <c r="N231" i="16"/>
  <c r="M231" i="16"/>
  <c r="L231" i="16"/>
  <c r="K231" i="16"/>
  <c r="J231" i="16"/>
  <c r="I231" i="16"/>
  <c r="H231" i="16"/>
  <c r="H270" i="16" s="1"/>
  <c r="G231" i="16"/>
  <c r="F231" i="16"/>
  <c r="E231" i="16"/>
  <c r="D231" i="16"/>
  <c r="V230" i="16"/>
  <c r="U230" i="16"/>
  <c r="T230" i="16"/>
  <c r="S230" i="16"/>
  <c r="R230" i="16"/>
  <c r="Q230" i="16"/>
  <c r="P230" i="16"/>
  <c r="O230" i="16"/>
  <c r="N230" i="16"/>
  <c r="M230" i="16"/>
  <c r="L230" i="16"/>
  <c r="K230" i="16"/>
  <c r="J230" i="16"/>
  <c r="I230" i="16"/>
  <c r="H230" i="16"/>
  <c r="G230" i="16"/>
  <c r="F230" i="16"/>
  <c r="E230" i="16"/>
  <c r="D230" i="16"/>
  <c r="V229" i="16"/>
  <c r="U229" i="16"/>
  <c r="T229" i="16"/>
  <c r="S229" i="16"/>
  <c r="R229" i="16"/>
  <c r="Q229" i="16"/>
  <c r="P229" i="16"/>
  <c r="O229" i="16"/>
  <c r="N229" i="16"/>
  <c r="M229" i="16"/>
  <c r="L229" i="16"/>
  <c r="K229" i="16"/>
  <c r="J229" i="16"/>
  <c r="I229" i="16"/>
  <c r="H229" i="16"/>
  <c r="G229" i="16"/>
  <c r="F229" i="16"/>
  <c r="E229" i="16"/>
  <c r="D229" i="16"/>
  <c r="V228" i="16"/>
  <c r="U228" i="16"/>
  <c r="T228" i="16"/>
  <c r="S228" i="16"/>
  <c r="R228" i="16"/>
  <c r="Q228" i="16"/>
  <c r="P228" i="16"/>
  <c r="O228" i="16"/>
  <c r="N228" i="16"/>
  <c r="M228" i="16"/>
  <c r="L228" i="16"/>
  <c r="K228" i="16"/>
  <c r="J228" i="16"/>
  <c r="I228" i="16"/>
  <c r="H228" i="16"/>
  <c r="G228" i="16"/>
  <c r="F228" i="16"/>
  <c r="E228" i="16"/>
  <c r="D228" i="16"/>
  <c r="V227" i="16"/>
  <c r="U227" i="16"/>
  <c r="T227" i="16"/>
  <c r="S227" i="16"/>
  <c r="R227" i="16"/>
  <c r="Q227" i="16"/>
  <c r="P227" i="16"/>
  <c r="O227" i="16"/>
  <c r="N227" i="16"/>
  <c r="M227" i="16"/>
  <c r="L227" i="16"/>
  <c r="K227" i="16"/>
  <c r="J227" i="16"/>
  <c r="I227" i="16"/>
  <c r="H227" i="16"/>
  <c r="G227" i="16"/>
  <c r="F227" i="16"/>
  <c r="E227" i="16"/>
  <c r="D227" i="16"/>
  <c r="V226" i="16"/>
  <c r="U226" i="16"/>
  <c r="T226" i="16"/>
  <c r="S226" i="16"/>
  <c r="R226" i="16"/>
  <c r="Q226" i="16"/>
  <c r="P226" i="16"/>
  <c r="O226" i="16"/>
  <c r="N226" i="16"/>
  <c r="M226" i="16"/>
  <c r="L226" i="16"/>
  <c r="K226" i="16"/>
  <c r="J226" i="16"/>
  <c r="I226" i="16"/>
  <c r="H226" i="16"/>
  <c r="G226" i="16"/>
  <c r="F226" i="16"/>
  <c r="E226" i="16"/>
  <c r="D226" i="16"/>
  <c r="V225" i="16"/>
  <c r="U225" i="16"/>
  <c r="T225" i="16"/>
  <c r="S225" i="16"/>
  <c r="R225" i="16"/>
  <c r="Q225" i="16"/>
  <c r="P225" i="16"/>
  <c r="O225" i="16"/>
  <c r="N225" i="16"/>
  <c r="M225" i="16"/>
  <c r="L225" i="16"/>
  <c r="K225" i="16"/>
  <c r="J225" i="16"/>
  <c r="I225" i="16"/>
  <c r="H225" i="16"/>
  <c r="G225" i="16"/>
  <c r="F225" i="16"/>
  <c r="E225" i="16"/>
  <c r="D225" i="16"/>
  <c r="V224" i="16"/>
  <c r="U224" i="16"/>
  <c r="T224" i="16"/>
  <c r="S224" i="16"/>
  <c r="S263" i="16" s="1"/>
  <c r="R224" i="16"/>
  <c r="Q224" i="16"/>
  <c r="P224" i="16"/>
  <c r="O224" i="16"/>
  <c r="N224" i="16"/>
  <c r="M224" i="16"/>
  <c r="L224" i="16"/>
  <c r="K224" i="16"/>
  <c r="J224" i="16"/>
  <c r="I224" i="16"/>
  <c r="H224" i="16"/>
  <c r="G224" i="16"/>
  <c r="F224" i="16"/>
  <c r="E224" i="16"/>
  <c r="D224" i="16"/>
  <c r="V223" i="16"/>
  <c r="V262" i="16" s="1"/>
  <c r="U223" i="16"/>
  <c r="T223" i="16"/>
  <c r="S223" i="16"/>
  <c r="R223" i="16"/>
  <c r="Q223" i="16"/>
  <c r="P223" i="16"/>
  <c r="O223" i="16"/>
  <c r="N223" i="16"/>
  <c r="M223" i="16"/>
  <c r="L223" i="16"/>
  <c r="K223" i="16"/>
  <c r="J223" i="16"/>
  <c r="I223" i="16"/>
  <c r="H223" i="16"/>
  <c r="G223" i="16"/>
  <c r="F223" i="16"/>
  <c r="E223" i="16"/>
  <c r="D223" i="16"/>
  <c r="V222" i="16"/>
  <c r="U222" i="16"/>
  <c r="T222" i="16"/>
  <c r="S222" i="16"/>
  <c r="R222" i="16"/>
  <c r="Q222" i="16"/>
  <c r="P222" i="16"/>
  <c r="O222" i="16"/>
  <c r="N222" i="16"/>
  <c r="M222" i="16"/>
  <c r="L222" i="16"/>
  <c r="K222" i="16"/>
  <c r="J222" i="16"/>
  <c r="I222" i="16"/>
  <c r="H222" i="16"/>
  <c r="G222" i="16"/>
  <c r="F222" i="16"/>
  <c r="E222" i="16"/>
  <c r="D222" i="16"/>
  <c r="V221" i="16"/>
  <c r="U221" i="16"/>
  <c r="T221" i="16"/>
  <c r="S221" i="16"/>
  <c r="R221" i="16"/>
  <c r="Q221" i="16"/>
  <c r="P221" i="16"/>
  <c r="O221" i="16"/>
  <c r="N221" i="16"/>
  <c r="M221" i="16"/>
  <c r="L221" i="16"/>
  <c r="L260" i="16" s="1"/>
  <c r="K221" i="16"/>
  <c r="J221" i="16"/>
  <c r="I221" i="16"/>
  <c r="H221" i="16"/>
  <c r="G221" i="16"/>
  <c r="F221" i="16"/>
  <c r="E221" i="16"/>
  <c r="D221" i="16"/>
  <c r="V220" i="16"/>
  <c r="U220" i="16"/>
  <c r="T220" i="16"/>
  <c r="S220" i="16"/>
  <c r="R220" i="16"/>
  <c r="Q220" i="16"/>
  <c r="P220" i="16"/>
  <c r="O220" i="16"/>
  <c r="N220" i="16"/>
  <c r="M220" i="16"/>
  <c r="L220" i="16"/>
  <c r="K220" i="16"/>
  <c r="J220" i="16"/>
  <c r="I220" i="16"/>
  <c r="H220" i="16"/>
  <c r="G220" i="16"/>
  <c r="F220" i="16"/>
  <c r="E220" i="16"/>
  <c r="D220" i="16"/>
  <c r="V218" i="16"/>
  <c r="U218" i="16"/>
  <c r="T218" i="16"/>
  <c r="S218" i="16"/>
  <c r="R218" i="16"/>
  <c r="Q218" i="16"/>
  <c r="P218" i="16"/>
  <c r="O218" i="16"/>
  <c r="N218" i="16"/>
  <c r="M218" i="16"/>
  <c r="M257" i="16" s="1"/>
  <c r="L218" i="16"/>
  <c r="K218" i="16"/>
  <c r="J218" i="16"/>
  <c r="I218" i="16"/>
  <c r="H218" i="16"/>
  <c r="G218" i="16"/>
  <c r="F218" i="16"/>
  <c r="E218" i="16"/>
  <c r="D218" i="16"/>
  <c r="V217" i="16"/>
  <c r="U217" i="16"/>
  <c r="T217" i="16"/>
  <c r="S217" i="16"/>
  <c r="R217" i="16"/>
  <c r="Q217" i="16"/>
  <c r="P217" i="16"/>
  <c r="P256" i="16" s="1"/>
  <c r="O217" i="16"/>
  <c r="N217" i="16"/>
  <c r="M217" i="16"/>
  <c r="L217" i="16"/>
  <c r="K217" i="16"/>
  <c r="J217" i="16"/>
  <c r="I217" i="16"/>
  <c r="H217" i="16"/>
  <c r="G217" i="16"/>
  <c r="F217" i="16"/>
  <c r="F256" i="16" s="1"/>
  <c r="E217" i="16"/>
  <c r="D217" i="16"/>
  <c r="V216" i="16"/>
  <c r="U216" i="16"/>
  <c r="T216" i="16"/>
  <c r="S216" i="16"/>
  <c r="S255" i="16" s="1"/>
  <c r="R216" i="16"/>
  <c r="Q216" i="16"/>
  <c r="P216" i="16"/>
  <c r="O216" i="16"/>
  <c r="N216" i="16"/>
  <c r="M216" i="16"/>
  <c r="L216" i="16"/>
  <c r="K216" i="16"/>
  <c r="J216" i="16"/>
  <c r="I216" i="16"/>
  <c r="I255" i="16" s="1"/>
  <c r="H216" i="16"/>
  <c r="G216" i="16"/>
  <c r="F216" i="16"/>
  <c r="E216" i="16"/>
  <c r="D216" i="16"/>
  <c r="V215" i="16"/>
  <c r="V254" i="16" s="1"/>
  <c r="U215" i="16"/>
  <c r="T215" i="16"/>
  <c r="S215" i="16"/>
  <c r="R215" i="16"/>
  <c r="Q215" i="16"/>
  <c r="P215" i="16"/>
  <c r="O215" i="16"/>
  <c r="N215" i="16"/>
  <c r="M215" i="16"/>
  <c r="L215" i="16"/>
  <c r="L254" i="16" s="1"/>
  <c r="K215" i="16"/>
  <c r="J215" i="16"/>
  <c r="I215" i="16"/>
  <c r="H215" i="16"/>
  <c r="G215" i="16"/>
  <c r="F215" i="16"/>
  <c r="F254" i="16" s="1"/>
  <c r="E215" i="16"/>
  <c r="D215" i="16"/>
  <c r="V214" i="16"/>
  <c r="U214" i="16"/>
  <c r="T214" i="16"/>
  <c r="S214" i="16"/>
  <c r="R214" i="16"/>
  <c r="Q214" i="16"/>
  <c r="P214" i="16"/>
  <c r="O214" i="16"/>
  <c r="O253" i="16" s="1"/>
  <c r="N214" i="16"/>
  <c r="M214" i="16"/>
  <c r="L214" i="16"/>
  <c r="K214" i="16"/>
  <c r="J214" i="16"/>
  <c r="I214" i="16"/>
  <c r="I253" i="16" s="1"/>
  <c r="H214" i="16"/>
  <c r="G214" i="16"/>
  <c r="F214" i="16"/>
  <c r="E214" i="16"/>
  <c r="D214" i="16"/>
  <c r="V213" i="16"/>
  <c r="U213" i="16"/>
  <c r="T213" i="16"/>
  <c r="S213" i="16"/>
  <c r="R213" i="16"/>
  <c r="R252" i="16" s="1"/>
  <c r="Q213" i="16"/>
  <c r="P213" i="16"/>
  <c r="O213" i="16"/>
  <c r="N213" i="16"/>
  <c r="M213" i="16"/>
  <c r="L213" i="16"/>
  <c r="L252" i="16" s="1"/>
  <c r="K213" i="16"/>
  <c r="J213" i="16"/>
  <c r="I213" i="16"/>
  <c r="H213" i="16"/>
  <c r="G213" i="16"/>
  <c r="F213" i="16"/>
  <c r="E213" i="16"/>
  <c r="D213" i="16"/>
  <c r="V212" i="16"/>
  <c r="U212" i="16"/>
  <c r="U251" i="16" s="1"/>
  <c r="T212" i="16"/>
  <c r="S212" i="16"/>
  <c r="R212" i="16"/>
  <c r="Q212" i="16"/>
  <c r="P212" i="16"/>
  <c r="O212" i="16"/>
  <c r="N212" i="16"/>
  <c r="M212" i="16"/>
  <c r="L212" i="16"/>
  <c r="K212" i="16"/>
  <c r="J212" i="16"/>
  <c r="I212" i="16"/>
  <c r="H212" i="16"/>
  <c r="G212" i="16"/>
  <c r="F212" i="16"/>
  <c r="E212" i="16"/>
  <c r="E251" i="16" s="1"/>
  <c r="D212" i="16"/>
  <c r="V211" i="16"/>
  <c r="U211" i="16"/>
  <c r="T211" i="16"/>
  <c r="S211" i="16"/>
  <c r="R211" i="16"/>
  <c r="R250" i="16" s="1"/>
  <c r="Q211" i="16"/>
  <c r="P211" i="16"/>
  <c r="O211" i="16"/>
  <c r="N211" i="16"/>
  <c r="M211" i="16"/>
  <c r="L211" i="16"/>
  <c r="K211" i="16"/>
  <c r="J211" i="16"/>
  <c r="I211" i="16"/>
  <c r="H211" i="16"/>
  <c r="H250" i="16" s="1"/>
  <c r="G211" i="16"/>
  <c r="F211" i="16"/>
  <c r="E211" i="16"/>
  <c r="D211" i="16"/>
  <c r="V210" i="16"/>
  <c r="U210" i="16"/>
  <c r="U249" i="16" s="1"/>
  <c r="T210" i="16"/>
  <c r="S210" i="16"/>
  <c r="R210" i="16"/>
  <c r="Q210" i="16"/>
  <c r="P210" i="16"/>
  <c r="O210" i="16"/>
  <c r="N210" i="16"/>
  <c r="M210" i="16"/>
  <c r="L210" i="16"/>
  <c r="K210" i="16"/>
  <c r="J210" i="16"/>
  <c r="I210" i="16"/>
  <c r="H210" i="16"/>
  <c r="G210" i="16"/>
  <c r="F210" i="16"/>
  <c r="E210" i="16"/>
  <c r="E249" i="16" s="1"/>
  <c r="D210" i="16"/>
  <c r="V209" i="16"/>
  <c r="U209" i="16"/>
  <c r="T209" i="16"/>
  <c r="S209" i="16"/>
  <c r="R209" i="16"/>
  <c r="Q209" i="16"/>
  <c r="P209" i="16"/>
  <c r="O209" i="16"/>
  <c r="N209" i="16"/>
  <c r="M209" i="16"/>
  <c r="L209" i="16"/>
  <c r="K209" i="16"/>
  <c r="J209" i="16"/>
  <c r="I209" i="16"/>
  <c r="H209" i="16"/>
  <c r="H248" i="16" s="1"/>
  <c r="G209" i="16"/>
  <c r="F209" i="16"/>
  <c r="E209" i="16"/>
  <c r="D209" i="16"/>
  <c r="V208" i="16"/>
  <c r="U208" i="16"/>
  <c r="T208" i="16"/>
  <c r="S208" i="16"/>
  <c r="R208" i="16"/>
  <c r="Q208" i="16"/>
  <c r="Q247" i="16" s="1"/>
  <c r="P208" i="16"/>
  <c r="O208" i="16"/>
  <c r="N208" i="16"/>
  <c r="M208" i="16"/>
  <c r="L208" i="16"/>
  <c r="K208" i="16"/>
  <c r="K247" i="16" s="1"/>
  <c r="J208" i="16"/>
  <c r="I208" i="16"/>
  <c r="H208" i="16"/>
  <c r="G208" i="16"/>
  <c r="F208" i="16"/>
  <c r="E208" i="16"/>
  <c r="D208" i="16"/>
  <c r="V207" i="16"/>
  <c r="U207" i="16"/>
  <c r="T207" i="16"/>
  <c r="S207" i="16"/>
  <c r="R207" i="16"/>
  <c r="Q207" i="16"/>
  <c r="P207" i="16"/>
  <c r="O207" i="16"/>
  <c r="N207" i="16"/>
  <c r="M207" i="16"/>
  <c r="L207" i="16"/>
  <c r="K207" i="16"/>
  <c r="J207" i="16"/>
  <c r="I207" i="16"/>
  <c r="H207" i="16"/>
  <c r="G207" i="16"/>
  <c r="F207" i="16"/>
  <c r="E207" i="16"/>
  <c r="D207" i="16"/>
  <c r="D246" i="16" s="1"/>
  <c r="M197" i="16"/>
  <c r="K197" i="16"/>
  <c r="N196" i="16"/>
  <c r="F196" i="16"/>
  <c r="T194" i="16"/>
  <c r="L194" i="16"/>
  <c r="H194" i="16"/>
  <c r="E194" i="16"/>
  <c r="D194" i="16"/>
  <c r="O193" i="16"/>
  <c r="J192" i="16"/>
  <c r="U191" i="16"/>
  <c r="M191" i="16"/>
  <c r="P190" i="16"/>
  <c r="S189" i="16"/>
  <c r="V188" i="16"/>
  <c r="G188" i="16"/>
  <c r="Q187" i="16"/>
  <c r="I187" i="16"/>
  <c r="D186" i="16"/>
  <c r="O185" i="16"/>
  <c r="G185" i="16"/>
  <c r="R184" i="16"/>
  <c r="U183" i="16"/>
  <c r="E183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U179" i="16"/>
  <c r="E179" i="16"/>
  <c r="D178" i="16"/>
  <c r="N176" i="16"/>
  <c r="U174" i="16"/>
  <c r="E174" i="16"/>
  <c r="G173" i="16"/>
  <c r="F173" i="16"/>
  <c r="S169" i="16"/>
  <c r="G159" i="16"/>
  <c r="V158" i="16"/>
  <c r="U158" i="16"/>
  <c r="T158" i="16"/>
  <c r="S158" i="16"/>
  <c r="S197" i="16" s="1"/>
  <c r="R158" i="16"/>
  <c r="R197" i="16" s="1"/>
  <c r="Q158" i="16"/>
  <c r="P158" i="16"/>
  <c r="O158" i="16"/>
  <c r="N158" i="16"/>
  <c r="M158" i="16"/>
  <c r="L158" i="16"/>
  <c r="K158" i="16"/>
  <c r="J158" i="16"/>
  <c r="I158" i="16"/>
  <c r="H158" i="16"/>
  <c r="G158" i="16"/>
  <c r="G197" i="16" s="1"/>
  <c r="F158" i="16"/>
  <c r="E158" i="16"/>
  <c r="D158" i="16"/>
  <c r="V157" i="16"/>
  <c r="V196" i="16" s="1"/>
  <c r="U157" i="16"/>
  <c r="U196" i="16" s="1"/>
  <c r="T157" i="16"/>
  <c r="S157" i="16"/>
  <c r="R157" i="16"/>
  <c r="Q157" i="16"/>
  <c r="P157" i="16"/>
  <c r="P196" i="16" s="1"/>
  <c r="O157" i="16"/>
  <c r="N157" i="16"/>
  <c r="M157" i="16"/>
  <c r="M196" i="16" s="1"/>
  <c r="L157" i="16"/>
  <c r="K157" i="16"/>
  <c r="J157" i="16"/>
  <c r="I157" i="16"/>
  <c r="H157" i="16"/>
  <c r="G157" i="16"/>
  <c r="F157" i="16"/>
  <c r="E157" i="16"/>
  <c r="E196" i="16" s="1"/>
  <c r="D157" i="16"/>
  <c r="V156" i="16"/>
  <c r="U156" i="16"/>
  <c r="T156" i="16"/>
  <c r="S156" i="16"/>
  <c r="S195" i="16" s="1"/>
  <c r="R156" i="16"/>
  <c r="Q156" i="16"/>
  <c r="P156" i="16"/>
  <c r="O156" i="16"/>
  <c r="N156" i="16"/>
  <c r="M156" i="16"/>
  <c r="L156" i="16"/>
  <c r="K156" i="16"/>
  <c r="J156" i="16"/>
  <c r="I156" i="16"/>
  <c r="I195" i="16" s="1"/>
  <c r="H156" i="16"/>
  <c r="H195" i="16" s="1"/>
  <c r="G156" i="16"/>
  <c r="F156" i="16"/>
  <c r="E156" i="16"/>
  <c r="D156" i="16"/>
  <c r="V155" i="16"/>
  <c r="V194" i="16" s="1"/>
  <c r="U155" i="16"/>
  <c r="T155" i="16"/>
  <c r="S155" i="16"/>
  <c r="S194" i="16" s="1"/>
  <c r="R155" i="16"/>
  <c r="R194" i="16" s="1"/>
  <c r="Q155" i="16"/>
  <c r="Q194" i="16" s="1"/>
  <c r="P155" i="16"/>
  <c r="P194" i="16" s="1"/>
  <c r="O155" i="16"/>
  <c r="O194" i="16" s="1"/>
  <c r="N155" i="16"/>
  <c r="N194" i="16" s="1"/>
  <c r="M155" i="16"/>
  <c r="M194" i="16" s="1"/>
  <c r="L155" i="16"/>
  <c r="K155" i="16"/>
  <c r="K194" i="16" s="1"/>
  <c r="J155" i="16"/>
  <c r="J194" i="16" s="1"/>
  <c r="I155" i="16"/>
  <c r="I194" i="16" s="1"/>
  <c r="H155" i="16"/>
  <c r="G155" i="16"/>
  <c r="G194" i="16" s="1"/>
  <c r="F155" i="16"/>
  <c r="F194" i="16" s="1"/>
  <c r="E155" i="16"/>
  <c r="D155" i="16"/>
  <c r="V154" i="16"/>
  <c r="U154" i="16"/>
  <c r="T154" i="16"/>
  <c r="S154" i="16"/>
  <c r="S193" i="16" s="1"/>
  <c r="R154" i="16"/>
  <c r="Q154" i="16"/>
  <c r="P154" i="16"/>
  <c r="O154" i="16"/>
  <c r="N154" i="16"/>
  <c r="N193" i="16" s="1"/>
  <c r="M154" i="16"/>
  <c r="L154" i="16"/>
  <c r="K154" i="16"/>
  <c r="J154" i="16"/>
  <c r="I154" i="16"/>
  <c r="I193" i="16" s="1"/>
  <c r="H154" i="16"/>
  <c r="G154" i="16"/>
  <c r="G193" i="16" s="1"/>
  <c r="F154" i="16"/>
  <c r="E154" i="16"/>
  <c r="D154" i="16"/>
  <c r="V153" i="16"/>
  <c r="V192" i="16" s="1"/>
  <c r="U153" i="16"/>
  <c r="T153" i="16"/>
  <c r="S153" i="16"/>
  <c r="R153" i="16"/>
  <c r="R192" i="16" s="1"/>
  <c r="Q153" i="16"/>
  <c r="Q192" i="16" s="1"/>
  <c r="P153" i="16"/>
  <c r="O153" i="16"/>
  <c r="N153" i="16"/>
  <c r="M153" i="16"/>
  <c r="L153" i="16"/>
  <c r="L192" i="16" s="1"/>
  <c r="K153" i="16"/>
  <c r="J153" i="16"/>
  <c r="I153" i="16"/>
  <c r="H153" i="16"/>
  <c r="G153" i="16"/>
  <c r="F153" i="16"/>
  <c r="F192" i="16" s="1"/>
  <c r="E153" i="16"/>
  <c r="D153" i="16"/>
  <c r="V152" i="16"/>
  <c r="U152" i="16"/>
  <c r="T152" i="16"/>
  <c r="T191" i="16" s="1"/>
  <c r="S152" i="16"/>
  <c r="R152" i="16"/>
  <c r="Q152" i="16"/>
  <c r="P152" i="16"/>
  <c r="O152" i="16"/>
  <c r="O191" i="16" s="1"/>
  <c r="N152" i="16"/>
  <c r="M152" i="16"/>
  <c r="L152" i="16"/>
  <c r="K152" i="16"/>
  <c r="J152" i="16"/>
  <c r="I152" i="16"/>
  <c r="H152" i="16"/>
  <c r="G152" i="16"/>
  <c r="F152" i="16"/>
  <c r="E152" i="16"/>
  <c r="E191" i="16" s="1"/>
  <c r="D152" i="16"/>
  <c r="D191" i="16" s="1"/>
  <c r="V151" i="16"/>
  <c r="U151" i="16"/>
  <c r="T151" i="16"/>
  <c r="S151" i="16"/>
  <c r="R151" i="16"/>
  <c r="R190" i="16" s="1"/>
  <c r="Q151" i="16"/>
  <c r="P151" i="16"/>
  <c r="O151" i="16"/>
  <c r="N151" i="16"/>
  <c r="M151" i="16"/>
  <c r="L151" i="16"/>
  <c r="L190" i="16" s="1"/>
  <c r="K151" i="16"/>
  <c r="J151" i="16"/>
  <c r="I151" i="16"/>
  <c r="I190" i="16" s="1"/>
  <c r="H151" i="16"/>
  <c r="H190" i="16" s="1"/>
  <c r="G151" i="16"/>
  <c r="G190" i="16" s="1"/>
  <c r="F151" i="16"/>
  <c r="E151" i="16"/>
  <c r="D151" i="16"/>
  <c r="V150" i="16"/>
  <c r="U150" i="16"/>
  <c r="U189" i="16" s="1"/>
  <c r="T150" i="16"/>
  <c r="S150" i="16"/>
  <c r="R150" i="16"/>
  <c r="Q150" i="16"/>
  <c r="P150" i="16"/>
  <c r="O150" i="16"/>
  <c r="O189" i="16" s="1"/>
  <c r="N150" i="16"/>
  <c r="M150" i="16"/>
  <c r="L150" i="16"/>
  <c r="K150" i="16"/>
  <c r="K189" i="16" s="1"/>
  <c r="J150" i="16"/>
  <c r="J189" i="16" s="1"/>
  <c r="I150" i="16"/>
  <c r="H150" i="16"/>
  <c r="G150" i="16"/>
  <c r="F150" i="16"/>
  <c r="E150" i="16"/>
  <c r="E189" i="16" s="1"/>
  <c r="D150" i="16"/>
  <c r="V149" i="16"/>
  <c r="U149" i="16"/>
  <c r="T149" i="16"/>
  <c r="S149" i="16"/>
  <c r="R149" i="16"/>
  <c r="Q149" i="16"/>
  <c r="P149" i="16"/>
  <c r="O149" i="16"/>
  <c r="N149" i="16"/>
  <c r="N188" i="16" s="1"/>
  <c r="M149" i="16"/>
  <c r="M188" i="16" s="1"/>
  <c r="L149" i="16"/>
  <c r="K149" i="16"/>
  <c r="J149" i="16"/>
  <c r="I149" i="16"/>
  <c r="H149" i="16"/>
  <c r="H188" i="16" s="1"/>
  <c r="G149" i="16"/>
  <c r="F149" i="16"/>
  <c r="F188" i="16" s="1"/>
  <c r="E149" i="16"/>
  <c r="D149" i="16"/>
  <c r="V148" i="16"/>
  <c r="U148" i="16"/>
  <c r="U187" i="16" s="1"/>
  <c r="T148" i="16"/>
  <c r="S148" i="16"/>
  <c r="R148" i="16"/>
  <c r="Q148" i="16"/>
  <c r="P148" i="16"/>
  <c r="P187" i="16" s="1"/>
  <c r="O148" i="16"/>
  <c r="N148" i="16"/>
  <c r="M148" i="16"/>
  <c r="L148" i="16"/>
  <c r="K148" i="16"/>
  <c r="K187" i="16" s="1"/>
  <c r="J148" i="16"/>
  <c r="I148" i="16"/>
  <c r="H148" i="16"/>
  <c r="G148" i="16"/>
  <c r="F148" i="16"/>
  <c r="E148" i="16"/>
  <c r="E187" i="16" s="1"/>
  <c r="D148" i="16"/>
  <c r="V147" i="16"/>
  <c r="U147" i="16"/>
  <c r="T147" i="16"/>
  <c r="T186" i="16" s="1"/>
  <c r="S147" i="16"/>
  <c r="S186" i="16" s="1"/>
  <c r="R147" i="16"/>
  <c r="Q147" i="16"/>
  <c r="P147" i="16"/>
  <c r="O147" i="16"/>
  <c r="N147" i="16"/>
  <c r="N186" i="16" s="1"/>
  <c r="M147" i="16"/>
  <c r="L147" i="16"/>
  <c r="L186" i="16" s="1"/>
  <c r="K147" i="16"/>
  <c r="J147" i="16"/>
  <c r="I147" i="16"/>
  <c r="H147" i="16"/>
  <c r="H186" i="16" s="1"/>
  <c r="G147" i="16"/>
  <c r="F147" i="16"/>
  <c r="E147" i="16"/>
  <c r="D147" i="16"/>
  <c r="V146" i="16"/>
  <c r="V185" i="16" s="1"/>
  <c r="U146" i="16"/>
  <c r="T146" i="16"/>
  <c r="S146" i="16"/>
  <c r="R146" i="16"/>
  <c r="Q146" i="16"/>
  <c r="Q185" i="16" s="1"/>
  <c r="P146" i="16"/>
  <c r="O146" i="16"/>
  <c r="N146" i="16"/>
  <c r="M146" i="16"/>
  <c r="L146" i="16"/>
  <c r="K146" i="16"/>
  <c r="K185" i="16" s="1"/>
  <c r="J146" i="16"/>
  <c r="I146" i="16"/>
  <c r="H146" i="16"/>
  <c r="G146" i="16"/>
  <c r="F146" i="16"/>
  <c r="F185" i="16" s="1"/>
  <c r="E146" i="16"/>
  <c r="D146" i="16"/>
  <c r="V145" i="16"/>
  <c r="U145" i="16"/>
  <c r="T145" i="16"/>
  <c r="T184" i="16" s="1"/>
  <c r="S145" i="16"/>
  <c r="R145" i="16"/>
  <c r="Q145" i="16"/>
  <c r="P145" i="16"/>
  <c r="O145" i="16"/>
  <c r="N145" i="16"/>
  <c r="M145" i="16"/>
  <c r="L145" i="16"/>
  <c r="K145" i="16"/>
  <c r="J145" i="16"/>
  <c r="J184" i="16" s="1"/>
  <c r="I145" i="16"/>
  <c r="I184" i="16" s="1"/>
  <c r="H145" i="16"/>
  <c r="G145" i="16"/>
  <c r="F145" i="16"/>
  <c r="E145" i="16"/>
  <c r="D145" i="16"/>
  <c r="D184" i="16" s="1"/>
  <c r="V144" i="16"/>
  <c r="U144" i="16"/>
  <c r="T144" i="16"/>
  <c r="S144" i="16"/>
  <c r="R144" i="16"/>
  <c r="Q144" i="16"/>
  <c r="Q183" i="16" s="1"/>
  <c r="P144" i="16"/>
  <c r="O144" i="16"/>
  <c r="N144" i="16"/>
  <c r="M144" i="16"/>
  <c r="M183" i="16" s="1"/>
  <c r="L144" i="16"/>
  <c r="L183" i="16" s="1"/>
  <c r="K144" i="16"/>
  <c r="J144" i="16"/>
  <c r="I144" i="16"/>
  <c r="H144" i="16"/>
  <c r="G144" i="16"/>
  <c r="G183" i="16" s="1"/>
  <c r="F144" i="16"/>
  <c r="E144" i="16"/>
  <c r="D144" i="16"/>
  <c r="D183" i="16" s="1"/>
  <c r="V143" i="16"/>
  <c r="U143" i="16"/>
  <c r="T143" i="16"/>
  <c r="S143" i="16"/>
  <c r="R143" i="16"/>
  <c r="Q143" i="16"/>
  <c r="P143" i="16"/>
  <c r="P182" i="16" s="1"/>
  <c r="O143" i="16"/>
  <c r="O182" i="16" s="1"/>
  <c r="N143" i="16"/>
  <c r="M143" i="16"/>
  <c r="L143" i="16"/>
  <c r="K143" i="16"/>
  <c r="J143" i="16"/>
  <c r="J182" i="16" s="1"/>
  <c r="I143" i="16"/>
  <c r="H143" i="16"/>
  <c r="G143" i="16"/>
  <c r="F143" i="16"/>
  <c r="E143" i="16"/>
  <c r="D143" i="16"/>
  <c r="D182" i="16" s="1"/>
  <c r="V141" i="16"/>
  <c r="U141" i="16"/>
  <c r="T141" i="16"/>
  <c r="S141" i="16"/>
  <c r="S180" i="16" s="1"/>
  <c r="R141" i="16"/>
  <c r="Q141" i="16"/>
  <c r="P141" i="16"/>
  <c r="O141" i="16"/>
  <c r="N141" i="16"/>
  <c r="M141" i="16"/>
  <c r="M180" i="16" s="1"/>
  <c r="L141" i="16"/>
  <c r="K141" i="16"/>
  <c r="J141" i="16"/>
  <c r="I141" i="16"/>
  <c r="H141" i="16"/>
  <c r="G141" i="16"/>
  <c r="G180" i="16" s="1"/>
  <c r="F141" i="16"/>
  <c r="F180" i="16" s="1"/>
  <c r="E141" i="16"/>
  <c r="D141" i="16"/>
  <c r="V140" i="16"/>
  <c r="V179" i="16" s="1"/>
  <c r="U140" i="16"/>
  <c r="T140" i="16"/>
  <c r="S140" i="16"/>
  <c r="R140" i="16"/>
  <c r="Q140" i="16"/>
  <c r="P140" i="16"/>
  <c r="P179" i="16" s="1"/>
  <c r="O140" i="16"/>
  <c r="N140" i="16"/>
  <c r="M140" i="16"/>
  <c r="L140" i="16"/>
  <c r="K140" i="16"/>
  <c r="J140" i="16"/>
  <c r="J179" i="16" s="1"/>
  <c r="I140" i="16"/>
  <c r="H140" i="16"/>
  <c r="G140" i="16"/>
  <c r="F140" i="16"/>
  <c r="F179" i="16" s="1"/>
  <c r="E140" i="16"/>
  <c r="D140" i="16"/>
  <c r="V139" i="16"/>
  <c r="U139" i="16"/>
  <c r="U178" i="16" s="1"/>
  <c r="T139" i="16"/>
  <c r="S139" i="16"/>
  <c r="S178" i="16" s="1"/>
  <c r="R139" i="16"/>
  <c r="Q139" i="16"/>
  <c r="P139" i="16"/>
  <c r="O139" i="16"/>
  <c r="N139" i="16"/>
  <c r="M139" i="16"/>
  <c r="M178" i="16" s="1"/>
  <c r="L139" i="16"/>
  <c r="K139" i="16"/>
  <c r="J139" i="16"/>
  <c r="I139" i="16"/>
  <c r="I178" i="16" s="1"/>
  <c r="H139" i="16"/>
  <c r="G139" i="16"/>
  <c r="F139" i="16"/>
  <c r="E139" i="16"/>
  <c r="D139" i="16"/>
  <c r="V138" i="16"/>
  <c r="V177" i="16" s="1"/>
  <c r="U138" i="16"/>
  <c r="T138" i="16"/>
  <c r="S138" i="16"/>
  <c r="R138" i="16"/>
  <c r="Q138" i="16"/>
  <c r="P138" i="16"/>
  <c r="P177" i="16" s="1"/>
  <c r="O138" i="16"/>
  <c r="N138" i="16"/>
  <c r="M138" i="16"/>
  <c r="L138" i="16"/>
  <c r="L177" i="16" s="1"/>
  <c r="K138" i="16"/>
  <c r="J138" i="16"/>
  <c r="I138" i="16"/>
  <c r="H138" i="16"/>
  <c r="G138" i="16"/>
  <c r="F138" i="16"/>
  <c r="F177" i="16" s="1"/>
  <c r="E138" i="16"/>
  <c r="D138" i="16"/>
  <c r="V137" i="16"/>
  <c r="V176" i="16" s="1"/>
  <c r="U137" i="16"/>
  <c r="T137" i="16"/>
  <c r="T176" i="16" s="1"/>
  <c r="S137" i="16"/>
  <c r="S176" i="16" s="1"/>
  <c r="R137" i="16"/>
  <c r="Q137" i="16"/>
  <c r="P137" i="16"/>
  <c r="O137" i="16"/>
  <c r="O176" i="16" s="1"/>
  <c r="N137" i="16"/>
  <c r="M137" i="16"/>
  <c r="L137" i="16"/>
  <c r="K137" i="16"/>
  <c r="J137" i="16"/>
  <c r="I137" i="16"/>
  <c r="I176" i="16" s="1"/>
  <c r="H137" i="16"/>
  <c r="G137" i="16"/>
  <c r="F137" i="16"/>
  <c r="E137" i="16"/>
  <c r="D137" i="16"/>
  <c r="D176" i="16" s="1"/>
  <c r="V136" i="16"/>
  <c r="V175" i="16" s="1"/>
  <c r="U136" i="16"/>
  <c r="T136" i="16"/>
  <c r="S136" i="16"/>
  <c r="R136" i="16"/>
  <c r="R175" i="16" s="1"/>
  <c r="Q136" i="16"/>
  <c r="P136" i="16"/>
  <c r="O136" i="16"/>
  <c r="N136" i="16"/>
  <c r="M136" i="16"/>
  <c r="L136" i="16"/>
  <c r="L175" i="16" s="1"/>
  <c r="K136" i="16"/>
  <c r="J136" i="16"/>
  <c r="I136" i="16"/>
  <c r="H136" i="16"/>
  <c r="G136" i="16"/>
  <c r="F136" i="16"/>
  <c r="F175" i="16" s="1"/>
  <c r="E136" i="16"/>
  <c r="E175" i="16" s="1"/>
  <c r="D136" i="16"/>
  <c r="V135" i="16"/>
  <c r="U135" i="16"/>
  <c r="T135" i="16"/>
  <c r="S135" i="16"/>
  <c r="R135" i="16"/>
  <c r="Q135" i="16"/>
  <c r="P135" i="16"/>
  <c r="P174" i="16" s="1"/>
  <c r="O135" i="16"/>
  <c r="O174" i="16" s="1"/>
  <c r="N135" i="16"/>
  <c r="M135" i="16"/>
  <c r="L135" i="16"/>
  <c r="K135" i="16"/>
  <c r="J135" i="16"/>
  <c r="I135" i="16"/>
  <c r="I174" i="16" s="1"/>
  <c r="H135" i="16"/>
  <c r="G135" i="16"/>
  <c r="F135" i="16"/>
  <c r="E135" i="16"/>
  <c r="D135" i="16"/>
  <c r="V134" i="16"/>
  <c r="U134" i="16"/>
  <c r="T134" i="16"/>
  <c r="S134" i="16"/>
  <c r="R134" i="16"/>
  <c r="R173" i="16" s="1"/>
  <c r="Q134" i="16"/>
  <c r="P134" i="16"/>
  <c r="O134" i="16"/>
  <c r="N134" i="16"/>
  <c r="M134" i="16"/>
  <c r="L134" i="16"/>
  <c r="L173" i="16" s="1"/>
  <c r="K134" i="16"/>
  <c r="J134" i="16"/>
  <c r="I134" i="16"/>
  <c r="H134" i="16"/>
  <c r="H173" i="16" s="1"/>
  <c r="G134" i="16"/>
  <c r="F134" i="16"/>
  <c r="E134" i="16"/>
  <c r="D134" i="16"/>
  <c r="D173" i="16" s="1"/>
  <c r="V133" i="16"/>
  <c r="U133" i="16"/>
  <c r="U172" i="16" s="1"/>
  <c r="T133" i="16"/>
  <c r="S133" i="16"/>
  <c r="R133" i="16"/>
  <c r="Q133" i="16"/>
  <c r="P133" i="16"/>
  <c r="O133" i="16"/>
  <c r="O172" i="16" s="1"/>
  <c r="N133" i="16"/>
  <c r="M133" i="16"/>
  <c r="L133" i="16"/>
  <c r="K133" i="16"/>
  <c r="K172" i="16" s="1"/>
  <c r="J133" i="16"/>
  <c r="I133" i="16"/>
  <c r="H133" i="16"/>
  <c r="G133" i="16"/>
  <c r="G172" i="16" s="1"/>
  <c r="F133" i="16"/>
  <c r="E133" i="16"/>
  <c r="E172" i="16" s="1"/>
  <c r="D133" i="16"/>
  <c r="V132" i="16"/>
  <c r="U132" i="16"/>
  <c r="T132" i="16"/>
  <c r="S132" i="16"/>
  <c r="R132" i="16"/>
  <c r="Q132" i="16"/>
  <c r="P132" i="16"/>
  <c r="O132" i="16"/>
  <c r="N132" i="16"/>
  <c r="N171" i="16" s="1"/>
  <c r="M132" i="16"/>
  <c r="L132" i="16"/>
  <c r="K132" i="16"/>
  <c r="J132" i="16"/>
  <c r="I132" i="16"/>
  <c r="H132" i="16"/>
  <c r="H171" i="16" s="1"/>
  <c r="G132" i="16"/>
  <c r="F132" i="16"/>
  <c r="E132" i="16"/>
  <c r="E171" i="16" s="1"/>
  <c r="D132" i="16"/>
  <c r="V131" i="16"/>
  <c r="U131" i="16"/>
  <c r="U170" i="16" s="1"/>
  <c r="T131" i="16"/>
  <c r="S131" i="16"/>
  <c r="R131" i="16"/>
  <c r="R170" i="16" s="1"/>
  <c r="Q131" i="16"/>
  <c r="Q170" i="16" s="1"/>
  <c r="P131" i="16"/>
  <c r="O131" i="16"/>
  <c r="N131" i="16"/>
  <c r="M131" i="16"/>
  <c r="L131" i="16"/>
  <c r="K131" i="16"/>
  <c r="K170" i="16" s="1"/>
  <c r="J131" i="16"/>
  <c r="I131" i="16"/>
  <c r="H131" i="16"/>
  <c r="H170" i="16" s="1"/>
  <c r="G131" i="16"/>
  <c r="F131" i="16"/>
  <c r="F170" i="16" s="1"/>
  <c r="E131" i="16"/>
  <c r="E170" i="16" s="1"/>
  <c r="D131" i="16"/>
  <c r="V130" i="16"/>
  <c r="U130" i="16"/>
  <c r="T130" i="16"/>
  <c r="T169" i="16" s="1"/>
  <c r="S130" i="16"/>
  <c r="R130" i="16"/>
  <c r="Q130" i="16"/>
  <c r="P130" i="16"/>
  <c r="O130" i="16"/>
  <c r="N130" i="16"/>
  <c r="M130" i="16"/>
  <c r="L130" i="16"/>
  <c r="K130" i="16"/>
  <c r="J130" i="16"/>
  <c r="I130" i="16"/>
  <c r="I159" i="16" s="1"/>
  <c r="H130" i="16"/>
  <c r="H169" i="16" s="1"/>
  <c r="G130" i="16"/>
  <c r="F130" i="16"/>
  <c r="E130" i="16"/>
  <c r="D130" i="16"/>
  <c r="D169" i="16" s="1"/>
  <c r="P119" i="16"/>
  <c r="M119" i="16"/>
  <c r="K119" i="16"/>
  <c r="N118" i="16"/>
  <c r="T117" i="16"/>
  <c r="R117" i="16"/>
  <c r="Q117" i="16"/>
  <c r="T116" i="16"/>
  <c r="O116" i="16"/>
  <c r="M116" i="16"/>
  <c r="J116" i="16"/>
  <c r="I116" i="16"/>
  <c r="G115" i="16"/>
  <c r="P114" i="16"/>
  <c r="L114" i="16"/>
  <c r="J114" i="16"/>
  <c r="M113" i="16"/>
  <c r="D113" i="16"/>
  <c r="P112" i="16"/>
  <c r="U111" i="16"/>
  <c r="S111" i="16"/>
  <c r="N111" i="16"/>
  <c r="V110" i="16"/>
  <c r="G110" i="16"/>
  <c r="F110" i="16"/>
  <c r="Q108" i="16"/>
  <c r="O108" i="16"/>
  <c r="L108" i="16"/>
  <c r="Q107" i="16"/>
  <c r="O107" i="16"/>
  <c r="N107" i="16"/>
  <c r="R106" i="16"/>
  <c r="G106" i="16"/>
  <c r="D106" i="16"/>
  <c r="U105" i="16"/>
  <c r="G105" i="16"/>
  <c r="E105" i="16"/>
  <c r="H104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S102" i="16"/>
  <c r="O102" i="16"/>
  <c r="K102" i="16"/>
  <c r="N101" i="16"/>
  <c r="M101" i="16"/>
  <c r="G100" i="16"/>
  <c r="E100" i="16"/>
  <c r="T99" i="16"/>
  <c r="G99" i="16"/>
  <c r="D99" i="16"/>
  <c r="V98" i="16"/>
  <c r="G98" i="16"/>
  <c r="R97" i="16"/>
  <c r="Q97" i="16"/>
  <c r="N97" i="16"/>
  <c r="J97" i="16"/>
  <c r="N96" i="16"/>
  <c r="M96" i="16"/>
  <c r="K96" i="16"/>
  <c r="P95" i="16"/>
  <c r="H95" i="16"/>
  <c r="S94" i="16"/>
  <c r="I94" i="16"/>
  <c r="F94" i="16"/>
  <c r="V93" i="16"/>
  <c r="F93" i="16"/>
  <c r="D93" i="16"/>
  <c r="I92" i="16"/>
  <c r="T91" i="16"/>
  <c r="L91" i="16"/>
  <c r="U81" i="16"/>
  <c r="V80" i="16"/>
  <c r="U80" i="16"/>
  <c r="T80" i="16"/>
  <c r="S80" i="16"/>
  <c r="S119" i="16" s="1"/>
  <c r="R80" i="16"/>
  <c r="R119" i="16" s="1"/>
  <c r="Q80" i="16"/>
  <c r="P80" i="16"/>
  <c r="O80" i="16"/>
  <c r="O119" i="16" s="1"/>
  <c r="N80" i="16"/>
  <c r="M80" i="16"/>
  <c r="L80" i="16"/>
  <c r="L119" i="16" s="1"/>
  <c r="K80" i="16"/>
  <c r="J80" i="16"/>
  <c r="I80" i="16"/>
  <c r="H80" i="16"/>
  <c r="G80" i="16"/>
  <c r="F80" i="16"/>
  <c r="E80" i="16"/>
  <c r="D80" i="16"/>
  <c r="V79" i="16"/>
  <c r="V118" i="16" s="1"/>
  <c r="U79" i="16"/>
  <c r="U118" i="16" s="1"/>
  <c r="T79" i="16"/>
  <c r="S79" i="16"/>
  <c r="S118" i="16" s="1"/>
  <c r="R79" i="16"/>
  <c r="R118" i="16" s="1"/>
  <c r="Q79" i="16"/>
  <c r="Q118" i="16" s="1"/>
  <c r="P79" i="16"/>
  <c r="P118" i="16" s="1"/>
  <c r="O79" i="16"/>
  <c r="O118" i="16" s="1"/>
  <c r="N79" i="16"/>
  <c r="M79" i="16"/>
  <c r="L79" i="16"/>
  <c r="K79" i="16"/>
  <c r="K118" i="16" s="1"/>
  <c r="J79" i="16"/>
  <c r="I79" i="16"/>
  <c r="H79" i="16"/>
  <c r="H118" i="16" s="1"/>
  <c r="G79" i="16"/>
  <c r="F79" i="16"/>
  <c r="F118" i="16" s="1"/>
  <c r="E79" i="16"/>
  <c r="E118" i="16" s="1"/>
  <c r="D79" i="16"/>
  <c r="V78" i="16"/>
  <c r="U78" i="16"/>
  <c r="T78" i="16"/>
  <c r="S78" i="16"/>
  <c r="S117" i="16" s="1"/>
  <c r="R78" i="16"/>
  <c r="Q78" i="16"/>
  <c r="P78" i="16"/>
  <c r="O78" i="16"/>
  <c r="N78" i="16"/>
  <c r="M78" i="16"/>
  <c r="L78" i="16"/>
  <c r="K78" i="16"/>
  <c r="J78" i="16"/>
  <c r="I78" i="16"/>
  <c r="I117" i="16" s="1"/>
  <c r="H78" i="16"/>
  <c r="H117" i="16" s="1"/>
  <c r="G78" i="16"/>
  <c r="G117" i="16" s="1"/>
  <c r="F78" i="16"/>
  <c r="E78" i="16"/>
  <c r="D78" i="16"/>
  <c r="V77" i="16"/>
  <c r="V116" i="16" s="1"/>
  <c r="U77" i="16"/>
  <c r="T77" i="16"/>
  <c r="S77" i="16"/>
  <c r="S116" i="16" s="1"/>
  <c r="R77" i="16"/>
  <c r="R116" i="16" s="1"/>
  <c r="Q77" i="16"/>
  <c r="Q116" i="16" s="1"/>
  <c r="P77" i="16"/>
  <c r="P116" i="16" s="1"/>
  <c r="O77" i="16"/>
  <c r="N77" i="16"/>
  <c r="N116" i="16" s="1"/>
  <c r="M77" i="16"/>
  <c r="L77" i="16"/>
  <c r="L116" i="16" s="1"/>
  <c r="K77" i="16"/>
  <c r="K116" i="16" s="1"/>
  <c r="J77" i="16"/>
  <c r="I77" i="16"/>
  <c r="H77" i="16"/>
  <c r="H116" i="16" s="1"/>
  <c r="G77" i="16"/>
  <c r="G116" i="16" s="1"/>
  <c r="F77" i="16"/>
  <c r="F116" i="16" s="1"/>
  <c r="E77" i="16"/>
  <c r="E116" i="16" s="1"/>
  <c r="D77" i="16"/>
  <c r="D116" i="16" s="1"/>
  <c r="V76" i="16"/>
  <c r="U76" i="16"/>
  <c r="T76" i="16"/>
  <c r="S76" i="16"/>
  <c r="R76" i="16"/>
  <c r="Q76" i="16"/>
  <c r="P76" i="16"/>
  <c r="O76" i="16"/>
  <c r="O115" i="16" s="1"/>
  <c r="N76" i="16"/>
  <c r="N115" i="16" s="1"/>
  <c r="M76" i="16"/>
  <c r="M115" i="16" s="1"/>
  <c r="L76" i="16"/>
  <c r="K76" i="16"/>
  <c r="K115" i="16" s="1"/>
  <c r="J76" i="16"/>
  <c r="J115" i="16" s="1"/>
  <c r="I76" i="16"/>
  <c r="I115" i="16" s="1"/>
  <c r="H76" i="16"/>
  <c r="G76" i="16"/>
  <c r="F76" i="16"/>
  <c r="E76" i="16"/>
  <c r="D76" i="16"/>
  <c r="V75" i="16"/>
  <c r="U75" i="16"/>
  <c r="T75" i="16"/>
  <c r="T114" i="16" s="1"/>
  <c r="S75" i="16"/>
  <c r="R75" i="16"/>
  <c r="R114" i="16" s="1"/>
  <c r="Q75" i="16"/>
  <c r="Q114" i="16" s="1"/>
  <c r="P75" i="16"/>
  <c r="O75" i="16"/>
  <c r="N75" i="16"/>
  <c r="N114" i="16" s="1"/>
  <c r="M75" i="16"/>
  <c r="M114" i="16" s="1"/>
  <c r="L75" i="16"/>
  <c r="K75" i="16"/>
  <c r="J75" i="16"/>
  <c r="I75" i="16"/>
  <c r="H75" i="16"/>
  <c r="G75" i="16"/>
  <c r="F75" i="16"/>
  <c r="E75" i="16"/>
  <c r="D75" i="16"/>
  <c r="D114" i="16" s="1"/>
  <c r="V74" i="16"/>
  <c r="U74" i="16"/>
  <c r="U113" i="16" s="1"/>
  <c r="T74" i="16"/>
  <c r="T113" i="16" s="1"/>
  <c r="S74" i="16"/>
  <c r="S113" i="16" s="1"/>
  <c r="R74" i="16"/>
  <c r="Q74" i="16"/>
  <c r="Q113" i="16" s="1"/>
  <c r="P74" i="16"/>
  <c r="P113" i="16" s="1"/>
  <c r="O74" i="16"/>
  <c r="O113" i="16" s="1"/>
  <c r="N74" i="16"/>
  <c r="M74" i="16"/>
  <c r="L74" i="16"/>
  <c r="K74" i="16"/>
  <c r="J74" i="16"/>
  <c r="I74" i="16"/>
  <c r="H74" i="16"/>
  <c r="G74" i="16"/>
  <c r="F74" i="16"/>
  <c r="E74" i="16"/>
  <c r="E113" i="16" s="1"/>
  <c r="D74" i="16"/>
  <c r="V73" i="16"/>
  <c r="V112" i="16" s="1"/>
  <c r="U73" i="16"/>
  <c r="T73" i="16"/>
  <c r="T112" i="16" s="1"/>
  <c r="S73" i="16"/>
  <c r="S112" i="16" s="1"/>
  <c r="R73" i="16"/>
  <c r="R112" i="16" s="1"/>
  <c r="Q73" i="16"/>
  <c r="Q112" i="16" s="1"/>
  <c r="P73" i="16"/>
  <c r="O73" i="16"/>
  <c r="N73" i="16"/>
  <c r="M73" i="16"/>
  <c r="L73" i="16"/>
  <c r="K73" i="16"/>
  <c r="J73" i="16"/>
  <c r="I73" i="16"/>
  <c r="H73" i="16"/>
  <c r="H112" i="16" s="1"/>
  <c r="G73" i="16"/>
  <c r="G112" i="16" s="1"/>
  <c r="F73" i="16"/>
  <c r="E73" i="16"/>
  <c r="D73" i="16"/>
  <c r="D112" i="16" s="1"/>
  <c r="V72" i="16"/>
  <c r="V111" i="16" s="1"/>
  <c r="U72" i="16"/>
  <c r="T72" i="16"/>
  <c r="T111" i="16" s="1"/>
  <c r="S72" i="16"/>
  <c r="R72" i="16"/>
  <c r="Q72" i="16"/>
  <c r="P72" i="16"/>
  <c r="O72" i="16"/>
  <c r="N72" i="16"/>
  <c r="M72" i="16"/>
  <c r="L72" i="16"/>
  <c r="K72" i="16"/>
  <c r="K111" i="16" s="1"/>
  <c r="J72" i="16"/>
  <c r="J111" i="16" s="1"/>
  <c r="I72" i="16"/>
  <c r="I111" i="16" s="1"/>
  <c r="H72" i="16"/>
  <c r="G72" i="16"/>
  <c r="F72" i="16"/>
  <c r="F111" i="16" s="1"/>
  <c r="E72" i="16"/>
  <c r="E111" i="16" s="1"/>
  <c r="D72" i="16"/>
  <c r="V71" i="16"/>
  <c r="U71" i="16"/>
  <c r="T71" i="16"/>
  <c r="S71" i="16"/>
  <c r="R71" i="16"/>
  <c r="Q71" i="16"/>
  <c r="P71" i="16"/>
  <c r="O71" i="16"/>
  <c r="N71" i="16"/>
  <c r="N110" i="16" s="1"/>
  <c r="M71" i="16"/>
  <c r="M110" i="16" s="1"/>
  <c r="L71" i="16"/>
  <c r="K71" i="16"/>
  <c r="J71" i="16"/>
  <c r="J110" i="16" s="1"/>
  <c r="I71" i="16"/>
  <c r="I110" i="16" s="1"/>
  <c r="H71" i="16"/>
  <c r="H110" i="16" s="1"/>
  <c r="G71" i="16"/>
  <c r="F71" i="16"/>
  <c r="E71" i="16"/>
  <c r="E110" i="16" s="1"/>
  <c r="D71" i="16"/>
  <c r="V70" i="16"/>
  <c r="U70" i="16"/>
  <c r="T70" i="16"/>
  <c r="S70" i="16"/>
  <c r="R70" i="16"/>
  <c r="Q70" i="16"/>
  <c r="Q109" i="16" s="1"/>
  <c r="P70" i="16"/>
  <c r="P109" i="16" s="1"/>
  <c r="O70" i="16"/>
  <c r="O109" i="16" s="1"/>
  <c r="N70" i="16"/>
  <c r="N109" i="16" s="1"/>
  <c r="M70" i="16"/>
  <c r="M109" i="16" s="1"/>
  <c r="L70" i="16"/>
  <c r="L109" i="16" s="1"/>
  <c r="K70" i="16"/>
  <c r="K109" i="16" s="1"/>
  <c r="J70" i="16"/>
  <c r="J109" i="16" s="1"/>
  <c r="I70" i="16"/>
  <c r="I109" i="16" s="1"/>
  <c r="H70" i="16"/>
  <c r="H109" i="16" s="1"/>
  <c r="G70" i="16"/>
  <c r="F70" i="16"/>
  <c r="F109" i="16" s="1"/>
  <c r="E70" i="16"/>
  <c r="D70" i="16"/>
  <c r="V69" i="16"/>
  <c r="U69" i="16"/>
  <c r="T69" i="16"/>
  <c r="T108" i="16" s="1"/>
  <c r="S69" i="16"/>
  <c r="S108" i="16" s="1"/>
  <c r="R69" i="16"/>
  <c r="Q69" i="16"/>
  <c r="P69" i="16"/>
  <c r="P108" i="16" s="1"/>
  <c r="O69" i="16"/>
  <c r="N69" i="16"/>
  <c r="N108" i="16" s="1"/>
  <c r="M69" i="16"/>
  <c r="L69" i="16"/>
  <c r="K69" i="16"/>
  <c r="J69" i="16"/>
  <c r="I69" i="16"/>
  <c r="H69" i="16"/>
  <c r="G69" i="16"/>
  <c r="F69" i="16"/>
  <c r="E69" i="16"/>
  <c r="D69" i="16"/>
  <c r="D108" i="16" s="1"/>
  <c r="V68" i="16"/>
  <c r="V107" i="16" s="1"/>
  <c r="U68" i="16"/>
  <c r="U107" i="16" s="1"/>
  <c r="T68" i="16"/>
  <c r="S68" i="16"/>
  <c r="S107" i="16" s="1"/>
  <c r="R68" i="16"/>
  <c r="R107" i="16" s="1"/>
  <c r="Q68" i="16"/>
  <c r="P68" i="16"/>
  <c r="O68" i="16"/>
  <c r="N68" i="16"/>
  <c r="M68" i="16"/>
  <c r="L68" i="16"/>
  <c r="K68" i="16"/>
  <c r="J68" i="16"/>
  <c r="I68" i="16"/>
  <c r="H68" i="16"/>
  <c r="G68" i="16"/>
  <c r="G107" i="16" s="1"/>
  <c r="F68" i="16"/>
  <c r="F107" i="16" s="1"/>
  <c r="E68" i="16"/>
  <c r="E107" i="16" s="1"/>
  <c r="D68" i="16"/>
  <c r="V67" i="16"/>
  <c r="V106" i="16" s="1"/>
  <c r="U67" i="16"/>
  <c r="U106" i="16" s="1"/>
  <c r="T67" i="16"/>
  <c r="T106" i="16" s="1"/>
  <c r="S67" i="16"/>
  <c r="R67" i="16"/>
  <c r="Q67" i="16"/>
  <c r="Q106" i="16" s="1"/>
  <c r="P67" i="16"/>
  <c r="O67" i="16"/>
  <c r="O106" i="16" s="1"/>
  <c r="N67" i="16"/>
  <c r="M67" i="16"/>
  <c r="L67" i="16"/>
  <c r="K67" i="16"/>
  <c r="J67" i="16"/>
  <c r="J106" i="16" s="1"/>
  <c r="I67" i="16"/>
  <c r="I106" i="16" s="1"/>
  <c r="H67" i="16"/>
  <c r="G67" i="16"/>
  <c r="F67" i="16"/>
  <c r="F106" i="16" s="1"/>
  <c r="E67" i="16"/>
  <c r="E106" i="16" s="1"/>
  <c r="D67" i="16"/>
  <c r="V66" i="16"/>
  <c r="U66" i="16"/>
  <c r="T66" i="16"/>
  <c r="T105" i="16" s="1"/>
  <c r="S66" i="16"/>
  <c r="R66" i="16"/>
  <c r="Q66" i="16"/>
  <c r="P66" i="16"/>
  <c r="O66" i="16"/>
  <c r="N66" i="16"/>
  <c r="M66" i="16"/>
  <c r="M105" i="16" s="1"/>
  <c r="L66" i="16"/>
  <c r="L105" i="16" s="1"/>
  <c r="K66" i="16"/>
  <c r="J66" i="16"/>
  <c r="J105" i="16" s="1"/>
  <c r="I66" i="16"/>
  <c r="I105" i="16" s="1"/>
  <c r="H66" i="16"/>
  <c r="H105" i="16" s="1"/>
  <c r="G66" i="16"/>
  <c r="F66" i="16"/>
  <c r="E66" i="16"/>
  <c r="D66" i="16"/>
  <c r="V65" i="16"/>
  <c r="U65" i="16"/>
  <c r="T65" i="16"/>
  <c r="S65" i="16"/>
  <c r="R65" i="16"/>
  <c r="Q65" i="16"/>
  <c r="P65" i="16"/>
  <c r="P104" i="16" s="1"/>
  <c r="O65" i="16"/>
  <c r="O104" i="16" s="1"/>
  <c r="N65" i="16"/>
  <c r="N104" i="16" s="1"/>
  <c r="M65" i="16"/>
  <c r="L65" i="16"/>
  <c r="K65" i="16"/>
  <c r="K104" i="16" s="1"/>
  <c r="J65" i="16"/>
  <c r="J104" i="16" s="1"/>
  <c r="I65" i="16"/>
  <c r="H65" i="16"/>
  <c r="G65" i="16"/>
  <c r="F65" i="16"/>
  <c r="E65" i="16"/>
  <c r="D65" i="16"/>
  <c r="V63" i="16"/>
  <c r="U63" i="16"/>
  <c r="T63" i="16"/>
  <c r="S63" i="16"/>
  <c r="R63" i="16"/>
  <c r="R102" i="16" s="1"/>
  <c r="Q63" i="16"/>
  <c r="P63" i="16"/>
  <c r="O63" i="16"/>
  <c r="N63" i="16"/>
  <c r="N102" i="16" s="1"/>
  <c r="M63" i="16"/>
  <c r="M102" i="16" s="1"/>
  <c r="L63" i="16"/>
  <c r="K63" i="16"/>
  <c r="J63" i="16"/>
  <c r="I63" i="16"/>
  <c r="I102" i="16" s="1"/>
  <c r="H63" i="16"/>
  <c r="G63" i="16"/>
  <c r="F63" i="16"/>
  <c r="E63" i="16"/>
  <c r="D63" i="16"/>
  <c r="V62" i="16"/>
  <c r="V101" i="16" s="1"/>
  <c r="U62" i="16"/>
  <c r="U101" i="16" s="1"/>
  <c r="T62" i="16"/>
  <c r="T101" i="16" s="1"/>
  <c r="S62" i="16"/>
  <c r="R62" i="16"/>
  <c r="Q62" i="16"/>
  <c r="Q101" i="16" s="1"/>
  <c r="P62" i="16"/>
  <c r="P101" i="16" s="1"/>
  <c r="O62" i="16"/>
  <c r="N62" i="16"/>
  <c r="M62" i="16"/>
  <c r="L62" i="16"/>
  <c r="L101" i="16" s="1"/>
  <c r="K62" i="16"/>
  <c r="J62" i="16"/>
  <c r="I62" i="16"/>
  <c r="H62" i="16"/>
  <c r="G62" i="16"/>
  <c r="F62" i="16"/>
  <c r="F101" i="16" s="1"/>
  <c r="E62" i="16"/>
  <c r="E101" i="16" s="1"/>
  <c r="D62" i="16"/>
  <c r="D101" i="16" s="1"/>
  <c r="V61" i="16"/>
  <c r="V100" i="16" s="1"/>
  <c r="U61" i="16"/>
  <c r="U100" i="16" s="1"/>
  <c r="T61" i="16"/>
  <c r="T100" i="16" s="1"/>
  <c r="S61" i="16"/>
  <c r="S100" i="16" s="1"/>
  <c r="R61" i="16"/>
  <c r="Q61" i="16"/>
  <c r="Q100" i="16" s="1"/>
  <c r="P61" i="16"/>
  <c r="P100" i="16" s="1"/>
  <c r="O61" i="16"/>
  <c r="O100" i="16" s="1"/>
  <c r="N61" i="16"/>
  <c r="N100" i="16" s="1"/>
  <c r="M61" i="16"/>
  <c r="L61" i="16"/>
  <c r="K61" i="16"/>
  <c r="J61" i="16"/>
  <c r="I61" i="16"/>
  <c r="I100" i="16" s="1"/>
  <c r="H61" i="16"/>
  <c r="H100" i="16" s="1"/>
  <c r="G61" i="16"/>
  <c r="F61" i="16"/>
  <c r="F100" i="16" s="1"/>
  <c r="E61" i="16"/>
  <c r="D61" i="16"/>
  <c r="D100" i="16" s="1"/>
  <c r="V60" i="16"/>
  <c r="V99" i="16" s="1"/>
  <c r="U60" i="16"/>
  <c r="T60" i="16"/>
  <c r="S60" i="16"/>
  <c r="R60" i="16"/>
  <c r="Q60" i="16"/>
  <c r="P60" i="16"/>
  <c r="O60" i="16"/>
  <c r="N60" i="16"/>
  <c r="M60" i="16"/>
  <c r="L60" i="16"/>
  <c r="L99" i="16" s="1"/>
  <c r="K60" i="16"/>
  <c r="K99" i="16" s="1"/>
  <c r="J60" i="16"/>
  <c r="I60" i="16"/>
  <c r="I99" i="16" s="1"/>
  <c r="H60" i="16"/>
  <c r="H99" i="16" s="1"/>
  <c r="G60" i="16"/>
  <c r="F60" i="16"/>
  <c r="F99" i="16" s="1"/>
  <c r="E60" i="16"/>
  <c r="D60" i="16"/>
  <c r="V59" i="16"/>
  <c r="U59" i="16"/>
  <c r="U98" i="16" s="1"/>
  <c r="T59" i="16"/>
  <c r="S59" i="16"/>
  <c r="R59" i="16"/>
  <c r="Q59" i="16"/>
  <c r="P59" i="16"/>
  <c r="O59" i="16"/>
  <c r="O98" i="16" s="1"/>
  <c r="N59" i="16"/>
  <c r="N98" i="16" s="1"/>
  <c r="M59" i="16"/>
  <c r="L59" i="16"/>
  <c r="L98" i="16" s="1"/>
  <c r="K59" i="16"/>
  <c r="J59" i="16"/>
  <c r="J98" i="16" s="1"/>
  <c r="I59" i="16"/>
  <c r="I98" i="16" s="1"/>
  <c r="H59" i="16"/>
  <c r="G59" i="16"/>
  <c r="F59" i="16"/>
  <c r="F98" i="16" s="1"/>
  <c r="E59" i="16"/>
  <c r="E98" i="16" s="1"/>
  <c r="D59" i="16"/>
  <c r="V58" i="16"/>
  <c r="U58" i="16"/>
  <c r="T58" i="16"/>
  <c r="S58" i="16"/>
  <c r="R58" i="16"/>
  <c r="Q58" i="16"/>
  <c r="P58" i="16"/>
  <c r="P97" i="16" s="1"/>
  <c r="O58" i="16"/>
  <c r="N58" i="16"/>
  <c r="M58" i="16"/>
  <c r="M97" i="16" s="1"/>
  <c r="L58" i="16"/>
  <c r="L97" i="16" s="1"/>
  <c r="K58" i="16"/>
  <c r="J58" i="16"/>
  <c r="I58" i="16"/>
  <c r="I97" i="16" s="1"/>
  <c r="H58" i="16"/>
  <c r="G58" i="16"/>
  <c r="F58" i="16"/>
  <c r="E58" i="16"/>
  <c r="D58" i="16"/>
  <c r="V57" i="16"/>
  <c r="U57" i="16"/>
  <c r="U96" i="16" s="1"/>
  <c r="T57" i="16"/>
  <c r="T96" i="16" s="1"/>
  <c r="S57" i="16"/>
  <c r="S96" i="16" s="1"/>
  <c r="R57" i="16"/>
  <c r="Q57" i="16"/>
  <c r="P57" i="16"/>
  <c r="P96" i="16" s="1"/>
  <c r="O57" i="16"/>
  <c r="O96" i="16" s="1"/>
  <c r="N57" i="16"/>
  <c r="M57" i="16"/>
  <c r="L57" i="16"/>
  <c r="L96" i="16" s="1"/>
  <c r="K57" i="16"/>
  <c r="J57" i="16"/>
  <c r="I57" i="16"/>
  <c r="H57" i="16"/>
  <c r="G57" i="16"/>
  <c r="F57" i="16"/>
  <c r="E57" i="16"/>
  <c r="E96" i="16" s="1"/>
  <c r="D57" i="16"/>
  <c r="D96" i="16" s="1"/>
  <c r="V56" i="16"/>
  <c r="V95" i="16" s="1"/>
  <c r="U56" i="16"/>
  <c r="U95" i="16" s="1"/>
  <c r="T56" i="16"/>
  <c r="S56" i="16"/>
  <c r="S95" i="16" s="1"/>
  <c r="R56" i="16"/>
  <c r="R95" i="16" s="1"/>
  <c r="Q56" i="16"/>
  <c r="P56" i="16"/>
  <c r="O56" i="16"/>
  <c r="N56" i="16"/>
  <c r="N95" i="16" s="1"/>
  <c r="M56" i="16"/>
  <c r="L56" i="16"/>
  <c r="K56" i="16"/>
  <c r="J56" i="16"/>
  <c r="I56" i="16"/>
  <c r="H56" i="16"/>
  <c r="G56" i="16"/>
  <c r="G95" i="16" s="1"/>
  <c r="F56" i="16"/>
  <c r="F95" i="16" s="1"/>
  <c r="E56" i="16"/>
  <c r="E95" i="16" s="1"/>
  <c r="D56" i="16"/>
  <c r="V55" i="16"/>
  <c r="V94" i="16" s="1"/>
  <c r="U55" i="16"/>
  <c r="U94" i="16" s="1"/>
  <c r="T55" i="16"/>
  <c r="S55" i="16"/>
  <c r="R55" i="16"/>
  <c r="R94" i="16" s="1"/>
  <c r="Q55" i="16"/>
  <c r="P55" i="16"/>
  <c r="P94" i="16" s="1"/>
  <c r="O55" i="16"/>
  <c r="N55" i="16"/>
  <c r="M55" i="16"/>
  <c r="L55" i="16"/>
  <c r="K55" i="16"/>
  <c r="K94" i="16" s="1"/>
  <c r="J55" i="16"/>
  <c r="J94" i="16" s="1"/>
  <c r="I55" i="16"/>
  <c r="H55" i="16"/>
  <c r="H94" i="16" s="1"/>
  <c r="G55" i="16"/>
  <c r="G81" i="16" s="1"/>
  <c r="F55" i="16"/>
  <c r="E55" i="16"/>
  <c r="E94" i="16" s="1"/>
  <c r="D55" i="16"/>
  <c r="V54" i="16"/>
  <c r="U54" i="16"/>
  <c r="U93" i="16" s="1"/>
  <c r="T54" i="16"/>
  <c r="T93" i="16" s="1"/>
  <c r="S54" i="16"/>
  <c r="R54" i="16"/>
  <c r="Q54" i="16"/>
  <c r="P54" i="16"/>
  <c r="O54" i="16"/>
  <c r="N54" i="16"/>
  <c r="N93" i="16" s="1"/>
  <c r="M54" i="16"/>
  <c r="M93" i="16" s="1"/>
  <c r="L54" i="16"/>
  <c r="L93" i="16" s="1"/>
  <c r="K54" i="16"/>
  <c r="J54" i="16"/>
  <c r="I54" i="16"/>
  <c r="I93" i="16" s="1"/>
  <c r="H54" i="16"/>
  <c r="H93" i="16" s="1"/>
  <c r="G54" i="16"/>
  <c r="F54" i="16"/>
  <c r="E54" i="16"/>
  <c r="E93" i="16" s="1"/>
  <c r="D54" i="16"/>
  <c r="V53" i="16"/>
  <c r="U53" i="16"/>
  <c r="T53" i="16"/>
  <c r="S53" i="16"/>
  <c r="R53" i="16"/>
  <c r="Q53" i="16"/>
  <c r="Q92" i="16" s="1"/>
  <c r="P53" i="16"/>
  <c r="P92" i="16" s="1"/>
  <c r="O53" i="16"/>
  <c r="O92" i="16" s="1"/>
  <c r="N53" i="16"/>
  <c r="N92" i="16" s="1"/>
  <c r="M53" i="16"/>
  <c r="M81" i="16" s="1"/>
  <c r="L53" i="16"/>
  <c r="L81" i="16" s="1"/>
  <c r="K53" i="16"/>
  <c r="K92" i="16" s="1"/>
  <c r="J53" i="16"/>
  <c r="I53" i="16"/>
  <c r="H53" i="16"/>
  <c r="G53" i="16"/>
  <c r="G92" i="16" s="1"/>
  <c r="F53" i="16"/>
  <c r="E53" i="16"/>
  <c r="E81" i="16" s="1"/>
  <c r="D53" i="16"/>
  <c r="V52" i="16"/>
  <c r="U52" i="16"/>
  <c r="T52" i="16"/>
  <c r="T81" i="16" s="1"/>
  <c r="S52" i="16"/>
  <c r="S81" i="16" s="1"/>
  <c r="R52" i="16"/>
  <c r="R91" i="16" s="1"/>
  <c r="Q52" i="16"/>
  <c r="Q91" i="16" s="1"/>
  <c r="P52" i="16"/>
  <c r="O52" i="16"/>
  <c r="O81" i="16" s="1"/>
  <c r="N52" i="16"/>
  <c r="N91" i="16" s="1"/>
  <c r="M52" i="16"/>
  <c r="L52" i="16"/>
  <c r="K52" i="16"/>
  <c r="K81" i="16" s="1"/>
  <c r="J52" i="16"/>
  <c r="J81" i="16" s="1"/>
  <c r="I52" i="16"/>
  <c r="H52" i="16"/>
  <c r="G52" i="16"/>
  <c r="F52" i="16"/>
  <c r="E52" i="16"/>
  <c r="D52" i="16"/>
  <c r="D91" i="16" s="1"/>
  <c r="V41" i="16"/>
  <c r="V119" i="16" s="1"/>
  <c r="U41" i="16"/>
  <c r="T41" i="16"/>
  <c r="T119" i="16" s="1"/>
  <c r="S41" i="16"/>
  <c r="S274" i="16" s="1"/>
  <c r="R41" i="16"/>
  <c r="Q41" i="16"/>
  <c r="Q197" i="16" s="1"/>
  <c r="P41" i="16"/>
  <c r="O41" i="16"/>
  <c r="N41" i="16"/>
  <c r="N274" i="16" s="1"/>
  <c r="M41" i="16"/>
  <c r="L41" i="16"/>
  <c r="L197" i="16" s="1"/>
  <c r="K41" i="16"/>
  <c r="K274" i="16" s="1"/>
  <c r="J41" i="16"/>
  <c r="I41" i="16"/>
  <c r="I197" i="16" s="1"/>
  <c r="H41" i="16"/>
  <c r="H119" i="16" s="1"/>
  <c r="G41" i="16"/>
  <c r="F41" i="16"/>
  <c r="F119" i="16" s="1"/>
  <c r="E41" i="16"/>
  <c r="D41" i="16"/>
  <c r="V40" i="16"/>
  <c r="V273" i="16" s="1"/>
  <c r="U40" i="16"/>
  <c r="U273" i="16" s="1"/>
  <c r="T40" i="16"/>
  <c r="T196" i="16" s="1"/>
  <c r="S40" i="16"/>
  <c r="S273" i="16" s="1"/>
  <c r="R40" i="16"/>
  <c r="Q40" i="16"/>
  <c r="P40" i="16"/>
  <c r="O40" i="16"/>
  <c r="O196" i="16" s="1"/>
  <c r="N40" i="16"/>
  <c r="N273" i="16" s="1"/>
  <c r="M40" i="16"/>
  <c r="L40" i="16"/>
  <c r="K40" i="16"/>
  <c r="J40" i="16"/>
  <c r="J196" i="16" s="1"/>
  <c r="I40" i="16"/>
  <c r="I118" i="16" s="1"/>
  <c r="H40" i="16"/>
  <c r="G40" i="16"/>
  <c r="G273" i="16" s="1"/>
  <c r="F40" i="16"/>
  <c r="F273" i="16" s="1"/>
  <c r="E40" i="16"/>
  <c r="E273" i="16" s="1"/>
  <c r="D40" i="16"/>
  <c r="D196" i="16" s="1"/>
  <c r="V39" i="16"/>
  <c r="U39" i="16"/>
  <c r="T39" i="16"/>
  <c r="S39" i="16"/>
  <c r="R39" i="16"/>
  <c r="R195" i="16" s="1"/>
  <c r="Q39" i="16"/>
  <c r="Q272" i="16" s="1"/>
  <c r="P39" i="16"/>
  <c r="O39" i="16"/>
  <c r="O195" i="16" s="1"/>
  <c r="N39" i="16"/>
  <c r="N117" i="16" s="1"/>
  <c r="M39" i="16"/>
  <c r="M195" i="16" s="1"/>
  <c r="L39" i="16"/>
  <c r="L117" i="16" s="1"/>
  <c r="K39" i="16"/>
  <c r="J39" i="16"/>
  <c r="J117" i="16" s="1"/>
  <c r="I39" i="16"/>
  <c r="I272" i="16" s="1"/>
  <c r="H39" i="16"/>
  <c r="H272" i="16" s="1"/>
  <c r="G39" i="16"/>
  <c r="G195" i="16" s="1"/>
  <c r="F39" i="16"/>
  <c r="E39" i="16"/>
  <c r="D39" i="16"/>
  <c r="V38" i="16"/>
  <c r="U38" i="16"/>
  <c r="U194" i="16" s="1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V37" i="16"/>
  <c r="V115" i="16" s="1"/>
  <c r="U37" i="16"/>
  <c r="U193" i="16" s="1"/>
  <c r="T37" i="16"/>
  <c r="T115" i="16" s="1"/>
  <c r="S37" i="16"/>
  <c r="R37" i="16"/>
  <c r="R115" i="16" s="1"/>
  <c r="Q37" i="16"/>
  <c r="P37" i="16"/>
  <c r="P115" i="16" s="1"/>
  <c r="O37" i="16"/>
  <c r="O270" i="16" s="1"/>
  <c r="N37" i="16"/>
  <c r="N270" i="16" s="1"/>
  <c r="M37" i="16"/>
  <c r="M193" i="16" s="1"/>
  <c r="L37" i="16"/>
  <c r="L270" i="16" s="1"/>
  <c r="K37" i="16"/>
  <c r="J37" i="16"/>
  <c r="J193" i="16" s="1"/>
  <c r="I37" i="16"/>
  <c r="H37" i="16"/>
  <c r="G37" i="16"/>
  <c r="G270" i="16" s="1"/>
  <c r="F37" i="16"/>
  <c r="E37" i="16"/>
  <c r="E193" i="16" s="1"/>
  <c r="D37" i="16"/>
  <c r="V36" i="16"/>
  <c r="U36" i="16"/>
  <c r="U192" i="16" s="1"/>
  <c r="T36" i="16"/>
  <c r="S36" i="16"/>
  <c r="S114" i="16" s="1"/>
  <c r="R36" i="16"/>
  <c r="R269" i="16" s="1"/>
  <c r="Q36" i="16"/>
  <c r="Q269" i="16" s="1"/>
  <c r="P36" i="16"/>
  <c r="O36" i="16"/>
  <c r="O269" i="16" s="1"/>
  <c r="N36" i="16"/>
  <c r="M36" i="16"/>
  <c r="L36" i="16"/>
  <c r="K36" i="16"/>
  <c r="K192" i="16" s="1"/>
  <c r="J36" i="16"/>
  <c r="J269" i="16" s="1"/>
  <c r="I36" i="16"/>
  <c r="H36" i="16"/>
  <c r="H192" i="16" s="1"/>
  <c r="G36" i="16"/>
  <c r="G114" i="16" s="1"/>
  <c r="F36" i="16"/>
  <c r="E36" i="16"/>
  <c r="E114" i="16" s="1"/>
  <c r="D36" i="16"/>
  <c r="V35" i="16"/>
  <c r="V113" i="16" s="1"/>
  <c r="U35" i="16"/>
  <c r="U268" i="16" s="1"/>
  <c r="T35" i="16"/>
  <c r="T268" i="16" s="1"/>
  <c r="S35" i="16"/>
  <c r="S191" i="16" s="1"/>
  <c r="R35" i="16"/>
  <c r="R268" i="16" s="1"/>
  <c r="Q35" i="16"/>
  <c r="P35" i="16"/>
  <c r="O35" i="16"/>
  <c r="N35" i="16"/>
  <c r="M35" i="16"/>
  <c r="M268" i="16" s="1"/>
  <c r="L35" i="16"/>
  <c r="L113" i="16" s="1"/>
  <c r="K35" i="16"/>
  <c r="K191" i="16" s="1"/>
  <c r="J35" i="16"/>
  <c r="J113" i="16" s="1"/>
  <c r="I35" i="16"/>
  <c r="I191" i="16" s="1"/>
  <c r="H35" i="16"/>
  <c r="H113" i="16" s="1"/>
  <c r="G35" i="16"/>
  <c r="F35" i="16"/>
  <c r="F113" i="16" s="1"/>
  <c r="E35" i="16"/>
  <c r="E268" i="16" s="1"/>
  <c r="D35" i="16"/>
  <c r="D268" i="16" s="1"/>
  <c r="V34" i="16"/>
  <c r="V190" i="16" s="1"/>
  <c r="U34" i="16"/>
  <c r="U267" i="16" s="1"/>
  <c r="T34" i="16"/>
  <c r="S34" i="16"/>
  <c r="S190" i="16" s="1"/>
  <c r="R34" i="16"/>
  <c r="Q34" i="16"/>
  <c r="Q190" i="16" s="1"/>
  <c r="P34" i="16"/>
  <c r="P267" i="16" s="1"/>
  <c r="O34" i="16"/>
  <c r="N34" i="16"/>
  <c r="N190" i="16" s="1"/>
  <c r="M34" i="16"/>
  <c r="M112" i="16" s="1"/>
  <c r="L34" i="16"/>
  <c r="K34" i="16"/>
  <c r="K112" i="16" s="1"/>
  <c r="J34" i="16"/>
  <c r="I34" i="16"/>
  <c r="I112" i="16" s="1"/>
  <c r="H34" i="16"/>
  <c r="G34" i="16"/>
  <c r="G267" i="16" s="1"/>
  <c r="F34" i="16"/>
  <c r="F190" i="16" s="1"/>
  <c r="E34" i="16"/>
  <c r="E267" i="16" s="1"/>
  <c r="D34" i="16"/>
  <c r="V33" i="16"/>
  <c r="U33" i="16"/>
  <c r="T33" i="16"/>
  <c r="T189" i="16" s="1"/>
  <c r="S33" i="16"/>
  <c r="S266" i="16" s="1"/>
  <c r="R33" i="16"/>
  <c r="Q33" i="16"/>
  <c r="Q189" i="16" s="1"/>
  <c r="P33" i="16"/>
  <c r="P111" i="16" s="1"/>
  <c r="O33" i="16"/>
  <c r="N33" i="16"/>
  <c r="M33" i="16"/>
  <c r="L33" i="16"/>
  <c r="L111" i="16" s="1"/>
  <c r="K33" i="16"/>
  <c r="K266" i="16" s="1"/>
  <c r="J33" i="16"/>
  <c r="J266" i="16" s="1"/>
  <c r="I33" i="16"/>
  <c r="I189" i="16" s="1"/>
  <c r="H33" i="16"/>
  <c r="G33" i="16"/>
  <c r="G189" i="16" s="1"/>
  <c r="F33" i="16"/>
  <c r="E33" i="16"/>
  <c r="D33" i="16"/>
  <c r="D189" i="16" s="1"/>
  <c r="V32" i="16"/>
  <c r="V265" i="16" s="1"/>
  <c r="U32" i="16"/>
  <c r="T32" i="16"/>
  <c r="T188" i="16" s="1"/>
  <c r="S32" i="16"/>
  <c r="S110" i="16" s="1"/>
  <c r="R32" i="16"/>
  <c r="R188" i="16" s="1"/>
  <c r="Q32" i="16"/>
  <c r="Q265" i="16" s="1"/>
  <c r="P32" i="16"/>
  <c r="O32" i="16"/>
  <c r="O110" i="16" s="1"/>
  <c r="N32" i="16"/>
  <c r="N265" i="16" s="1"/>
  <c r="M32" i="16"/>
  <c r="M265" i="16" s="1"/>
  <c r="L32" i="16"/>
  <c r="L110" i="16" s="1"/>
  <c r="K32" i="16"/>
  <c r="K265" i="16" s="1"/>
  <c r="J32" i="16"/>
  <c r="I32" i="16"/>
  <c r="H32" i="16"/>
  <c r="G32" i="16"/>
  <c r="F32" i="16"/>
  <c r="F265" i="16" s="1"/>
  <c r="E32" i="16"/>
  <c r="D32" i="16"/>
  <c r="V31" i="16"/>
  <c r="V109" i="16" s="1"/>
  <c r="U31" i="16"/>
  <c r="T31" i="16"/>
  <c r="T109" i="16" s="1"/>
  <c r="S31" i="16"/>
  <c r="R31" i="16"/>
  <c r="R109" i="16" s="1"/>
  <c r="Q31" i="16"/>
  <c r="Q264" i="16" s="1"/>
  <c r="P31" i="16"/>
  <c r="P264" i="16" s="1"/>
  <c r="O31" i="16"/>
  <c r="O187" i="16" s="1"/>
  <c r="N31" i="16"/>
  <c r="N264" i="16" s="1"/>
  <c r="M31" i="16"/>
  <c r="L31" i="16"/>
  <c r="K31" i="16"/>
  <c r="J31" i="16"/>
  <c r="J187" i="16" s="1"/>
  <c r="I31" i="16"/>
  <c r="H31" i="16"/>
  <c r="G31" i="16"/>
  <c r="G187" i="16" s="1"/>
  <c r="F31" i="16"/>
  <c r="E31" i="16"/>
  <c r="D31" i="16"/>
  <c r="D187" i="16" s="1"/>
  <c r="V30" i="16"/>
  <c r="U30" i="16"/>
  <c r="U108" i="16" s="1"/>
  <c r="T30" i="16"/>
  <c r="T263" i="16" s="1"/>
  <c r="S30" i="16"/>
  <c r="R30" i="16"/>
  <c r="R186" i="16" s="1"/>
  <c r="Q30" i="16"/>
  <c r="Q263" i="16" s="1"/>
  <c r="P30" i="16"/>
  <c r="P186" i="16" s="1"/>
  <c r="O30" i="16"/>
  <c r="N30" i="16"/>
  <c r="M30" i="16"/>
  <c r="M186" i="16" s="1"/>
  <c r="L30" i="16"/>
  <c r="L263" i="16" s="1"/>
  <c r="K30" i="16"/>
  <c r="J30" i="16"/>
  <c r="J186" i="16" s="1"/>
  <c r="I30" i="16"/>
  <c r="H30" i="16"/>
  <c r="G30" i="16"/>
  <c r="G108" i="16" s="1"/>
  <c r="F30" i="16"/>
  <c r="E30" i="16"/>
  <c r="E108" i="16" s="1"/>
  <c r="D30" i="16"/>
  <c r="D263" i="16" s="1"/>
  <c r="V29" i="16"/>
  <c r="U29" i="16"/>
  <c r="T29" i="16"/>
  <c r="T262" i="16" s="1"/>
  <c r="S29" i="16"/>
  <c r="R29" i="16"/>
  <c r="R262" i="16" s="1"/>
  <c r="Q29" i="16"/>
  <c r="P29" i="16"/>
  <c r="P185" i="16" s="1"/>
  <c r="O29" i="16"/>
  <c r="O262" i="16" s="1"/>
  <c r="N29" i="16"/>
  <c r="M29" i="16"/>
  <c r="M185" i="16" s="1"/>
  <c r="L29" i="16"/>
  <c r="L107" i="16" s="1"/>
  <c r="K29" i="16"/>
  <c r="J29" i="16"/>
  <c r="J107" i="16" s="1"/>
  <c r="I29" i="16"/>
  <c r="H29" i="16"/>
  <c r="H107" i="16" s="1"/>
  <c r="G29" i="16"/>
  <c r="G262" i="16" s="1"/>
  <c r="F29" i="16"/>
  <c r="F262" i="16" s="1"/>
  <c r="E29" i="16"/>
  <c r="E185" i="16" s="1"/>
  <c r="D29" i="16"/>
  <c r="D262" i="16" s="1"/>
  <c r="V28" i="16"/>
  <c r="U28" i="16"/>
  <c r="U184" i="16" s="1"/>
  <c r="T28" i="16"/>
  <c r="S28" i="16"/>
  <c r="S184" i="16" s="1"/>
  <c r="R28" i="16"/>
  <c r="R261" i="16" s="1"/>
  <c r="Q28" i="16"/>
  <c r="P28" i="16"/>
  <c r="P184" i="16" s="1"/>
  <c r="O28" i="16"/>
  <c r="N28" i="16"/>
  <c r="N184" i="16" s="1"/>
  <c r="M28" i="16"/>
  <c r="M106" i="16" s="1"/>
  <c r="L28" i="16"/>
  <c r="K28" i="16"/>
  <c r="K106" i="16" s="1"/>
  <c r="J28" i="16"/>
  <c r="J261" i="16" s="1"/>
  <c r="I28" i="16"/>
  <c r="H28" i="16"/>
  <c r="H184" i="16" s="1"/>
  <c r="G28" i="16"/>
  <c r="F28" i="16"/>
  <c r="E28" i="16"/>
  <c r="D28" i="16"/>
  <c r="V27" i="16"/>
  <c r="V183" i="16" s="1"/>
  <c r="U27" i="16"/>
  <c r="U260" i="16" s="1"/>
  <c r="T27" i="16"/>
  <c r="S27" i="16"/>
  <c r="S183" i="16" s="1"/>
  <c r="R27" i="16"/>
  <c r="R105" i="16" s="1"/>
  <c r="Q27" i="16"/>
  <c r="P27" i="16"/>
  <c r="P105" i="16" s="1"/>
  <c r="O27" i="16"/>
  <c r="O183" i="16" s="1"/>
  <c r="N27" i="16"/>
  <c r="N105" i="16" s="1"/>
  <c r="M27" i="16"/>
  <c r="M260" i="16" s="1"/>
  <c r="L27" i="16"/>
  <c r="K27" i="16"/>
  <c r="K183" i="16" s="1"/>
  <c r="J27" i="16"/>
  <c r="J260" i="16" s="1"/>
  <c r="I27" i="16"/>
  <c r="H27" i="16"/>
  <c r="G27" i="16"/>
  <c r="F27" i="16"/>
  <c r="F183" i="16" s="1"/>
  <c r="E27" i="16"/>
  <c r="E260" i="16" s="1"/>
  <c r="D27" i="16"/>
  <c r="V26" i="16"/>
  <c r="U26" i="16"/>
  <c r="U104" i="16" s="1"/>
  <c r="T26" i="16"/>
  <c r="T182" i="16" s="1"/>
  <c r="S26" i="16"/>
  <c r="S104" i="16" s="1"/>
  <c r="R26" i="16"/>
  <c r="Q26" i="16"/>
  <c r="Q104" i="16" s="1"/>
  <c r="P26" i="16"/>
  <c r="P259" i="16" s="1"/>
  <c r="O26" i="16"/>
  <c r="O259" i="16" s="1"/>
  <c r="N26" i="16"/>
  <c r="N182" i="16" s="1"/>
  <c r="M26" i="16"/>
  <c r="L26" i="16"/>
  <c r="K26" i="16"/>
  <c r="J26" i="16"/>
  <c r="I26" i="16"/>
  <c r="I182" i="16" s="1"/>
  <c r="H26" i="16"/>
  <c r="H259" i="16" s="1"/>
  <c r="G26" i="16"/>
  <c r="F26" i="16"/>
  <c r="F182" i="16" s="1"/>
  <c r="E26" i="16"/>
  <c r="E104" i="16" s="1"/>
  <c r="D26" i="16"/>
  <c r="V24" i="16"/>
  <c r="U24" i="16"/>
  <c r="T24" i="16"/>
  <c r="T102" i="16" s="1"/>
  <c r="S24" i="16"/>
  <c r="S257" i="16" s="1"/>
  <c r="R24" i="16"/>
  <c r="R180" i="16" s="1"/>
  <c r="Q24" i="16"/>
  <c r="P24" i="16"/>
  <c r="P180" i="16" s="1"/>
  <c r="O24" i="16"/>
  <c r="N24" i="16"/>
  <c r="N257" i="16" s="1"/>
  <c r="M24" i="16"/>
  <c r="L24" i="16"/>
  <c r="L180" i="16" s="1"/>
  <c r="K24" i="16"/>
  <c r="K257" i="16" s="1"/>
  <c r="J24" i="16"/>
  <c r="I24" i="16"/>
  <c r="H24" i="16"/>
  <c r="G24" i="16"/>
  <c r="G257" i="16" s="1"/>
  <c r="F24" i="16"/>
  <c r="E24" i="16"/>
  <c r="D24" i="16"/>
  <c r="D102" i="16" s="1"/>
  <c r="V23" i="16"/>
  <c r="V256" i="16" s="1"/>
  <c r="U23" i="16"/>
  <c r="T23" i="16"/>
  <c r="T256" i="16" s="1"/>
  <c r="S23" i="16"/>
  <c r="S179" i="16" s="1"/>
  <c r="R23" i="16"/>
  <c r="Q23" i="16"/>
  <c r="P23" i="16"/>
  <c r="O23" i="16"/>
  <c r="O179" i="16" s="1"/>
  <c r="N23" i="16"/>
  <c r="N256" i="16" s="1"/>
  <c r="M23" i="16"/>
  <c r="L23" i="16"/>
  <c r="K23" i="16"/>
  <c r="J23" i="16"/>
  <c r="J256" i="16" s="1"/>
  <c r="I23" i="16"/>
  <c r="H23" i="16"/>
  <c r="G23" i="16"/>
  <c r="G101" i="16" s="1"/>
  <c r="F23" i="16"/>
  <c r="E23" i="16"/>
  <c r="D23" i="16"/>
  <c r="D256" i="16" s="1"/>
  <c r="V22" i="16"/>
  <c r="U22" i="16"/>
  <c r="T22" i="16"/>
  <c r="S22" i="16"/>
  <c r="R22" i="16"/>
  <c r="R178" i="16" s="1"/>
  <c r="Q22" i="16"/>
  <c r="Q255" i="16" s="1"/>
  <c r="P22" i="16"/>
  <c r="O22" i="16"/>
  <c r="O255" i="16" s="1"/>
  <c r="N22" i="16"/>
  <c r="M22" i="16"/>
  <c r="L22" i="16"/>
  <c r="K22" i="16"/>
  <c r="J22" i="16"/>
  <c r="J100" i="16" s="1"/>
  <c r="I22" i="16"/>
  <c r="H22" i="16"/>
  <c r="H178" i="16" s="1"/>
  <c r="G22" i="16"/>
  <c r="F22" i="16"/>
  <c r="F178" i="16" s="1"/>
  <c r="E22" i="16"/>
  <c r="D22" i="16"/>
  <c r="V21" i="16"/>
  <c r="U21" i="16"/>
  <c r="U177" i="16" s="1"/>
  <c r="T21" i="16"/>
  <c r="T254" i="16" s="1"/>
  <c r="S21" i="16"/>
  <c r="R21" i="16"/>
  <c r="Q21" i="16"/>
  <c r="Q99" i="16" s="1"/>
  <c r="P21" i="16"/>
  <c r="O21" i="16"/>
  <c r="O177" i="16" s="1"/>
  <c r="N21" i="16"/>
  <c r="N254" i="16" s="1"/>
  <c r="M21" i="16"/>
  <c r="M99" i="16" s="1"/>
  <c r="L21" i="16"/>
  <c r="K21" i="16"/>
  <c r="K177" i="16" s="1"/>
  <c r="J21" i="16"/>
  <c r="I21" i="16"/>
  <c r="H21" i="16"/>
  <c r="G21" i="16"/>
  <c r="F21" i="16"/>
  <c r="E21" i="16"/>
  <c r="E177" i="16" s="1"/>
  <c r="D21" i="16"/>
  <c r="D254" i="16" s="1"/>
  <c r="V20" i="16"/>
  <c r="U20" i="16"/>
  <c r="U253" i="16" s="1"/>
  <c r="T20" i="16"/>
  <c r="S20" i="16"/>
  <c r="R20" i="16"/>
  <c r="Q20" i="16"/>
  <c r="P20" i="16"/>
  <c r="P98" i="16" s="1"/>
  <c r="O20" i="16"/>
  <c r="N20" i="16"/>
  <c r="M20" i="16"/>
  <c r="L20" i="16"/>
  <c r="L176" i="16" s="1"/>
  <c r="K20" i="16"/>
  <c r="J20" i="16"/>
  <c r="I20" i="16"/>
  <c r="H20" i="16"/>
  <c r="H176" i="16" s="1"/>
  <c r="G20" i="16"/>
  <c r="G253" i="16" s="1"/>
  <c r="F20" i="16"/>
  <c r="E20" i="16"/>
  <c r="D20" i="16"/>
  <c r="D98" i="16" s="1"/>
  <c r="V19" i="16"/>
  <c r="V252" i="16" s="1"/>
  <c r="U19" i="16"/>
  <c r="U175" i="16" s="1"/>
  <c r="T19" i="16"/>
  <c r="S19" i="16"/>
  <c r="S97" i="16" s="1"/>
  <c r="R19" i="16"/>
  <c r="Q19" i="16"/>
  <c r="Q175" i="16" s="1"/>
  <c r="P19" i="16"/>
  <c r="O19" i="16"/>
  <c r="O175" i="16" s="1"/>
  <c r="N19" i="16"/>
  <c r="M19" i="16"/>
  <c r="L19" i="16"/>
  <c r="K19" i="16"/>
  <c r="K175" i="16" s="1"/>
  <c r="J19" i="16"/>
  <c r="J252" i="16" s="1"/>
  <c r="I19" i="16"/>
  <c r="H19" i="16"/>
  <c r="G19" i="16"/>
  <c r="G97" i="16" s="1"/>
  <c r="F19" i="16"/>
  <c r="E19" i="16"/>
  <c r="D19" i="16"/>
  <c r="D42" i="16" s="1"/>
  <c r="V18" i="16"/>
  <c r="V96" i="16" s="1"/>
  <c r="U18" i="16"/>
  <c r="T18" i="16"/>
  <c r="T174" i="16" s="1"/>
  <c r="S18" i="16"/>
  <c r="R18" i="16"/>
  <c r="R174" i="16" s="1"/>
  <c r="Q18" i="16"/>
  <c r="P18" i="16"/>
  <c r="O18" i="16"/>
  <c r="N18" i="16"/>
  <c r="N174" i="16" s="1"/>
  <c r="M18" i="16"/>
  <c r="M251" i="16" s="1"/>
  <c r="L18" i="16"/>
  <c r="K18" i="16"/>
  <c r="K251" i="16" s="1"/>
  <c r="J18" i="16"/>
  <c r="J96" i="16" s="1"/>
  <c r="I18" i="16"/>
  <c r="I251" i="16" s="1"/>
  <c r="H18" i="16"/>
  <c r="H96" i="16" s="1"/>
  <c r="G18" i="16"/>
  <c r="F18" i="16"/>
  <c r="F96" i="16" s="1"/>
  <c r="E18" i="16"/>
  <c r="D18" i="16"/>
  <c r="D174" i="16" s="1"/>
  <c r="V17" i="16"/>
  <c r="V250" i="16" s="1"/>
  <c r="U17" i="16"/>
  <c r="T17" i="16"/>
  <c r="S17" i="16"/>
  <c r="R17" i="16"/>
  <c r="Q17" i="16"/>
  <c r="Q95" i="16" s="1"/>
  <c r="P17" i="16"/>
  <c r="P250" i="16" s="1"/>
  <c r="O17" i="16"/>
  <c r="O95" i="16" s="1"/>
  <c r="N17" i="16"/>
  <c r="M17" i="16"/>
  <c r="M95" i="16" s="1"/>
  <c r="L17" i="16"/>
  <c r="L95" i="16" s="1"/>
  <c r="K17" i="16"/>
  <c r="K95" i="16" s="1"/>
  <c r="J17" i="16"/>
  <c r="I17" i="16"/>
  <c r="I95" i="16" s="1"/>
  <c r="H17" i="16"/>
  <c r="G17" i="16"/>
  <c r="F17" i="16"/>
  <c r="F250" i="16" s="1"/>
  <c r="E17" i="16"/>
  <c r="D17" i="16"/>
  <c r="D250" i="16" s="1"/>
  <c r="V16" i="16"/>
  <c r="U16" i="16"/>
  <c r="T16" i="16"/>
  <c r="T172" i="16" s="1"/>
  <c r="S16" i="16"/>
  <c r="S249" i="16" s="1"/>
  <c r="R16" i="16"/>
  <c r="Q16" i="16"/>
  <c r="Q249" i="16" s="1"/>
  <c r="P16" i="16"/>
  <c r="O16" i="16"/>
  <c r="N16" i="16"/>
  <c r="N94" i="16" s="1"/>
  <c r="M16" i="16"/>
  <c r="L16" i="16"/>
  <c r="L94" i="16" s="1"/>
  <c r="K16" i="16"/>
  <c r="K249" i="16" s="1"/>
  <c r="J16" i="16"/>
  <c r="J172" i="16" s="1"/>
  <c r="I16" i="16"/>
  <c r="H16" i="16"/>
  <c r="H172" i="16" s="1"/>
  <c r="G16" i="16"/>
  <c r="F16" i="16"/>
  <c r="E16" i="16"/>
  <c r="D16" i="16"/>
  <c r="D172" i="16" s="1"/>
  <c r="V15" i="16"/>
  <c r="V248" i="16" s="1"/>
  <c r="U15" i="16"/>
  <c r="T15" i="16"/>
  <c r="S15" i="16"/>
  <c r="S93" i="16" s="1"/>
  <c r="R15" i="16"/>
  <c r="R171" i="16" s="1"/>
  <c r="Q15" i="16"/>
  <c r="Q93" i="16" s="1"/>
  <c r="P15" i="16"/>
  <c r="O15" i="16"/>
  <c r="O93" i="16" s="1"/>
  <c r="N15" i="16"/>
  <c r="M15" i="16"/>
  <c r="M171" i="16" s="1"/>
  <c r="L15" i="16"/>
  <c r="L248" i="16" s="1"/>
  <c r="K15" i="16"/>
  <c r="K171" i="16" s="1"/>
  <c r="J15" i="16"/>
  <c r="I15" i="16"/>
  <c r="H15" i="16"/>
  <c r="G15" i="16"/>
  <c r="G171" i="16" s="1"/>
  <c r="F15" i="16"/>
  <c r="F248" i="16" s="1"/>
  <c r="E15" i="16"/>
  <c r="D15" i="16"/>
  <c r="D248" i="16" s="1"/>
  <c r="V14" i="16"/>
  <c r="V92" i="16" s="1"/>
  <c r="U14" i="16"/>
  <c r="T14" i="16"/>
  <c r="S14" i="16"/>
  <c r="R14" i="16"/>
  <c r="R92" i="16" s="1"/>
  <c r="Q14" i="16"/>
  <c r="P14" i="16"/>
  <c r="P170" i="16" s="1"/>
  <c r="O14" i="16"/>
  <c r="N14" i="16"/>
  <c r="M14" i="16"/>
  <c r="L14" i="16"/>
  <c r="K14" i="16"/>
  <c r="J14" i="16"/>
  <c r="J170" i="16" s="1"/>
  <c r="I14" i="16"/>
  <c r="I247" i="16" s="1"/>
  <c r="H14" i="16"/>
  <c r="H92" i="16" s="1"/>
  <c r="G14" i="16"/>
  <c r="G247" i="16" s="1"/>
  <c r="F14" i="16"/>
  <c r="F92" i="16" s="1"/>
  <c r="E14" i="16"/>
  <c r="E42" i="16" s="1"/>
  <c r="D14" i="16"/>
  <c r="D247" i="16" s="1"/>
  <c r="V13" i="16"/>
  <c r="U13" i="16"/>
  <c r="U91" i="16" s="1"/>
  <c r="T13" i="16"/>
  <c r="T246" i="16" s="1"/>
  <c r="S13" i="16"/>
  <c r="R13" i="16"/>
  <c r="Q13" i="16"/>
  <c r="Q169" i="16" s="1"/>
  <c r="P13" i="16"/>
  <c r="O13" i="16"/>
  <c r="N13" i="16"/>
  <c r="M13" i="16"/>
  <c r="M169" i="16" s="1"/>
  <c r="L13" i="16"/>
  <c r="L246" i="16" s="1"/>
  <c r="K13" i="16"/>
  <c r="J13" i="16"/>
  <c r="I13" i="16"/>
  <c r="H13" i="16"/>
  <c r="H42" i="16" s="1"/>
  <c r="G13" i="16"/>
  <c r="G169" i="16" s="1"/>
  <c r="F13" i="16"/>
  <c r="E13" i="16"/>
  <c r="E91" i="16" s="1"/>
  <c r="D13" i="16"/>
  <c r="C296" i="15"/>
  <c r="J294" i="15"/>
  <c r="H294" i="15"/>
  <c r="G294" i="15"/>
  <c r="F294" i="15"/>
  <c r="K293" i="15"/>
  <c r="F291" i="15"/>
  <c r="J290" i="15"/>
  <c r="I290" i="15"/>
  <c r="H290" i="15"/>
  <c r="F290" i="15"/>
  <c r="H289" i="15"/>
  <c r="J286" i="15"/>
  <c r="H286" i="15"/>
  <c r="G286" i="15"/>
  <c r="F286" i="15"/>
  <c r="F283" i="15"/>
  <c r="H281" i="15"/>
  <c r="K280" i="15"/>
  <c r="K279" i="15"/>
  <c r="J279" i="15"/>
  <c r="F279" i="15"/>
  <c r="G278" i="15"/>
  <c r="K277" i="15"/>
  <c r="H276" i="15"/>
  <c r="F276" i="15"/>
  <c r="H273" i="15"/>
  <c r="I272" i="15"/>
  <c r="K271" i="15"/>
  <c r="J271" i="15"/>
  <c r="F271" i="15"/>
  <c r="G270" i="15"/>
  <c r="H268" i="15"/>
  <c r="F268" i="15"/>
  <c r="J266" i="15"/>
  <c r="I266" i="15"/>
  <c r="H266" i="15"/>
  <c r="F266" i="15"/>
  <c r="H265" i="15"/>
  <c r="D265" i="15"/>
  <c r="C254" i="15"/>
  <c r="K253" i="15"/>
  <c r="J253" i="15"/>
  <c r="H253" i="15"/>
  <c r="K252" i="15"/>
  <c r="K294" i="15" s="1"/>
  <c r="J252" i="15"/>
  <c r="I252" i="15"/>
  <c r="I294" i="15" s="1"/>
  <c r="H252" i="15"/>
  <c r="G252" i="15"/>
  <c r="F252" i="15"/>
  <c r="E252" i="15"/>
  <c r="E294" i="15" s="1"/>
  <c r="D252" i="15"/>
  <c r="D294" i="15" s="1"/>
  <c r="K251" i="15"/>
  <c r="J251" i="15"/>
  <c r="I251" i="15"/>
  <c r="I293" i="15" s="1"/>
  <c r="H251" i="15"/>
  <c r="H293" i="15" s="1"/>
  <c r="G251" i="15"/>
  <c r="G293" i="15" s="1"/>
  <c r="F251" i="15"/>
  <c r="E251" i="15"/>
  <c r="E293" i="15" s="1"/>
  <c r="D251" i="15"/>
  <c r="K250" i="15"/>
  <c r="J250" i="15"/>
  <c r="I250" i="15"/>
  <c r="H250" i="15"/>
  <c r="G250" i="15"/>
  <c r="F250" i="15"/>
  <c r="E250" i="15"/>
  <c r="D250" i="15"/>
  <c r="K249" i="15"/>
  <c r="J249" i="15"/>
  <c r="I249" i="15"/>
  <c r="I291" i="15" s="1"/>
  <c r="H249" i="15"/>
  <c r="G249" i="15"/>
  <c r="G291" i="15" s="1"/>
  <c r="F249" i="15"/>
  <c r="E249" i="15"/>
  <c r="E291" i="15" s="1"/>
  <c r="D249" i="15"/>
  <c r="K248" i="15"/>
  <c r="K290" i="15" s="1"/>
  <c r="J248" i="15"/>
  <c r="I248" i="15"/>
  <c r="H248" i="15"/>
  <c r="G248" i="15"/>
  <c r="G290" i="15" s="1"/>
  <c r="F248" i="15"/>
  <c r="E248" i="15"/>
  <c r="E290" i="15" s="1"/>
  <c r="D248" i="15"/>
  <c r="D290" i="15" s="1"/>
  <c r="K247" i="15"/>
  <c r="J247" i="15"/>
  <c r="I247" i="15"/>
  <c r="I289" i="15" s="1"/>
  <c r="H247" i="15"/>
  <c r="G247" i="15"/>
  <c r="G289" i="15" s="1"/>
  <c r="F247" i="15"/>
  <c r="E247" i="15"/>
  <c r="E289" i="15" s="1"/>
  <c r="D247" i="15"/>
  <c r="K246" i="15"/>
  <c r="J246" i="15"/>
  <c r="I246" i="15"/>
  <c r="H246" i="15"/>
  <c r="G246" i="15"/>
  <c r="F246" i="15"/>
  <c r="E246" i="15"/>
  <c r="D246" i="15"/>
  <c r="K245" i="15"/>
  <c r="J245" i="15"/>
  <c r="I245" i="15"/>
  <c r="I287" i="15" s="1"/>
  <c r="H245" i="15"/>
  <c r="H287" i="15" s="1"/>
  <c r="G245" i="15"/>
  <c r="G287" i="15" s="1"/>
  <c r="F245" i="15"/>
  <c r="E245" i="15"/>
  <c r="E287" i="15" s="1"/>
  <c r="D245" i="15"/>
  <c r="K244" i="15"/>
  <c r="K286" i="15" s="1"/>
  <c r="J244" i="15"/>
  <c r="I244" i="15"/>
  <c r="I286" i="15" s="1"/>
  <c r="H244" i="15"/>
  <c r="G244" i="15"/>
  <c r="F244" i="15"/>
  <c r="E244" i="15"/>
  <c r="E286" i="15" s="1"/>
  <c r="D244" i="15"/>
  <c r="D286" i="15" s="1"/>
  <c r="K243" i="15"/>
  <c r="J243" i="15"/>
  <c r="I243" i="15"/>
  <c r="I285" i="15" s="1"/>
  <c r="H243" i="15"/>
  <c r="H285" i="15" s="1"/>
  <c r="G243" i="15"/>
  <c r="G285" i="15" s="1"/>
  <c r="F243" i="15"/>
  <c r="E243" i="15"/>
  <c r="E285" i="15" s="1"/>
  <c r="D243" i="15"/>
  <c r="K242" i="15"/>
  <c r="J242" i="15"/>
  <c r="I242" i="15"/>
  <c r="H242" i="15"/>
  <c r="G242" i="15"/>
  <c r="F242" i="15"/>
  <c r="E242" i="15"/>
  <c r="D242" i="15"/>
  <c r="K241" i="15"/>
  <c r="J241" i="15"/>
  <c r="I241" i="15"/>
  <c r="I283" i="15" s="1"/>
  <c r="H241" i="15"/>
  <c r="G241" i="15"/>
  <c r="G283" i="15" s="1"/>
  <c r="F241" i="15"/>
  <c r="E241" i="15"/>
  <c r="E283" i="15" s="1"/>
  <c r="D241" i="15"/>
  <c r="K240" i="15"/>
  <c r="J240" i="15"/>
  <c r="I240" i="15"/>
  <c r="H240" i="15"/>
  <c r="G240" i="15"/>
  <c r="F240" i="15"/>
  <c r="E240" i="15"/>
  <c r="D240" i="15"/>
  <c r="K239" i="15"/>
  <c r="J239" i="15"/>
  <c r="I239" i="15"/>
  <c r="H239" i="15"/>
  <c r="G239" i="15"/>
  <c r="G281" i="15" s="1"/>
  <c r="F239" i="15"/>
  <c r="E239" i="15"/>
  <c r="E281" i="15" s="1"/>
  <c r="D239" i="15"/>
  <c r="K238" i="15"/>
  <c r="J238" i="15"/>
  <c r="I238" i="15"/>
  <c r="H238" i="15"/>
  <c r="G238" i="15"/>
  <c r="F238" i="15"/>
  <c r="E238" i="15"/>
  <c r="D238" i="15"/>
  <c r="K237" i="15"/>
  <c r="J237" i="15"/>
  <c r="I237" i="15"/>
  <c r="I279" i="15" s="1"/>
  <c r="H237" i="15"/>
  <c r="H279" i="15" s="1"/>
  <c r="G237" i="15"/>
  <c r="G279" i="15" s="1"/>
  <c r="F237" i="15"/>
  <c r="E237" i="15"/>
  <c r="E279" i="15" s="1"/>
  <c r="D237" i="15"/>
  <c r="D279" i="15" s="1"/>
  <c r="K236" i="15"/>
  <c r="J236" i="15"/>
  <c r="I236" i="15"/>
  <c r="H236" i="15"/>
  <c r="G236" i="15"/>
  <c r="F236" i="15"/>
  <c r="E236" i="15"/>
  <c r="D236" i="15"/>
  <c r="K235" i="15"/>
  <c r="J235" i="15"/>
  <c r="I235" i="15"/>
  <c r="H235" i="15"/>
  <c r="H277" i="15" s="1"/>
  <c r="G235" i="15"/>
  <c r="G277" i="15" s="1"/>
  <c r="F235" i="15"/>
  <c r="E235" i="15"/>
  <c r="E277" i="15" s="1"/>
  <c r="D235" i="15"/>
  <c r="K234" i="15"/>
  <c r="J234" i="15"/>
  <c r="I234" i="15"/>
  <c r="H234" i="15"/>
  <c r="G234" i="15"/>
  <c r="G276" i="15" s="1"/>
  <c r="F234" i="15"/>
  <c r="E234" i="15"/>
  <c r="E276" i="15" s="1"/>
  <c r="D234" i="15"/>
  <c r="D276" i="15" s="1"/>
  <c r="K233" i="15"/>
  <c r="J233" i="15"/>
  <c r="I233" i="15"/>
  <c r="I275" i="15" s="1"/>
  <c r="H233" i="15"/>
  <c r="G233" i="15"/>
  <c r="G275" i="15" s="1"/>
  <c r="F233" i="15"/>
  <c r="E233" i="15"/>
  <c r="E275" i="15" s="1"/>
  <c r="D233" i="15"/>
  <c r="K232" i="15"/>
  <c r="J232" i="15"/>
  <c r="I232" i="15"/>
  <c r="H232" i="15"/>
  <c r="G232" i="15"/>
  <c r="F232" i="15"/>
  <c r="E232" i="15"/>
  <c r="D232" i="15"/>
  <c r="K231" i="15"/>
  <c r="J231" i="15"/>
  <c r="I231" i="15"/>
  <c r="H231" i="15"/>
  <c r="G231" i="15"/>
  <c r="G273" i="15" s="1"/>
  <c r="F231" i="15"/>
  <c r="E231" i="15"/>
  <c r="E273" i="15" s="1"/>
  <c r="D231" i="15"/>
  <c r="K230" i="15"/>
  <c r="J230" i="15"/>
  <c r="I230" i="15"/>
  <c r="H230" i="15"/>
  <c r="G230" i="15"/>
  <c r="F230" i="15"/>
  <c r="E230" i="15"/>
  <c r="D230" i="15"/>
  <c r="K229" i="15"/>
  <c r="J229" i="15"/>
  <c r="I229" i="15"/>
  <c r="I271" i="15" s="1"/>
  <c r="H229" i="15"/>
  <c r="H271" i="15" s="1"/>
  <c r="G229" i="15"/>
  <c r="G271" i="15" s="1"/>
  <c r="F229" i="15"/>
  <c r="E229" i="15"/>
  <c r="E271" i="15" s="1"/>
  <c r="D229" i="15"/>
  <c r="D271" i="15" s="1"/>
  <c r="K228" i="15"/>
  <c r="J228" i="15"/>
  <c r="I228" i="15"/>
  <c r="H228" i="15"/>
  <c r="G228" i="15"/>
  <c r="F228" i="15"/>
  <c r="E228" i="15"/>
  <c r="D228" i="15"/>
  <c r="K227" i="15"/>
  <c r="J227" i="15"/>
  <c r="I227" i="15"/>
  <c r="H227" i="15"/>
  <c r="H269" i="15" s="1"/>
  <c r="G227" i="15"/>
  <c r="G269" i="15" s="1"/>
  <c r="F227" i="15"/>
  <c r="E227" i="15"/>
  <c r="E269" i="15" s="1"/>
  <c r="D227" i="15"/>
  <c r="K226" i="15"/>
  <c r="K268" i="15" s="1"/>
  <c r="J226" i="15"/>
  <c r="J268" i="15" s="1"/>
  <c r="I226" i="15"/>
  <c r="I268" i="15" s="1"/>
  <c r="H226" i="15"/>
  <c r="G226" i="15"/>
  <c r="G268" i="15" s="1"/>
  <c r="F226" i="15"/>
  <c r="E226" i="15"/>
  <c r="E268" i="15" s="1"/>
  <c r="D226" i="15"/>
  <c r="D268" i="15" s="1"/>
  <c r="K225" i="15"/>
  <c r="J225" i="15"/>
  <c r="I225" i="15"/>
  <c r="I267" i="15" s="1"/>
  <c r="H225" i="15"/>
  <c r="G225" i="15"/>
  <c r="G267" i="15" s="1"/>
  <c r="F225" i="15"/>
  <c r="E225" i="15"/>
  <c r="E267" i="15" s="1"/>
  <c r="D225" i="15"/>
  <c r="K224" i="15"/>
  <c r="K266" i="15" s="1"/>
  <c r="J224" i="15"/>
  <c r="I224" i="15"/>
  <c r="H224" i="15"/>
  <c r="G224" i="15"/>
  <c r="G266" i="15" s="1"/>
  <c r="F224" i="15"/>
  <c r="E224" i="15"/>
  <c r="E266" i="15" s="1"/>
  <c r="D224" i="15"/>
  <c r="D266" i="15" s="1"/>
  <c r="K223" i="15"/>
  <c r="J223" i="15"/>
  <c r="I223" i="15"/>
  <c r="I253" i="15" s="1"/>
  <c r="H223" i="15"/>
  <c r="G223" i="15"/>
  <c r="G265" i="15" s="1"/>
  <c r="F223" i="15"/>
  <c r="E223" i="15"/>
  <c r="E265" i="15" s="1"/>
  <c r="D223" i="15"/>
  <c r="D253" i="15" s="1"/>
  <c r="K222" i="15"/>
  <c r="J222" i="15"/>
  <c r="I222" i="15"/>
  <c r="H222" i="15"/>
  <c r="G222" i="15"/>
  <c r="F222" i="15"/>
  <c r="F253" i="15" s="1"/>
  <c r="E222" i="15"/>
  <c r="D222" i="15"/>
  <c r="C213" i="15"/>
  <c r="K211" i="15"/>
  <c r="H211" i="15"/>
  <c r="D211" i="15"/>
  <c r="H208" i="15"/>
  <c r="H207" i="15"/>
  <c r="F207" i="15"/>
  <c r="D207" i="15"/>
  <c r="K206" i="15"/>
  <c r="I206" i="15"/>
  <c r="H206" i="15"/>
  <c r="H204" i="15"/>
  <c r="E204" i="15"/>
  <c r="K203" i="15"/>
  <c r="H203" i="15"/>
  <c r="D203" i="15"/>
  <c r="H200" i="15"/>
  <c r="F199" i="15"/>
  <c r="K198" i="15"/>
  <c r="H198" i="15"/>
  <c r="J196" i="15"/>
  <c r="H196" i="15"/>
  <c r="H193" i="15"/>
  <c r="F193" i="15"/>
  <c r="I192" i="15"/>
  <c r="E190" i="15"/>
  <c r="K188" i="15"/>
  <c r="J188" i="15"/>
  <c r="I188" i="15"/>
  <c r="H188" i="15"/>
  <c r="F188" i="15"/>
  <c r="H186" i="15"/>
  <c r="H185" i="15"/>
  <c r="E185" i="15"/>
  <c r="K183" i="15"/>
  <c r="H183" i="15"/>
  <c r="C171" i="15"/>
  <c r="K169" i="15"/>
  <c r="J169" i="15"/>
  <c r="J211" i="15" s="1"/>
  <c r="I169" i="15"/>
  <c r="I211" i="15" s="1"/>
  <c r="H169" i="15"/>
  <c r="G169" i="15"/>
  <c r="G211" i="15" s="1"/>
  <c r="F169" i="15"/>
  <c r="F211" i="15" s="1"/>
  <c r="E169" i="15"/>
  <c r="E211" i="15" s="1"/>
  <c r="D169" i="15"/>
  <c r="K168" i="15"/>
  <c r="J168" i="15"/>
  <c r="I168" i="15"/>
  <c r="H168" i="15"/>
  <c r="G168" i="15"/>
  <c r="G210" i="15" s="1"/>
  <c r="F168" i="15"/>
  <c r="E168" i="15"/>
  <c r="E210" i="15" s="1"/>
  <c r="D168" i="15"/>
  <c r="D210" i="15" s="1"/>
  <c r="K167" i="15"/>
  <c r="J167" i="15"/>
  <c r="J209" i="15" s="1"/>
  <c r="I167" i="15"/>
  <c r="H167" i="15"/>
  <c r="G167" i="15"/>
  <c r="F167" i="15"/>
  <c r="E167" i="15"/>
  <c r="E209" i="15" s="1"/>
  <c r="D167" i="15"/>
  <c r="K166" i="15"/>
  <c r="J166" i="15"/>
  <c r="I166" i="15"/>
  <c r="H166" i="15"/>
  <c r="G166" i="15"/>
  <c r="G208" i="15" s="1"/>
  <c r="F166" i="15"/>
  <c r="E166" i="15"/>
  <c r="E208" i="15" s="1"/>
  <c r="D166" i="15"/>
  <c r="D208" i="15" s="1"/>
  <c r="K165" i="15"/>
  <c r="K207" i="15" s="1"/>
  <c r="J165" i="15"/>
  <c r="J207" i="15" s="1"/>
  <c r="I165" i="15"/>
  <c r="I207" i="15" s="1"/>
  <c r="H165" i="15"/>
  <c r="G165" i="15"/>
  <c r="G207" i="15" s="1"/>
  <c r="F165" i="15"/>
  <c r="E165" i="15"/>
  <c r="E207" i="15" s="1"/>
  <c r="D165" i="15"/>
  <c r="K164" i="15"/>
  <c r="J164" i="15"/>
  <c r="I164" i="15"/>
  <c r="H164" i="15"/>
  <c r="G164" i="15"/>
  <c r="G206" i="15" s="1"/>
  <c r="F164" i="15"/>
  <c r="E164" i="15"/>
  <c r="E206" i="15" s="1"/>
  <c r="D164" i="15"/>
  <c r="D206" i="15" s="1"/>
  <c r="K163" i="15"/>
  <c r="J163" i="15"/>
  <c r="J205" i="15" s="1"/>
  <c r="I163" i="15"/>
  <c r="H163" i="15"/>
  <c r="G163" i="15"/>
  <c r="F163" i="15"/>
  <c r="E163" i="15"/>
  <c r="E205" i="15" s="1"/>
  <c r="D163" i="15"/>
  <c r="D205" i="15" s="1"/>
  <c r="K162" i="15"/>
  <c r="J162" i="15"/>
  <c r="I162" i="15"/>
  <c r="I204" i="15" s="1"/>
  <c r="H162" i="15"/>
  <c r="G162" i="15"/>
  <c r="G204" i="15" s="1"/>
  <c r="F162" i="15"/>
  <c r="E162" i="15"/>
  <c r="D162" i="15"/>
  <c r="D204" i="15" s="1"/>
  <c r="K161" i="15"/>
  <c r="J161" i="15"/>
  <c r="J203" i="15" s="1"/>
  <c r="I161" i="15"/>
  <c r="I203" i="15" s="1"/>
  <c r="H161" i="15"/>
  <c r="G161" i="15"/>
  <c r="G203" i="15" s="1"/>
  <c r="F161" i="15"/>
  <c r="F203" i="15" s="1"/>
  <c r="E161" i="15"/>
  <c r="E203" i="15" s="1"/>
  <c r="D161" i="15"/>
  <c r="K160" i="15"/>
  <c r="J160" i="15"/>
  <c r="I160" i="15"/>
  <c r="I202" i="15" s="1"/>
  <c r="H160" i="15"/>
  <c r="G160" i="15"/>
  <c r="G202" i="15" s="1"/>
  <c r="F160" i="15"/>
  <c r="E160" i="15"/>
  <c r="E202" i="15" s="1"/>
  <c r="D160" i="15"/>
  <c r="D202" i="15" s="1"/>
  <c r="K159" i="15"/>
  <c r="J159" i="15"/>
  <c r="J201" i="15" s="1"/>
  <c r="I159" i="15"/>
  <c r="H159" i="15"/>
  <c r="G159" i="15"/>
  <c r="F159" i="15"/>
  <c r="E159" i="15"/>
  <c r="E201" i="15" s="1"/>
  <c r="D159" i="15"/>
  <c r="K158" i="15"/>
  <c r="J158" i="15"/>
  <c r="I158" i="15"/>
  <c r="H158" i="15"/>
  <c r="G158" i="15"/>
  <c r="G200" i="15" s="1"/>
  <c r="F158" i="15"/>
  <c r="E158" i="15"/>
  <c r="E200" i="15" s="1"/>
  <c r="D158" i="15"/>
  <c r="D200" i="15" s="1"/>
  <c r="K157" i="15"/>
  <c r="J157" i="15"/>
  <c r="J199" i="15" s="1"/>
  <c r="I157" i="15"/>
  <c r="H157" i="15"/>
  <c r="G157" i="15"/>
  <c r="F157" i="15"/>
  <c r="E157" i="15"/>
  <c r="E199" i="15" s="1"/>
  <c r="D157" i="15"/>
  <c r="K156" i="15"/>
  <c r="J156" i="15"/>
  <c r="I156" i="15"/>
  <c r="H156" i="15"/>
  <c r="G156" i="15"/>
  <c r="G198" i="15" s="1"/>
  <c r="F156" i="15"/>
  <c r="E156" i="15"/>
  <c r="E198" i="15" s="1"/>
  <c r="D156" i="15"/>
  <c r="D198" i="15" s="1"/>
  <c r="K155" i="15"/>
  <c r="J155" i="15"/>
  <c r="J197" i="15" s="1"/>
  <c r="I155" i="15"/>
  <c r="H155" i="15"/>
  <c r="G155" i="15"/>
  <c r="F155" i="15"/>
  <c r="E155" i="15"/>
  <c r="E197" i="15" s="1"/>
  <c r="D155" i="15"/>
  <c r="D197" i="15" s="1"/>
  <c r="K154" i="15"/>
  <c r="K196" i="15" s="1"/>
  <c r="J154" i="15"/>
  <c r="I154" i="15"/>
  <c r="I196" i="15" s="1"/>
  <c r="H154" i="15"/>
  <c r="G154" i="15"/>
  <c r="G196" i="15" s="1"/>
  <c r="F154" i="15"/>
  <c r="F196" i="15" s="1"/>
  <c r="E154" i="15"/>
  <c r="E196" i="15" s="1"/>
  <c r="D154" i="15"/>
  <c r="D196" i="15" s="1"/>
  <c r="K153" i="15"/>
  <c r="J153" i="15"/>
  <c r="J195" i="15" s="1"/>
  <c r="I153" i="15"/>
  <c r="H153" i="15"/>
  <c r="G153" i="15"/>
  <c r="F153" i="15"/>
  <c r="E153" i="15"/>
  <c r="E195" i="15" s="1"/>
  <c r="D153" i="15"/>
  <c r="K152" i="15"/>
  <c r="K194" i="15" s="1"/>
  <c r="J152" i="15"/>
  <c r="I152" i="15"/>
  <c r="H152" i="15"/>
  <c r="G152" i="15"/>
  <c r="G194" i="15" s="1"/>
  <c r="F152" i="15"/>
  <c r="E152" i="15"/>
  <c r="E194" i="15" s="1"/>
  <c r="D152" i="15"/>
  <c r="D194" i="15" s="1"/>
  <c r="K151" i="15"/>
  <c r="K193" i="15" s="1"/>
  <c r="J151" i="15"/>
  <c r="J193" i="15" s="1"/>
  <c r="I151" i="15"/>
  <c r="H151" i="15"/>
  <c r="G151" i="15"/>
  <c r="G193" i="15" s="1"/>
  <c r="F151" i="15"/>
  <c r="E151" i="15"/>
  <c r="E193" i="15" s="1"/>
  <c r="D151" i="15"/>
  <c r="D193" i="15" s="1"/>
  <c r="K150" i="15"/>
  <c r="J150" i="15"/>
  <c r="I150" i="15"/>
  <c r="H150" i="15"/>
  <c r="G150" i="15"/>
  <c r="G192" i="15" s="1"/>
  <c r="F150" i="15"/>
  <c r="E150" i="15"/>
  <c r="E192" i="15" s="1"/>
  <c r="D150" i="15"/>
  <c r="D192" i="15" s="1"/>
  <c r="K149" i="15"/>
  <c r="J149" i="15"/>
  <c r="J191" i="15" s="1"/>
  <c r="I149" i="15"/>
  <c r="H149" i="15"/>
  <c r="G149" i="15"/>
  <c r="F149" i="15"/>
  <c r="E149" i="15"/>
  <c r="E191" i="15" s="1"/>
  <c r="D149" i="15"/>
  <c r="K148" i="15"/>
  <c r="J148" i="15"/>
  <c r="I148" i="15"/>
  <c r="H148" i="15"/>
  <c r="G148" i="15"/>
  <c r="G190" i="15" s="1"/>
  <c r="F148" i="15"/>
  <c r="E148" i="15"/>
  <c r="D148" i="15"/>
  <c r="D190" i="15" s="1"/>
  <c r="K147" i="15"/>
  <c r="J147" i="15"/>
  <c r="J189" i="15" s="1"/>
  <c r="I147" i="15"/>
  <c r="H147" i="15"/>
  <c r="G147" i="15"/>
  <c r="F147" i="15"/>
  <c r="E147" i="15"/>
  <c r="E189" i="15" s="1"/>
  <c r="D147" i="15"/>
  <c r="D189" i="15" s="1"/>
  <c r="K146" i="15"/>
  <c r="J146" i="15"/>
  <c r="I146" i="15"/>
  <c r="H146" i="15"/>
  <c r="G146" i="15"/>
  <c r="G188" i="15" s="1"/>
  <c r="F146" i="15"/>
  <c r="E146" i="15"/>
  <c r="E188" i="15" s="1"/>
  <c r="D146" i="15"/>
  <c r="D188" i="15" s="1"/>
  <c r="K145" i="15"/>
  <c r="J145" i="15"/>
  <c r="J187" i="15" s="1"/>
  <c r="I145" i="15"/>
  <c r="H145" i="15"/>
  <c r="G145" i="15"/>
  <c r="F145" i="15"/>
  <c r="E145" i="15"/>
  <c r="E187" i="15" s="1"/>
  <c r="D145" i="15"/>
  <c r="D187" i="15" s="1"/>
  <c r="K144" i="15"/>
  <c r="J144" i="15"/>
  <c r="I144" i="15"/>
  <c r="H144" i="15"/>
  <c r="G144" i="15"/>
  <c r="G186" i="15" s="1"/>
  <c r="F144" i="15"/>
  <c r="E144" i="15"/>
  <c r="E186" i="15" s="1"/>
  <c r="D144" i="15"/>
  <c r="D186" i="15" s="1"/>
  <c r="K143" i="15"/>
  <c r="K185" i="15" s="1"/>
  <c r="J143" i="15"/>
  <c r="J185" i="15" s="1"/>
  <c r="I143" i="15"/>
  <c r="I185" i="15" s="1"/>
  <c r="H143" i="15"/>
  <c r="G143" i="15"/>
  <c r="G185" i="15" s="1"/>
  <c r="F143" i="15"/>
  <c r="F185" i="15" s="1"/>
  <c r="E143" i="15"/>
  <c r="D143" i="15"/>
  <c r="D185" i="15" s="1"/>
  <c r="K142" i="15"/>
  <c r="J142" i="15"/>
  <c r="I142" i="15"/>
  <c r="H142" i="15"/>
  <c r="G142" i="15"/>
  <c r="G184" i="15" s="1"/>
  <c r="F142" i="15"/>
  <c r="E142" i="15"/>
  <c r="E184" i="15" s="1"/>
  <c r="D142" i="15"/>
  <c r="D184" i="15" s="1"/>
  <c r="K141" i="15"/>
  <c r="J141" i="15"/>
  <c r="J183" i="15" s="1"/>
  <c r="I141" i="15"/>
  <c r="I183" i="15" s="1"/>
  <c r="H141" i="15"/>
  <c r="G141" i="15"/>
  <c r="G183" i="15" s="1"/>
  <c r="F141" i="15"/>
  <c r="F183" i="15" s="1"/>
  <c r="E141" i="15"/>
  <c r="E183" i="15" s="1"/>
  <c r="D141" i="15"/>
  <c r="D183" i="15" s="1"/>
  <c r="K140" i="15"/>
  <c r="J140" i="15"/>
  <c r="I140" i="15"/>
  <c r="H140" i="15"/>
  <c r="G140" i="15"/>
  <c r="G182" i="15" s="1"/>
  <c r="F140" i="15"/>
  <c r="E140" i="15"/>
  <c r="E182" i="15" s="1"/>
  <c r="D140" i="15"/>
  <c r="D182" i="15" s="1"/>
  <c r="K139" i="15"/>
  <c r="K170" i="15" s="1"/>
  <c r="J139" i="15"/>
  <c r="I139" i="15"/>
  <c r="H139" i="15"/>
  <c r="H170" i="15" s="1"/>
  <c r="G139" i="15"/>
  <c r="F139" i="15"/>
  <c r="F170" i="15" s="1"/>
  <c r="E139" i="15"/>
  <c r="E181" i="15" s="1"/>
  <c r="D139" i="15"/>
  <c r="C129" i="15"/>
  <c r="K127" i="15"/>
  <c r="J127" i="15"/>
  <c r="H127" i="15"/>
  <c r="G127" i="15"/>
  <c r="E127" i="15"/>
  <c r="D127" i="15"/>
  <c r="J126" i="15"/>
  <c r="G125" i="15"/>
  <c r="E125" i="15"/>
  <c r="D125" i="15"/>
  <c r="G123" i="15"/>
  <c r="F123" i="15"/>
  <c r="E123" i="15"/>
  <c r="D123" i="15"/>
  <c r="H122" i="15"/>
  <c r="D122" i="15"/>
  <c r="H119" i="15"/>
  <c r="G119" i="15"/>
  <c r="D119" i="15"/>
  <c r="D118" i="15"/>
  <c r="J117" i="15"/>
  <c r="E117" i="15"/>
  <c r="D116" i="15"/>
  <c r="K115" i="15"/>
  <c r="E115" i="15"/>
  <c r="J113" i="15"/>
  <c r="E113" i="15"/>
  <c r="D112" i="15"/>
  <c r="J111" i="15"/>
  <c r="G111" i="15"/>
  <c r="E111" i="15"/>
  <c r="G109" i="15"/>
  <c r="F109" i="15"/>
  <c r="E109" i="15"/>
  <c r="D109" i="15"/>
  <c r="E108" i="15"/>
  <c r="D108" i="15"/>
  <c r="E107" i="15"/>
  <c r="J105" i="15"/>
  <c r="J104" i="15"/>
  <c r="G104" i="15"/>
  <c r="D104" i="15"/>
  <c r="G103" i="15"/>
  <c r="J101" i="15"/>
  <c r="G101" i="15"/>
  <c r="F101" i="15"/>
  <c r="E101" i="15"/>
  <c r="D101" i="15"/>
  <c r="F100" i="15"/>
  <c r="J99" i="15"/>
  <c r="H99" i="15"/>
  <c r="G99" i="15"/>
  <c r="E99" i="15"/>
  <c r="D99" i="15"/>
  <c r="G97" i="15"/>
  <c r="E97" i="15"/>
  <c r="C88" i="15"/>
  <c r="I87" i="15"/>
  <c r="G87" i="15"/>
  <c r="K86" i="15"/>
  <c r="J86" i="15"/>
  <c r="I86" i="15"/>
  <c r="I127" i="15" s="1"/>
  <c r="H86" i="15"/>
  <c r="G86" i="15"/>
  <c r="F86" i="15"/>
  <c r="F127" i="15" s="1"/>
  <c r="E86" i="15"/>
  <c r="D86" i="15"/>
  <c r="K85" i="15"/>
  <c r="K126" i="15" s="1"/>
  <c r="J85" i="15"/>
  <c r="I85" i="15"/>
  <c r="I126" i="15" s="1"/>
  <c r="H85" i="15"/>
  <c r="H126" i="15" s="1"/>
  <c r="G85" i="15"/>
  <c r="G126" i="15" s="1"/>
  <c r="F85" i="15"/>
  <c r="F126" i="15" s="1"/>
  <c r="E85" i="15"/>
  <c r="E126" i="15" s="1"/>
  <c r="D85" i="15"/>
  <c r="K84" i="15"/>
  <c r="K125" i="15" s="1"/>
  <c r="J84" i="15"/>
  <c r="I84" i="15"/>
  <c r="H84" i="15"/>
  <c r="G84" i="15"/>
  <c r="F84" i="15"/>
  <c r="E84" i="15"/>
  <c r="D84" i="15"/>
  <c r="K83" i="15"/>
  <c r="K124" i="15" s="1"/>
  <c r="J83" i="15"/>
  <c r="I83" i="15"/>
  <c r="I124" i="15" s="1"/>
  <c r="H83" i="15"/>
  <c r="H124" i="15" s="1"/>
  <c r="G83" i="15"/>
  <c r="G124" i="15" s="1"/>
  <c r="F83" i="15"/>
  <c r="F124" i="15" s="1"/>
  <c r="E83" i="15"/>
  <c r="E124" i="15" s="1"/>
  <c r="D83" i="15"/>
  <c r="K82" i="15"/>
  <c r="K123" i="15" s="1"/>
  <c r="J82" i="15"/>
  <c r="J123" i="15" s="1"/>
  <c r="I82" i="15"/>
  <c r="I123" i="15" s="1"/>
  <c r="H82" i="15"/>
  <c r="H123" i="15" s="1"/>
  <c r="G82" i="15"/>
  <c r="F82" i="15"/>
  <c r="E82" i="15"/>
  <c r="D82" i="15"/>
  <c r="K81" i="15"/>
  <c r="K122" i="15" s="1"/>
  <c r="J81" i="15"/>
  <c r="I81" i="15"/>
  <c r="I122" i="15" s="1"/>
  <c r="H81" i="15"/>
  <c r="G81" i="15"/>
  <c r="G122" i="15" s="1"/>
  <c r="F81" i="15"/>
  <c r="F122" i="15" s="1"/>
  <c r="E81" i="15"/>
  <c r="E122" i="15" s="1"/>
  <c r="D81" i="15"/>
  <c r="K80" i="15"/>
  <c r="K121" i="15" s="1"/>
  <c r="J80" i="15"/>
  <c r="I80" i="15"/>
  <c r="H80" i="15"/>
  <c r="G80" i="15"/>
  <c r="F80" i="15"/>
  <c r="E80" i="15"/>
  <c r="E121" i="15" s="1"/>
  <c r="D80" i="15"/>
  <c r="K79" i="15"/>
  <c r="K120" i="15" s="1"/>
  <c r="J79" i="15"/>
  <c r="I79" i="15"/>
  <c r="I120" i="15" s="1"/>
  <c r="H79" i="15"/>
  <c r="H120" i="15" s="1"/>
  <c r="G79" i="15"/>
  <c r="G120" i="15" s="1"/>
  <c r="F79" i="15"/>
  <c r="F120" i="15" s="1"/>
  <c r="E79" i="15"/>
  <c r="E120" i="15" s="1"/>
  <c r="D79" i="15"/>
  <c r="K78" i="15"/>
  <c r="K119" i="15" s="1"/>
  <c r="J78" i="15"/>
  <c r="J119" i="15" s="1"/>
  <c r="I78" i="15"/>
  <c r="I119" i="15" s="1"/>
  <c r="H78" i="15"/>
  <c r="G78" i="15"/>
  <c r="F78" i="15"/>
  <c r="F119" i="15" s="1"/>
  <c r="E78" i="15"/>
  <c r="E119" i="15" s="1"/>
  <c r="D78" i="15"/>
  <c r="K77" i="15"/>
  <c r="K118" i="15" s="1"/>
  <c r="J77" i="15"/>
  <c r="I77" i="15"/>
  <c r="I118" i="15" s="1"/>
  <c r="H77" i="15"/>
  <c r="H118" i="15" s="1"/>
  <c r="G77" i="15"/>
  <c r="G118" i="15" s="1"/>
  <c r="F77" i="15"/>
  <c r="F118" i="15" s="1"/>
  <c r="E77" i="15"/>
  <c r="E118" i="15" s="1"/>
  <c r="D77" i="15"/>
  <c r="K76" i="15"/>
  <c r="K117" i="15" s="1"/>
  <c r="J76" i="15"/>
  <c r="I76" i="15"/>
  <c r="H76" i="15"/>
  <c r="G76" i="15"/>
  <c r="F76" i="15"/>
  <c r="E76" i="15"/>
  <c r="D76" i="15"/>
  <c r="K75" i="15"/>
  <c r="K116" i="15" s="1"/>
  <c r="J75" i="15"/>
  <c r="I75" i="15"/>
  <c r="H75" i="15"/>
  <c r="H116" i="15" s="1"/>
  <c r="G75" i="15"/>
  <c r="G116" i="15" s="1"/>
  <c r="F75" i="15"/>
  <c r="F116" i="15" s="1"/>
  <c r="E75" i="15"/>
  <c r="E116" i="15" s="1"/>
  <c r="D75" i="15"/>
  <c r="K74" i="15"/>
  <c r="J74" i="15"/>
  <c r="I74" i="15"/>
  <c r="H74" i="15"/>
  <c r="G74" i="15"/>
  <c r="F74" i="15"/>
  <c r="E74" i="15"/>
  <c r="D74" i="15"/>
  <c r="K73" i="15"/>
  <c r="K114" i="15" s="1"/>
  <c r="J73" i="15"/>
  <c r="I73" i="15"/>
  <c r="H73" i="15"/>
  <c r="H114" i="15" s="1"/>
  <c r="G73" i="15"/>
  <c r="G114" i="15" s="1"/>
  <c r="F73" i="15"/>
  <c r="F114" i="15" s="1"/>
  <c r="E73" i="15"/>
  <c r="E114" i="15" s="1"/>
  <c r="D73" i="15"/>
  <c r="K72" i="15"/>
  <c r="J72" i="15"/>
  <c r="I72" i="15"/>
  <c r="H72" i="15"/>
  <c r="G72" i="15"/>
  <c r="F72" i="15"/>
  <c r="E72" i="15"/>
  <c r="D72" i="15"/>
  <c r="K71" i="15"/>
  <c r="K112" i="15" s="1"/>
  <c r="J71" i="15"/>
  <c r="J112" i="15" s="1"/>
  <c r="I71" i="15"/>
  <c r="I112" i="15" s="1"/>
  <c r="H71" i="15"/>
  <c r="H112" i="15" s="1"/>
  <c r="G71" i="15"/>
  <c r="G112" i="15" s="1"/>
  <c r="F71" i="15"/>
  <c r="F112" i="15" s="1"/>
  <c r="E71" i="15"/>
  <c r="E112" i="15" s="1"/>
  <c r="D71" i="15"/>
  <c r="K70" i="15"/>
  <c r="J70" i="15"/>
  <c r="I70" i="15"/>
  <c r="H70" i="15"/>
  <c r="G70" i="15"/>
  <c r="F70" i="15"/>
  <c r="E70" i="15"/>
  <c r="D70" i="15"/>
  <c r="K69" i="15"/>
  <c r="K110" i="15" s="1"/>
  <c r="J69" i="15"/>
  <c r="I69" i="15"/>
  <c r="H69" i="15"/>
  <c r="H110" i="15" s="1"/>
  <c r="G69" i="15"/>
  <c r="G110" i="15" s="1"/>
  <c r="F69" i="15"/>
  <c r="F110" i="15" s="1"/>
  <c r="E69" i="15"/>
  <c r="E110" i="15" s="1"/>
  <c r="D69" i="15"/>
  <c r="K68" i="15"/>
  <c r="J68" i="15"/>
  <c r="I68" i="15"/>
  <c r="H68" i="15"/>
  <c r="H109" i="15" s="1"/>
  <c r="G68" i="15"/>
  <c r="F68" i="15"/>
  <c r="E68" i="15"/>
  <c r="D68" i="15"/>
  <c r="K67" i="15"/>
  <c r="K108" i="15" s="1"/>
  <c r="J67" i="15"/>
  <c r="J108" i="15" s="1"/>
  <c r="I67" i="15"/>
  <c r="I108" i="15" s="1"/>
  <c r="H67" i="15"/>
  <c r="H108" i="15" s="1"/>
  <c r="G67" i="15"/>
  <c r="G108" i="15" s="1"/>
  <c r="F67" i="15"/>
  <c r="F108" i="15" s="1"/>
  <c r="E67" i="15"/>
  <c r="D67" i="15"/>
  <c r="K66" i="15"/>
  <c r="J66" i="15"/>
  <c r="I66" i="15"/>
  <c r="H66" i="15"/>
  <c r="G66" i="15"/>
  <c r="F66" i="15"/>
  <c r="E66" i="15"/>
  <c r="D66" i="15"/>
  <c r="K65" i="15"/>
  <c r="K106" i="15" s="1"/>
  <c r="J65" i="15"/>
  <c r="J106" i="15" s="1"/>
  <c r="I65" i="15"/>
  <c r="I106" i="15" s="1"/>
  <c r="H65" i="15"/>
  <c r="H106" i="15" s="1"/>
  <c r="G65" i="15"/>
  <c r="G106" i="15" s="1"/>
  <c r="F65" i="15"/>
  <c r="F106" i="15" s="1"/>
  <c r="E65" i="15"/>
  <c r="E106" i="15" s="1"/>
  <c r="D65" i="15"/>
  <c r="K64" i="15"/>
  <c r="J64" i="15"/>
  <c r="I64" i="15"/>
  <c r="H64" i="15"/>
  <c r="G64" i="15"/>
  <c r="G105" i="15" s="1"/>
  <c r="F64" i="15"/>
  <c r="E64" i="15"/>
  <c r="E105" i="15" s="1"/>
  <c r="D64" i="15"/>
  <c r="K63" i="15"/>
  <c r="K104" i="15" s="1"/>
  <c r="J63" i="15"/>
  <c r="I63" i="15"/>
  <c r="I104" i="15" s="1"/>
  <c r="H63" i="15"/>
  <c r="H104" i="15" s="1"/>
  <c r="G63" i="15"/>
  <c r="F63" i="15"/>
  <c r="F104" i="15" s="1"/>
  <c r="E63" i="15"/>
  <c r="E104" i="15" s="1"/>
  <c r="D63" i="15"/>
  <c r="K62" i="15"/>
  <c r="J62" i="15"/>
  <c r="I62" i="15"/>
  <c r="H62" i="15"/>
  <c r="G62" i="15"/>
  <c r="F62" i="15"/>
  <c r="E62" i="15"/>
  <c r="E103" i="15" s="1"/>
  <c r="D62" i="15"/>
  <c r="K61" i="15"/>
  <c r="K102" i="15" s="1"/>
  <c r="J61" i="15"/>
  <c r="I61" i="15"/>
  <c r="H61" i="15"/>
  <c r="H102" i="15" s="1"/>
  <c r="G61" i="15"/>
  <c r="G102" i="15" s="1"/>
  <c r="F61" i="15"/>
  <c r="F102" i="15" s="1"/>
  <c r="E61" i="15"/>
  <c r="E102" i="15" s="1"/>
  <c r="D61" i="15"/>
  <c r="K60" i="15"/>
  <c r="K101" i="15" s="1"/>
  <c r="J60" i="15"/>
  <c r="I60" i="15"/>
  <c r="I101" i="15" s="1"/>
  <c r="H60" i="15"/>
  <c r="H101" i="15" s="1"/>
  <c r="G60" i="15"/>
  <c r="F60" i="15"/>
  <c r="E60" i="15"/>
  <c r="D60" i="15"/>
  <c r="K59" i="15"/>
  <c r="K100" i="15" s="1"/>
  <c r="J59" i="15"/>
  <c r="I59" i="15"/>
  <c r="H59" i="15"/>
  <c r="H100" i="15" s="1"/>
  <c r="G59" i="15"/>
  <c r="G100" i="15" s="1"/>
  <c r="F59" i="15"/>
  <c r="E59" i="15"/>
  <c r="E100" i="15" s="1"/>
  <c r="D59" i="15"/>
  <c r="K58" i="15"/>
  <c r="K99" i="15" s="1"/>
  <c r="J58" i="15"/>
  <c r="I58" i="15"/>
  <c r="I99" i="15" s="1"/>
  <c r="H58" i="15"/>
  <c r="G58" i="15"/>
  <c r="F58" i="15"/>
  <c r="F99" i="15" s="1"/>
  <c r="E58" i="15"/>
  <c r="D58" i="15"/>
  <c r="K57" i="15"/>
  <c r="K98" i="15" s="1"/>
  <c r="J57" i="15"/>
  <c r="J98" i="15" s="1"/>
  <c r="I57" i="15"/>
  <c r="H57" i="15"/>
  <c r="H98" i="15" s="1"/>
  <c r="G57" i="15"/>
  <c r="G98" i="15" s="1"/>
  <c r="F57" i="15"/>
  <c r="F98" i="15" s="1"/>
  <c r="E57" i="15"/>
  <c r="E98" i="15" s="1"/>
  <c r="D57" i="15"/>
  <c r="D87" i="15" s="1"/>
  <c r="K56" i="15"/>
  <c r="J56" i="15"/>
  <c r="J97" i="15" s="1"/>
  <c r="I56" i="15"/>
  <c r="H56" i="15"/>
  <c r="G56" i="15"/>
  <c r="F56" i="15"/>
  <c r="E56" i="15"/>
  <c r="D56" i="15"/>
  <c r="C46" i="15"/>
  <c r="K44" i="15"/>
  <c r="J44" i="15"/>
  <c r="I44" i="15"/>
  <c r="H44" i="15"/>
  <c r="G44" i="15"/>
  <c r="F44" i="15"/>
  <c r="E44" i="15"/>
  <c r="D44" i="15"/>
  <c r="K43" i="15"/>
  <c r="J43" i="15"/>
  <c r="I43" i="15"/>
  <c r="I210" i="15" s="1"/>
  <c r="H43" i="15"/>
  <c r="H210" i="15" s="1"/>
  <c r="G43" i="15"/>
  <c r="F43" i="15"/>
  <c r="F293" i="15" s="1"/>
  <c r="E43" i="15"/>
  <c r="D43" i="15"/>
  <c r="K42" i="15"/>
  <c r="J42" i="15"/>
  <c r="I42" i="15"/>
  <c r="H42" i="15"/>
  <c r="G42" i="15"/>
  <c r="F42" i="15"/>
  <c r="F292" i="15" s="1"/>
  <c r="E42" i="15"/>
  <c r="D42" i="15"/>
  <c r="D209" i="15" s="1"/>
  <c r="K41" i="15"/>
  <c r="J41" i="15"/>
  <c r="I41" i="15"/>
  <c r="I208" i="15" s="1"/>
  <c r="H41" i="15"/>
  <c r="H291" i="15" s="1"/>
  <c r="G41" i="15"/>
  <c r="F41" i="15"/>
  <c r="E41" i="15"/>
  <c r="D41" i="15"/>
  <c r="D124" i="15" s="1"/>
  <c r="K40" i="15"/>
  <c r="J40" i="15"/>
  <c r="I40" i="15"/>
  <c r="H40" i="15"/>
  <c r="G40" i="15"/>
  <c r="F40" i="15"/>
  <c r="E40" i="15"/>
  <c r="D40" i="15"/>
  <c r="K39" i="15"/>
  <c r="J39" i="15"/>
  <c r="J122" i="15" s="1"/>
  <c r="I39" i="15"/>
  <c r="H39" i="15"/>
  <c r="G39" i="15"/>
  <c r="F39" i="15"/>
  <c r="F289" i="15" s="1"/>
  <c r="E39" i="15"/>
  <c r="D39" i="15"/>
  <c r="K38" i="15"/>
  <c r="K288" i="15" s="1"/>
  <c r="J38" i="15"/>
  <c r="J288" i="15" s="1"/>
  <c r="I38" i="15"/>
  <c r="I288" i="15" s="1"/>
  <c r="H38" i="15"/>
  <c r="G38" i="15"/>
  <c r="G121" i="15" s="1"/>
  <c r="F38" i="15"/>
  <c r="F288" i="15" s="1"/>
  <c r="E38" i="15"/>
  <c r="D38" i="15"/>
  <c r="D121" i="15" s="1"/>
  <c r="K37" i="15"/>
  <c r="K287" i="15" s="1"/>
  <c r="J37" i="15"/>
  <c r="J287" i="15" s="1"/>
  <c r="I37" i="15"/>
  <c r="H37" i="15"/>
  <c r="G37" i="15"/>
  <c r="F37" i="15"/>
  <c r="F287" i="15" s="1"/>
  <c r="E37" i="15"/>
  <c r="D37" i="15"/>
  <c r="D120" i="15" s="1"/>
  <c r="K36" i="15"/>
  <c r="J36" i="15"/>
  <c r="I36" i="15"/>
  <c r="H36" i="15"/>
  <c r="G36" i="15"/>
  <c r="F36" i="15"/>
  <c r="E36" i="15"/>
  <c r="D36" i="15"/>
  <c r="K35" i="15"/>
  <c r="K285" i="15" s="1"/>
  <c r="J35" i="15"/>
  <c r="I35" i="15"/>
  <c r="H35" i="15"/>
  <c r="H202" i="15" s="1"/>
  <c r="G35" i="15"/>
  <c r="F35" i="15"/>
  <c r="F285" i="15" s="1"/>
  <c r="E35" i="15"/>
  <c r="D35" i="15"/>
  <c r="K34" i="15"/>
  <c r="J34" i="15"/>
  <c r="I34" i="15"/>
  <c r="H34" i="15"/>
  <c r="G34" i="15"/>
  <c r="G117" i="15" s="1"/>
  <c r="F34" i="15"/>
  <c r="F284" i="15" s="1"/>
  <c r="E34" i="15"/>
  <c r="D34" i="15"/>
  <c r="K33" i="15"/>
  <c r="J33" i="15"/>
  <c r="I33" i="15"/>
  <c r="I200" i="15" s="1"/>
  <c r="H33" i="15"/>
  <c r="H283" i="15" s="1"/>
  <c r="G33" i="15"/>
  <c r="F33" i="15"/>
  <c r="E33" i="15"/>
  <c r="D33" i="15"/>
  <c r="K32" i="15"/>
  <c r="J32" i="15"/>
  <c r="J282" i="15" s="1"/>
  <c r="I32" i="15"/>
  <c r="I282" i="15" s="1"/>
  <c r="H32" i="15"/>
  <c r="G32" i="15"/>
  <c r="G115" i="15" s="1"/>
  <c r="F32" i="15"/>
  <c r="F282" i="15" s="1"/>
  <c r="E32" i="15"/>
  <c r="D32" i="15"/>
  <c r="D115" i="15" s="1"/>
  <c r="K31" i="15"/>
  <c r="J31" i="15"/>
  <c r="J114" i="15" s="1"/>
  <c r="I31" i="15"/>
  <c r="I198" i="15" s="1"/>
  <c r="H31" i="15"/>
  <c r="G31" i="15"/>
  <c r="F31" i="15"/>
  <c r="F281" i="15" s="1"/>
  <c r="E31" i="15"/>
  <c r="D31" i="15"/>
  <c r="D114" i="15" s="1"/>
  <c r="K30" i="15"/>
  <c r="J30" i="15"/>
  <c r="J280" i="15" s="1"/>
  <c r="I30" i="15"/>
  <c r="I280" i="15" s="1"/>
  <c r="H30" i="15"/>
  <c r="G30" i="15"/>
  <c r="G113" i="15" s="1"/>
  <c r="F30" i="15"/>
  <c r="F280" i="15" s="1"/>
  <c r="E30" i="15"/>
  <c r="D30" i="15"/>
  <c r="D113" i="15" s="1"/>
  <c r="K29" i="15"/>
  <c r="J29" i="15"/>
  <c r="I29" i="15"/>
  <c r="H29" i="15"/>
  <c r="G29" i="15"/>
  <c r="F29" i="15"/>
  <c r="E29" i="15"/>
  <c r="D29" i="15"/>
  <c r="K28" i="15"/>
  <c r="K195" i="15" s="1"/>
  <c r="J28" i="15"/>
  <c r="J278" i="15" s="1"/>
  <c r="I28" i="15"/>
  <c r="H28" i="15"/>
  <c r="G28" i="15"/>
  <c r="F28" i="15"/>
  <c r="F278" i="15" s="1"/>
  <c r="E28" i="15"/>
  <c r="D28" i="15"/>
  <c r="D195" i="15" s="1"/>
  <c r="K27" i="15"/>
  <c r="J27" i="15"/>
  <c r="J110" i="15" s="1"/>
  <c r="I27" i="15"/>
  <c r="H27" i="15"/>
  <c r="H194" i="15" s="1"/>
  <c r="G27" i="15"/>
  <c r="F27" i="15"/>
  <c r="F277" i="15" s="1"/>
  <c r="E27" i="15"/>
  <c r="D27" i="15"/>
  <c r="D110" i="15" s="1"/>
  <c r="K26" i="15"/>
  <c r="J26" i="15"/>
  <c r="I26" i="15"/>
  <c r="H26" i="15"/>
  <c r="G26" i="15"/>
  <c r="F26" i="15"/>
  <c r="E26" i="15"/>
  <c r="D26" i="15"/>
  <c r="K25" i="15"/>
  <c r="K192" i="15" s="1"/>
  <c r="J25" i="15"/>
  <c r="I25" i="15"/>
  <c r="H25" i="15"/>
  <c r="H192" i="15" s="1"/>
  <c r="G25" i="15"/>
  <c r="F25" i="15"/>
  <c r="F275" i="15" s="1"/>
  <c r="E25" i="15"/>
  <c r="D25" i="15"/>
  <c r="K24" i="15"/>
  <c r="J24" i="15"/>
  <c r="J274" i="15" s="1"/>
  <c r="I24" i="15"/>
  <c r="I274" i="15" s="1"/>
  <c r="H24" i="15"/>
  <c r="G24" i="15"/>
  <c r="G107" i="15" s="1"/>
  <c r="F24" i="15"/>
  <c r="F274" i="15" s="1"/>
  <c r="E24" i="15"/>
  <c r="D24" i="15"/>
  <c r="K23" i="15"/>
  <c r="K190" i="15" s="1"/>
  <c r="J23" i="15"/>
  <c r="I23" i="15"/>
  <c r="H23" i="15"/>
  <c r="H190" i="15" s="1"/>
  <c r="G23" i="15"/>
  <c r="F23" i="15"/>
  <c r="E23" i="15"/>
  <c r="D23" i="15"/>
  <c r="D106" i="15" s="1"/>
  <c r="K22" i="15"/>
  <c r="K105" i="15" s="1"/>
  <c r="J22" i="15"/>
  <c r="J272" i="15" s="1"/>
  <c r="I22" i="15"/>
  <c r="H22" i="15"/>
  <c r="G22" i="15"/>
  <c r="F22" i="15"/>
  <c r="F272" i="15" s="1"/>
  <c r="E22" i="15"/>
  <c r="D22" i="15"/>
  <c r="K21" i="15"/>
  <c r="J21" i="15"/>
  <c r="I21" i="15"/>
  <c r="H21" i="15"/>
  <c r="G21" i="15"/>
  <c r="F21" i="15"/>
  <c r="E21" i="15"/>
  <c r="D21" i="15"/>
  <c r="K20" i="15"/>
  <c r="J20" i="15"/>
  <c r="J270" i="15" s="1"/>
  <c r="I20" i="15"/>
  <c r="H20" i="15"/>
  <c r="G20" i="15"/>
  <c r="F20" i="15"/>
  <c r="F270" i="15" s="1"/>
  <c r="E20" i="15"/>
  <c r="D20" i="15"/>
  <c r="D103" i="15" s="1"/>
  <c r="K19" i="15"/>
  <c r="K269" i="15" s="1"/>
  <c r="J19" i="15"/>
  <c r="J269" i="15" s="1"/>
  <c r="I19" i="15"/>
  <c r="H19" i="15"/>
  <c r="G19" i="15"/>
  <c r="F19" i="15"/>
  <c r="F269" i="15" s="1"/>
  <c r="E19" i="15"/>
  <c r="D19" i="15"/>
  <c r="D102" i="15" s="1"/>
  <c r="K18" i="15"/>
  <c r="J18" i="15"/>
  <c r="I18" i="15"/>
  <c r="H18" i="15"/>
  <c r="G18" i="15"/>
  <c r="F18" i="15"/>
  <c r="E18" i="15"/>
  <c r="D18" i="15"/>
  <c r="K17" i="15"/>
  <c r="J17" i="15"/>
  <c r="J184" i="15" s="1"/>
  <c r="I17" i="15"/>
  <c r="H17" i="15"/>
  <c r="H184" i="15" s="1"/>
  <c r="G17" i="15"/>
  <c r="F17" i="15"/>
  <c r="F184" i="15" s="1"/>
  <c r="E17" i="15"/>
  <c r="D17" i="15"/>
  <c r="D100" i="15" s="1"/>
  <c r="K16" i="15"/>
  <c r="J16" i="15"/>
  <c r="I16" i="15"/>
  <c r="H16" i="15"/>
  <c r="G16" i="15"/>
  <c r="F16" i="15"/>
  <c r="E16" i="15"/>
  <c r="D16" i="15"/>
  <c r="K15" i="15"/>
  <c r="K182" i="15" s="1"/>
  <c r="J15" i="15"/>
  <c r="J265" i="15" s="1"/>
  <c r="I15" i="15"/>
  <c r="H15" i="15"/>
  <c r="H182" i="15" s="1"/>
  <c r="G15" i="15"/>
  <c r="F15" i="15"/>
  <c r="F265" i="15" s="1"/>
  <c r="E15" i="15"/>
  <c r="D15" i="15"/>
  <c r="D98" i="15" s="1"/>
  <c r="K14" i="15"/>
  <c r="K264" i="15" s="1"/>
  <c r="J14" i="15"/>
  <c r="J264" i="15" s="1"/>
  <c r="I14" i="15"/>
  <c r="H14" i="15"/>
  <c r="G14" i="15"/>
  <c r="F14" i="15"/>
  <c r="E14" i="15"/>
  <c r="E45" i="15" s="1"/>
  <c r="D14" i="15"/>
  <c r="D97" i="15" s="1"/>
  <c r="R273" i="14"/>
  <c r="Q273" i="14"/>
  <c r="E273" i="14"/>
  <c r="S270" i="14"/>
  <c r="R270" i="14"/>
  <c r="Q270" i="14"/>
  <c r="K270" i="14"/>
  <c r="J270" i="14"/>
  <c r="I270" i="14"/>
  <c r="F270" i="14"/>
  <c r="D268" i="14"/>
  <c r="V266" i="14"/>
  <c r="T266" i="14"/>
  <c r="O266" i="14"/>
  <c r="N266" i="14"/>
  <c r="M266" i="14"/>
  <c r="G266" i="14"/>
  <c r="F266" i="14"/>
  <c r="J265" i="14"/>
  <c r="U264" i="14"/>
  <c r="S262" i="14"/>
  <c r="N253" i="14"/>
  <c r="P252" i="14"/>
  <c r="L250" i="14"/>
  <c r="V249" i="14"/>
  <c r="P249" i="14"/>
  <c r="O249" i="14"/>
  <c r="N249" i="14"/>
  <c r="M249" i="14"/>
  <c r="J249" i="14"/>
  <c r="F249" i="14"/>
  <c r="V247" i="14"/>
  <c r="O247" i="14"/>
  <c r="K245" i="14"/>
  <c r="V234" i="14"/>
  <c r="V273" i="14" s="1"/>
  <c r="U234" i="14"/>
  <c r="U273" i="14" s="1"/>
  <c r="T234" i="14"/>
  <c r="T273" i="14" s="1"/>
  <c r="S234" i="14"/>
  <c r="S273" i="14" s="1"/>
  <c r="R234" i="14"/>
  <c r="Q234" i="14"/>
  <c r="P234" i="14"/>
  <c r="P273" i="14" s="1"/>
  <c r="O234" i="14"/>
  <c r="O273" i="14" s="1"/>
  <c r="N234" i="14"/>
  <c r="N273" i="14" s="1"/>
  <c r="M234" i="14"/>
  <c r="M273" i="14" s="1"/>
  <c r="L234" i="14"/>
  <c r="L273" i="14" s="1"/>
  <c r="K234" i="14"/>
  <c r="J234" i="14"/>
  <c r="I234" i="14"/>
  <c r="H234" i="14"/>
  <c r="G234" i="14"/>
  <c r="F234" i="14"/>
  <c r="E234" i="14"/>
  <c r="D234" i="14"/>
  <c r="V233" i="14"/>
  <c r="U233" i="14"/>
  <c r="T233" i="14"/>
  <c r="S233" i="14"/>
  <c r="R233" i="14"/>
  <c r="Q233" i="14"/>
  <c r="P233" i="14"/>
  <c r="P272" i="14" s="1"/>
  <c r="O233" i="14"/>
  <c r="O272" i="14" s="1"/>
  <c r="N233" i="14"/>
  <c r="M233" i="14"/>
  <c r="L233" i="14"/>
  <c r="K233" i="14"/>
  <c r="J233" i="14"/>
  <c r="I233" i="14"/>
  <c r="H233" i="14"/>
  <c r="H272" i="14" s="1"/>
  <c r="G233" i="14"/>
  <c r="F233" i="14"/>
  <c r="E233" i="14"/>
  <c r="D233" i="14"/>
  <c r="V232" i="14"/>
  <c r="U232" i="14"/>
  <c r="T232" i="14"/>
  <c r="S232" i="14"/>
  <c r="S271" i="14" s="1"/>
  <c r="R232" i="14"/>
  <c r="R271" i="14" s="1"/>
  <c r="Q232" i="14"/>
  <c r="P232" i="14"/>
  <c r="O232" i="14"/>
  <c r="N232" i="14"/>
  <c r="M232" i="14"/>
  <c r="L232" i="14"/>
  <c r="K232" i="14"/>
  <c r="K271" i="14" s="1"/>
  <c r="J232" i="14"/>
  <c r="I232" i="14"/>
  <c r="H232" i="14"/>
  <c r="G232" i="14"/>
  <c r="F232" i="14"/>
  <c r="E232" i="14"/>
  <c r="D232" i="14"/>
  <c r="V231" i="14"/>
  <c r="V270" i="14" s="1"/>
  <c r="U231" i="14"/>
  <c r="U270" i="14" s="1"/>
  <c r="T231" i="14"/>
  <c r="T270" i="14" s="1"/>
  <c r="S231" i="14"/>
  <c r="R231" i="14"/>
  <c r="Q231" i="14"/>
  <c r="P231" i="14"/>
  <c r="P270" i="14" s="1"/>
  <c r="O231" i="14"/>
  <c r="O270" i="14" s="1"/>
  <c r="N231" i="14"/>
  <c r="N270" i="14" s="1"/>
  <c r="M231" i="14"/>
  <c r="M270" i="14" s="1"/>
  <c r="L231" i="14"/>
  <c r="L270" i="14" s="1"/>
  <c r="K231" i="14"/>
  <c r="J231" i="14"/>
  <c r="I231" i="14"/>
  <c r="H231" i="14"/>
  <c r="H270" i="14" s="1"/>
  <c r="G231" i="14"/>
  <c r="G270" i="14" s="1"/>
  <c r="F231" i="14"/>
  <c r="E231" i="14"/>
  <c r="E270" i="14" s="1"/>
  <c r="D231" i="14"/>
  <c r="D270" i="14" s="1"/>
  <c r="V230" i="14"/>
  <c r="U230" i="14"/>
  <c r="T230" i="14"/>
  <c r="S230" i="14"/>
  <c r="R230" i="14"/>
  <c r="Q230" i="14"/>
  <c r="Q269" i="14" s="1"/>
  <c r="P230" i="14"/>
  <c r="O230" i="14"/>
  <c r="N230" i="14"/>
  <c r="M230" i="14"/>
  <c r="L230" i="14"/>
  <c r="K230" i="14"/>
  <c r="J230" i="14"/>
  <c r="I230" i="14"/>
  <c r="I269" i="14" s="1"/>
  <c r="H230" i="14"/>
  <c r="H269" i="14" s="1"/>
  <c r="G230" i="14"/>
  <c r="F230" i="14"/>
  <c r="E230" i="14"/>
  <c r="D230" i="14"/>
  <c r="V229" i="14"/>
  <c r="U229" i="14"/>
  <c r="T229" i="14"/>
  <c r="T268" i="14" s="1"/>
  <c r="S229" i="14"/>
  <c r="R229" i="14"/>
  <c r="Q229" i="14"/>
  <c r="P229" i="14"/>
  <c r="O229" i="14"/>
  <c r="N229" i="14"/>
  <c r="M229" i="14"/>
  <c r="L229" i="14"/>
  <c r="L268" i="14" s="1"/>
  <c r="K229" i="14"/>
  <c r="K268" i="14" s="1"/>
  <c r="J229" i="14"/>
  <c r="I229" i="14"/>
  <c r="H229" i="14"/>
  <c r="G229" i="14"/>
  <c r="F229" i="14"/>
  <c r="E229" i="14"/>
  <c r="D229" i="14"/>
  <c r="V228" i="14"/>
  <c r="U228" i="14"/>
  <c r="T228" i="14"/>
  <c r="S228" i="14"/>
  <c r="R228" i="14"/>
  <c r="Q228" i="14"/>
  <c r="P228" i="14"/>
  <c r="O228" i="14"/>
  <c r="O267" i="14" s="1"/>
  <c r="N228" i="14"/>
  <c r="N267" i="14" s="1"/>
  <c r="M228" i="14"/>
  <c r="L228" i="14"/>
  <c r="K228" i="14"/>
  <c r="J228" i="14"/>
  <c r="I228" i="14"/>
  <c r="H228" i="14"/>
  <c r="G228" i="14"/>
  <c r="G267" i="14" s="1"/>
  <c r="F228" i="14"/>
  <c r="E228" i="14"/>
  <c r="D228" i="14"/>
  <c r="V227" i="14"/>
  <c r="U227" i="14"/>
  <c r="U266" i="14" s="1"/>
  <c r="T227" i="14"/>
  <c r="S227" i="14"/>
  <c r="S266" i="14" s="1"/>
  <c r="R227" i="14"/>
  <c r="R266" i="14" s="1"/>
  <c r="Q227" i="14"/>
  <c r="Q266" i="14" s="1"/>
  <c r="P227" i="14"/>
  <c r="P266" i="14" s="1"/>
  <c r="O227" i="14"/>
  <c r="N227" i="14"/>
  <c r="M227" i="14"/>
  <c r="L227" i="14"/>
  <c r="L266" i="14" s="1"/>
  <c r="K227" i="14"/>
  <c r="K266" i="14" s="1"/>
  <c r="J227" i="14"/>
  <c r="J266" i="14" s="1"/>
  <c r="I227" i="14"/>
  <c r="I266" i="14" s="1"/>
  <c r="H227" i="14"/>
  <c r="H266" i="14" s="1"/>
  <c r="G227" i="14"/>
  <c r="F227" i="14"/>
  <c r="E227" i="14"/>
  <c r="E266" i="14" s="1"/>
  <c r="D227" i="14"/>
  <c r="D266" i="14" s="1"/>
  <c r="V226" i="14"/>
  <c r="U226" i="14"/>
  <c r="U265" i="14" s="1"/>
  <c r="T226" i="14"/>
  <c r="T265" i="14" s="1"/>
  <c r="S226" i="14"/>
  <c r="R226" i="14"/>
  <c r="Q226" i="14"/>
  <c r="P226" i="14"/>
  <c r="O226" i="14"/>
  <c r="O265" i="14" s="1"/>
  <c r="N226" i="14"/>
  <c r="N265" i="14" s="1"/>
  <c r="M226" i="14"/>
  <c r="M265" i="14" s="1"/>
  <c r="L226" i="14"/>
  <c r="L265" i="14" s="1"/>
  <c r="K226" i="14"/>
  <c r="K265" i="14" s="1"/>
  <c r="J226" i="14"/>
  <c r="I226" i="14"/>
  <c r="H226" i="14"/>
  <c r="G226" i="14"/>
  <c r="G265" i="14" s="1"/>
  <c r="F226" i="14"/>
  <c r="F265" i="14" s="1"/>
  <c r="E226" i="14"/>
  <c r="E265" i="14" s="1"/>
  <c r="D226" i="14"/>
  <c r="D265" i="14" s="1"/>
  <c r="V225" i="14"/>
  <c r="U225" i="14"/>
  <c r="T225" i="14"/>
  <c r="S225" i="14"/>
  <c r="R225" i="14"/>
  <c r="Q225" i="14"/>
  <c r="P225" i="14"/>
  <c r="P264" i="14" s="1"/>
  <c r="O225" i="14"/>
  <c r="N225" i="14"/>
  <c r="M225" i="14"/>
  <c r="L225" i="14"/>
  <c r="K225" i="14"/>
  <c r="J225" i="14"/>
  <c r="I225" i="14"/>
  <c r="H225" i="14"/>
  <c r="H264" i="14" s="1"/>
  <c r="G225" i="14"/>
  <c r="G264" i="14" s="1"/>
  <c r="F225" i="14"/>
  <c r="E225" i="14"/>
  <c r="D225" i="14"/>
  <c r="V224" i="14"/>
  <c r="U224" i="14"/>
  <c r="T224" i="14"/>
  <c r="S224" i="14"/>
  <c r="S263" i="14" s="1"/>
  <c r="R224" i="14"/>
  <c r="Q224" i="14"/>
  <c r="P224" i="14"/>
  <c r="O224" i="14"/>
  <c r="N224" i="14"/>
  <c r="M224" i="14"/>
  <c r="L224" i="14"/>
  <c r="K224" i="14"/>
  <c r="K263" i="14" s="1"/>
  <c r="J224" i="14"/>
  <c r="J263" i="14" s="1"/>
  <c r="I224" i="14"/>
  <c r="H224" i="14"/>
  <c r="G224" i="14"/>
  <c r="F224" i="14"/>
  <c r="E224" i="14"/>
  <c r="D224" i="14"/>
  <c r="V223" i="14"/>
  <c r="V262" i="14" s="1"/>
  <c r="U223" i="14"/>
  <c r="T223" i="14"/>
  <c r="S223" i="14"/>
  <c r="R223" i="14"/>
  <c r="Q223" i="14"/>
  <c r="P223" i="14"/>
  <c r="O223" i="14"/>
  <c r="N223" i="14"/>
  <c r="N262" i="14" s="1"/>
  <c r="M223" i="14"/>
  <c r="M262" i="14" s="1"/>
  <c r="L223" i="14"/>
  <c r="K223" i="14"/>
  <c r="J223" i="14"/>
  <c r="I223" i="14"/>
  <c r="H223" i="14"/>
  <c r="G223" i="14"/>
  <c r="F223" i="14"/>
  <c r="F262" i="14" s="1"/>
  <c r="E223" i="14"/>
  <c r="D223" i="14"/>
  <c r="V222" i="14"/>
  <c r="U222" i="14"/>
  <c r="T222" i="14"/>
  <c r="S222" i="14"/>
  <c r="R222" i="14"/>
  <c r="Q222" i="14"/>
  <c r="P222" i="14"/>
  <c r="P261" i="14" s="1"/>
  <c r="O222" i="14"/>
  <c r="N222" i="14"/>
  <c r="M222" i="14"/>
  <c r="L222" i="14"/>
  <c r="K222" i="14"/>
  <c r="J222" i="14"/>
  <c r="I222" i="14"/>
  <c r="I261" i="14" s="1"/>
  <c r="H222" i="14"/>
  <c r="G222" i="14"/>
  <c r="F222" i="14"/>
  <c r="E222" i="14"/>
  <c r="D222" i="14"/>
  <c r="V221" i="14"/>
  <c r="V260" i="14" s="1"/>
  <c r="U221" i="14"/>
  <c r="U260" i="14" s="1"/>
  <c r="T221" i="14"/>
  <c r="T260" i="14" s="1"/>
  <c r="S221" i="14"/>
  <c r="S260" i="14" s="1"/>
  <c r="R221" i="14"/>
  <c r="Q221" i="14"/>
  <c r="P221" i="14"/>
  <c r="O221" i="14"/>
  <c r="N221" i="14"/>
  <c r="M221" i="14"/>
  <c r="L221" i="14"/>
  <c r="L260" i="14" s="1"/>
  <c r="K221" i="14"/>
  <c r="J221" i="14"/>
  <c r="I221" i="14"/>
  <c r="H221" i="14"/>
  <c r="G221" i="14"/>
  <c r="F221" i="14"/>
  <c r="E221" i="14"/>
  <c r="D221" i="14"/>
  <c r="D260" i="14" s="1"/>
  <c r="V220" i="14"/>
  <c r="V259" i="14" s="1"/>
  <c r="U220" i="14"/>
  <c r="T220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G220" i="14"/>
  <c r="G259" i="14" s="1"/>
  <c r="F220" i="14"/>
  <c r="F259" i="14" s="1"/>
  <c r="E220" i="14"/>
  <c r="D220" i="14"/>
  <c r="V219" i="14"/>
  <c r="U219" i="14"/>
  <c r="T219" i="14"/>
  <c r="S219" i="14"/>
  <c r="R219" i="14"/>
  <c r="R258" i="14" s="1"/>
  <c r="Q219" i="14"/>
  <c r="P219" i="14"/>
  <c r="O219" i="14"/>
  <c r="N219" i="14"/>
  <c r="M219" i="14"/>
  <c r="L219" i="14"/>
  <c r="K219" i="14"/>
  <c r="J219" i="14"/>
  <c r="J258" i="14" s="1"/>
  <c r="I219" i="14"/>
  <c r="I258" i="14" s="1"/>
  <c r="H219" i="14"/>
  <c r="G219" i="14"/>
  <c r="F219" i="14"/>
  <c r="E219" i="14"/>
  <c r="D219" i="14"/>
  <c r="R218" i="14"/>
  <c r="V217" i="14"/>
  <c r="U217" i="14"/>
  <c r="U256" i="14" s="1"/>
  <c r="T217" i="14"/>
  <c r="S217" i="14"/>
  <c r="R217" i="14"/>
  <c r="Q217" i="14"/>
  <c r="P217" i="14"/>
  <c r="O217" i="14"/>
  <c r="N217" i="14"/>
  <c r="M217" i="14"/>
  <c r="M256" i="14" s="1"/>
  <c r="L217" i="14"/>
  <c r="L256" i="14" s="1"/>
  <c r="K217" i="14"/>
  <c r="J217" i="14"/>
  <c r="I217" i="14"/>
  <c r="H217" i="14"/>
  <c r="G217" i="14"/>
  <c r="F217" i="14"/>
  <c r="E217" i="14"/>
  <c r="E256" i="14" s="1"/>
  <c r="D217" i="14"/>
  <c r="D256" i="14" s="1"/>
  <c r="V216" i="14"/>
  <c r="U216" i="14"/>
  <c r="U255" i="14" s="1"/>
  <c r="T216" i="14"/>
  <c r="S216" i="14"/>
  <c r="R216" i="14"/>
  <c r="Q216" i="14"/>
  <c r="P216" i="14"/>
  <c r="P255" i="14" s="1"/>
  <c r="O216" i="14"/>
  <c r="O255" i="14" s="1"/>
  <c r="N216" i="14"/>
  <c r="M216" i="14"/>
  <c r="L216" i="14"/>
  <c r="K216" i="14"/>
  <c r="J216" i="14"/>
  <c r="I216" i="14"/>
  <c r="H216" i="14"/>
  <c r="H255" i="14" s="1"/>
  <c r="G216" i="14"/>
  <c r="F216" i="14"/>
  <c r="E216" i="14"/>
  <c r="D216" i="14"/>
  <c r="V215" i="14"/>
  <c r="U215" i="14"/>
  <c r="T215" i="14"/>
  <c r="S215" i="14"/>
  <c r="S254" i="14" s="1"/>
  <c r="R215" i="14"/>
  <c r="Q215" i="14"/>
  <c r="P215" i="14"/>
  <c r="O215" i="14"/>
  <c r="N215" i="14"/>
  <c r="M215" i="14"/>
  <c r="L215" i="14"/>
  <c r="K215" i="14"/>
  <c r="K254" i="14" s="1"/>
  <c r="J215" i="14"/>
  <c r="J254" i="14" s="1"/>
  <c r="I215" i="14"/>
  <c r="H215" i="14"/>
  <c r="G215" i="14"/>
  <c r="F215" i="14"/>
  <c r="E215" i="14"/>
  <c r="D215" i="14"/>
  <c r="V214" i="14"/>
  <c r="V253" i="14" s="1"/>
  <c r="U214" i="14"/>
  <c r="U253" i="14" s="1"/>
  <c r="T214" i="14"/>
  <c r="S214" i="14"/>
  <c r="R214" i="14"/>
  <c r="Q214" i="14"/>
  <c r="P214" i="14"/>
  <c r="O214" i="14"/>
  <c r="N214" i="14"/>
  <c r="M214" i="14"/>
  <c r="M253" i="14" s="1"/>
  <c r="L214" i="14"/>
  <c r="K214" i="14"/>
  <c r="J214" i="14"/>
  <c r="I214" i="14"/>
  <c r="H214" i="14"/>
  <c r="G214" i="14"/>
  <c r="F214" i="14"/>
  <c r="F253" i="14" s="1"/>
  <c r="E214" i="14"/>
  <c r="D214" i="14"/>
  <c r="V213" i="14"/>
  <c r="V252" i="14" s="1"/>
  <c r="U213" i="14"/>
  <c r="U252" i="14" s="1"/>
  <c r="T213" i="14"/>
  <c r="T252" i="14" s="1"/>
  <c r="S213" i="14"/>
  <c r="S252" i="14" s="1"/>
  <c r="R213" i="14"/>
  <c r="R252" i="14" s="1"/>
  <c r="Q213" i="14"/>
  <c r="Q252" i="14" s="1"/>
  <c r="P213" i="14"/>
  <c r="O213" i="14"/>
  <c r="N213" i="14"/>
  <c r="M213" i="14"/>
  <c r="L213" i="14"/>
  <c r="K213" i="14"/>
  <c r="J213" i="14"/>
  <c r="I213" i="14"/>
  <c r="I252" i="14" s="1"/>
  <c r="H213" i="14"/>
  <c r="G213" i="14"/>
  <c r="F213" i="14"/>
  <c r="E213" i="14"/>
  <c r="D213" i="14"/>
  <c r="V212" i="14"/>
  <c r="U212" i="14"/>
  <c r="T212" i="14"/>
  <c r="T251" i="14" s="1"/>
  <c r="S212" i="14"/>
  <c r="S251" i="14" s="1"/>
  <c r="R212" i="14"/>
  <c r="Q212" i="14"/>
  <c r="P212" i="14"/>
  <c r="O212" i="14"/>
  <c r="N212" i="14"/>
  <c r="M212" i="14"/>
  <c r="L212" i="14"/>
  <c r="L251" i="14" s="1"/>
  <c r="K212" i="14"/>
  <c r="J212" i="14"/>
  <c r="I212" i="14"/>
  <c r="I251" i="14" s="1"/>
  <c r="H212" i="14"/>
  <c r="G212" i="14"/>
  <c r="F212" i="14"/>
  <c r="E212" i="14"/>
  <c r="D212" i="14"/>
  <c r="D251" i="14" s="1"/>
  <c r="V211" i="14"/>
  <c r="U211" i="14"/>
  <c r="T211" i="14"/>
  <c r="T250" i="14" s="1"/>
  <c r="S211" i="14"/>
  <c r="R211" i="14"/>
  <c r="Q211" i="14"/>
  <c r="P211" i="14"/>
  <c r="O211" i="14"/>
  <c r="O250" i="14" s="1"/>
  <c r="N211" i="14"/>
  <c r="M211" i="14"/>
  <c r="L211" i="14"/>
  <c r="K211" i="14"/>
  <c r="J211" i="14"/>
  <c r="I211" i="14"/>
  <c r="H211" i="14"/>
  <c r="G211" i="14"/>
  <c r="G250" i="14" s="1"/>
  <c r="F211" i="14"/>
  <c r="E211" i="14"/>
  <c r="D211" i="14"/>
  <c r="V210" i="14"/>
  <c r="U210" i="14"/>
  <c r="U249" i="14" s="1"/>
  <c r="T210" i="14"/>
  <c r="T249" i="14" s="1"/>
  <c r="S210" i="14"/>
  <c r="S249" i="14" s="1"/>
  <c r="R210" i="14"/>
  <c r="R249" i="14" s="1"/>
  <c r="Q210" i="14"/>
  <c r="Q249" i="14" s="1"/>
  <c r="P210" i="14"/>
  <c r="O210" i="14"/>
  <c r="N210" i="14"/>
  <c r="M210" i="14"/>
  <c r="L210" i="14"/>
  <c r="L249" i="14" s="1"/>
  <c r="K210" i="14"/>
  <c r="K249" i="14" s="1"/>
  <c r="J210" i="14"/>
  <c r="I210" i="14"/>
  <c r="I249" i="14" s="1"/>
  <c r="H210" i="14"/>
  <c r="H249" i="14" s="1"/>
  <c r="G210" i="14"/>
  <c r="G249" i="14" s="1"/>
  <c r="F210" i="14"/>
  <c r="E210" i="14"/>
  <c r="E249" i="14" s="1"/>
  <c r="D210" i="14"/>
  <c r="D249" i="14" s="1"/>
  <c r="V209" i="14"/>
  <c r="U209" i="14"/>
  <c r="U248" i="14" s="1"/>
  <c r="T209" i="14"/>
  <c r="T248" i="14" s="1"/>
  <c r="S209" i="14"/>
  <c r="R209" i="14"/>
  <c r="R248" i="14" s="1"/>
  <c r="Q209" i="14"/>
  <c r="P209" i="14"/>
  <c r="O209" i="14"/>
  <c r="N209" i="14"/>
  <c r="M209" i="14"/>
  <c r="M248" i="14" s="1"/>
  <c r="L209" i="14"/>
  <c r="K209" i="14"/>
  <c r="J209" i="14"/>
  <c r="J248" i="14" s="1"/>
  <c r="I209" i="14"/>
  <c r="H209" i="14"/>
  <c r="G209" i="14"/>
  <c r="F209" i="14"/>
  <c r="E209" i="14"/>
  <c r="E248" i="14" s="1"/>
  <c r="D209" i="14"/>
  <c r="V208" i="14"/>
  <c r="U208" i="14"/>
  <c r="U247" i="14" s="1"/>
  <c r="T208" i="14"/>
  <c r="T247" i="14" s="1"/>
  <c r="S208" i="14"/>
  <c r="S247" i="14" s="1"/>
  <c r="R208" i="14"/>
  <c r="R247" i="14" s="1"/>
  <c r="Q208" i="14"/>
  <c r="Q247" i="14" s="1"/>
  <c r="P208" i="14"/>
  <c r="P247" i="14" s="1"/>
  <c r="O208" i="14"/>
  <c r="N208" i="14"/>
  <c r="N247" i="14" s="1"/>
  <c r="M208" i="14"/>
  <c r="L208" i="14"/>
  <c r="K208" i="14"/>
  <c r="J208" i="14"/>
  <c r="I208" i="14"/>
  <c r="H208" i="14"/>
  <c r="G208" i="14"/>
  <c r="F208" i="14"/>
  <c r="E208" i="14"/>
  <c r="D208" i="14"/>
  <c r="V207" i="14"/>
  <c r="U207" i="14"/>
  <c r="T207" i="14"/>
  <c r="S207" i="14"/>
  <c r="S246" i="14" s="1"/>
  <c r="R207" i="14"/>
  <c r="R246" i="14" s="1"/>
  <c r="Q207" i="14"/>
  <c r="P207" i="14"/>
  <c r="P246" i="14" s="1"/>
  <c r="O207" i="14"/>
  <c r="N207" i="14"/>
  <c r="M207" i="14"/>
  <c r="L207" i="14"/>
  <c r="K207" i="14"/>
  <c r="K246" i="14" s="1"/>
  <c r="J207" i="14"/>
  <c r="I207" i="14"/>
  <c r="H207" i="14"/>
  <c r="H246" i="14" s="1"/>
  <c r="G207" i="14"/>
  <c r="F207" i="14"/>
  <c r="E207" i="14"/>
  <c r="D207" i="14"/>
  <c r="V206" i="14"/>
  <c r="U206" i="14"/>
  <c r="T206" i="14"/>
  <c r="S206" i="14"/>
  <c r="S245" i="14" s="1"/>
  <c r="R206" i="14"/>
  <c r="Q206" i="14"/>
  <c r="P206" i="14"/>
  <c r="O206" i="14"/>
  <c r="N206" i="14"/>
  <c r="M206" i="14"/>
  <c r="L206" i="14"/>
  <c r="K206" i="14"/>
  <c r="J206" i="14"/>
  <c r="I206" i="14"/>
  <c r="H206" i="14"/>
  <c r="G206" i="14"/>
  <c r="F206" i="14"/>
  <c r="E206" i="14"/>
  <c r="E235" i="14" s="1"/>
  <c r="D206" i="14"/>
  <c r="S196" i="14"/>
  <c r="Q196" i="14"/>
  <c r="O196" i="14"/>
  <c r="L196" i="14"/>
  <c r="K196" i="14"/>
  <c r="P195" i="14"/>
  <c r="S194" i="14"/>
  <c r="Q194" i="14"/>
  <c r="U193" i="14"/>
  <c r="T193" i="14"/>
  <c r="Q193" i="14"/>
  <c r="L193" i="14"/>
  <c r="J193" i="14"/>
  <c r="E193" i="14"/>
  <c r="D193" i="14"/>
  <c r="V189" i="14"/>
  <c r="T189" i="14"/>
  <c r="Q189" i="14"/>
  <c r="P189" i="14"/>
  <c r="N189" i="14"/>
  <c r="M189" i="14"/>
  <c r="H189" i="14"/>
  <c r="F189" i="14"/>
  <c r="E189" i="14"/>
  <c r="D189" i="14"/>
  <c r="U188" i="14"/>
  <c r="E188" i="14"/>
  <c r="V187" i="14"/>
  <c r="F187" i="14"/>
  <c r="Q186" i="14"/>
  <c r="T185" i="14"/>
  <c r="I184" i="14"/>
  <c r="V183" i="14"/>
  <c r="S183" i="14"/>
  <c r="O182" i="14"/>
  <c r="M182" i="14"/>
  <c r="V180" i="14"/>
  <c r="U180" i="14"/>
  <c r="T180" i="14"/>
  <c r="S180" i="14"/>
  <c r="Q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D180" i="14"/>
  <c r="R179" i="14"/>
  <c r="V178" i="14"/>
  <c r="E178" i="14"/>
  <c r="V175" i="14"/>
  <c r="U175" i="14"/>
  <c r="I175" i="14"/>
  <c r="M174" i="14"/>
  <c r="K174" i="14"/>
  <c r="O173" i="14"/>
  <c r="R172" i="14"/>
  <c r="Q172" i="14"/>
  <c r="O172" i="14"/>
  <c r="I172" i="14"/>
  <c r="H172" i="14"/>
  <c r="K171" i="14"/>
  <c r="U170" i="14"/>
  <c r="S170" i="14"/>
  <c r="O170" i="14"/>
  <c r="N170" i="14"/>
  <c r="D170" i="14"/>
  <c r="G159" i="14"/>
  <c r="V158" i="14"/>
  <c r="V196" i="14" s="1"/>
  <c r="U158" i="14"/>
  <c r="U196" i="14" s="1"/>
  <c r="T158" i="14"/>
  <c r="T196" i="14" s="1"/>
  <c r="S158" i="14"/>
  <c r="R158" i="14"/>
  <c r="R196" i="14" s="1"/>
  <c r="Q158" i="14"/>
  <c r="P158" i="14"/>
  <c r="P196" i="14" s="1"/>
  <c r="O158" i="14"/>
  <c r="N158" i="14"/>
  <c r="N196" i="14" s="1"/>
  <c r="M158" i="14"/>
  <c r="M196" i="14" s="1"/>
  <c r="L158" i="14"/>
  <c r="K158" i="14"/>
  <c r="J158" i="14"/>
  <c r="J196" i="14" s="1"/>
  <c r="I158" i="14"/>
  <c r="H158" i="14"/>
  <c r="G158" i="14"/>
  <c r="F158" i="14"/>
  <c r="E158" i="14"/>
  <c r="E196" i="14" s="1"/>
  <c r="D158" i="14"/>
  <c r="V157" i="14"/>
  <c r="U157" i="14"/>
  <c r="T157" i="14"/>
  <c r="S157" i="14"/>
  <c r="R157" i="14"/>
  <c r="Q157" i="14"/>
  <c r="Q195" i="14" s="1"/>
  <c r="P157" i="14"/>
  <c r="O157" i="14"/>
  <c r="N157" i="14"/>
  <c r="N195" i="14" s="1"/>
  <c r="M157" i="14"/>
  <c r="M195" i="14" s="1"/>
  <c r="L157" i="14"/>
  <c r="K157" i="14"/>
  <c r="J157" i="14"/>
  <c r="I157" i="14"/>
  <c r="H157" i="14"/>
  <c r="H195" i="14" s="1"/>
  <c r="G157" i="14"/>
  <c r="F157" i="14"/>
  <c r="F195" i="14" s="1"/>
  <c r="E157" i="14"/>
  <c r="D157" i="14"/>
  <c r="V156" i="14"/>
  <c r="U156" i="14"/>
  <c r="T156" i="14"/>
  <c r="T194" i="14" s="1"/>
  <c r="S156" i="14"/>
  <c r="R156" i="14"/>
  <c r="Q156" i="14"/>
  <c r="P156" i="14"/>
  <c r="P194" i="14" s="1"/>
  <c r="O156" i="14"/>
  <c r="N156" i="14"/>
  <c r="M156" i="14"/>
  <c r="L156" i="14"/>
  <c r="K156" i="14"/>
  <c r="K194" i="14" s="1"/>
  <c r="J156" i="14"/>
  <c r="I156" i="14"/>
  <c r="I194" i="14" s="1"/>
  <c r="H156" i="14"/>
  <c r="G156" i="14"/>
  <c r="F156" i="14"/>
  <c r="E156" i="14"/>
  <c r="D156" i="14"/>
  <c r="D194" i="14" s="1"/>
  <c r="V155" i="14"/>
  <c r="V193" i="14" s="1"/>
  <c r="U155" i="14"/>
  <c r="T155" i="14"/>
  <c r="S155" i="14"/>
  <c r="S193" i="14" s="1"/>
  <c r="R155" i="14"/>
  <c r="R193" i="14" s="1"/>
  <c r="Q155" i="14"/>
  <c r="P155" i="14"/>
  <c r="P193" i="14" s="1"/>
  <c r="O155" i="14"/>
  <c r="O193" i="14" s="1"/>
  <c r="N155" i="14"/>
  <c r="N193" i="14" s="1"/>
  <c r="M155" i="14"/>
  <c r="M193" i="14" s="1"/>
  <c r="L155" i="14"/>
  <c r="K155" i="14"/>
  <c r="K193" i="14" s="1"/>
  <c r="J155" i="14"/>
  <c r="I155" i="14"/>
  <c r="I193" i="14" s="1"/>
  <c r="H155" i="14"/>
  <c r="H193" i="14" s="1"/>
  <c r="G155" i="14"/>
  <c r="G193" i="14" s="1"/>
  <c r="F155" i="14"/>
  <c r="F193" i="14" s="1"/>
  <c r="E155" i="14"/>
  <c r="D155" i="14"/>
  <c r="V154" i="14"/>
  <c r="V192" i="14" s="1"/>
  <c r="U154" i="14"/>
  <c r="T154" i="14"/>
  <c r="S154" i="14"/>
  <c r="R154" i="14"/>
  <c r="Q154" i="14"/>
  <c r="Q192" i="14" s="1"/>
  <c r="P154" i="14"/>
  <c r="O154" i="14"/>
  <c r="N154" i="14"/>
  <c r="M154" i="14"/>
  <c r="L154" i="14"/>
  <c r="K154" i="14"/>
  <c r="J154" i="14"/>
  <c r="J192" i="14" s="1"/>
  <c r="I154" i="14"/>
  <c r="I192" i="14" s="1"/>
  <c r="H154" i="14"/>
  <c r="G154" i="14"/>
  <c r="G192" i="14" s="1"/>
  <c r="F154" i="14"/>
  <c r="F192" i="14" s="1"/>
  <c r="E154" i="14"/>
  <c r="D154" i="14"/>
  <c r="V153" i="14"/>
  <c r="U153" i="14"/>
  <c r="T153" i="14"/>
  <c r="T191" i="14" s="1"/>
  <c r="S153" i="14"/>
  <c r="R153" i="14"/>
  <c r="R191" i="14" s="1"/>
  <c r="Q153" i="14"/>
  <c r="P153" i="14"/>
  <c r="O153" i="14"/>
  <c r="N153" i="14"/>
  <c r="M153" i="14"/>
  <c r="M191" i="14" s="1"/>
  <c r="L153" i="14"/>
  <c r="L191" i="14" s="1"/>
  <c r="K153" i="14"/>
  <c r="J153" i="14"/>
  <c r="J191" i="14" s="1"/>
  <c r="I153" i="14"/>
  <c r="I191" i="14" s="1"/>
  <c r="H153" i="14"/>
  <c r="G153" i="14"/>
  <c r="F153" i="14"/>
  <c r="E153" i="14"/>
  <c r="D153" i="14"/>
  <c r="D191" i="14" s="1"/>
  <c r="V152" i="14"/>
  <c r="U152" i="14"/>
  <c r="U190" i="14" s="1"/>
  <c r="T152" i="14"/>
  <c r="S152" i="14"/>
  <c r="R152" i="14"/>
  <c r="Q152" i="14"/>
  <c r="P152" i="14"/>
  <c r="P190" i="14" s="1"/>
  <c r="O152" i="14"/>
  <c r="O190" i="14" s="1"/>
  <c r="N152" i="14"/>
  <c r="M152" i="14"/>
  <c r="L152" i="14"/>
  <c r="L190" i="14" s="1"/>
  <c r="K152" i="14"/>
  <c r="J152" i="14"/>
  <c r="I152" i="14"/>
  <c r="H152" i="14"/>
  <c r="G152" i="14"/>
  <c r="G190" i="14" s="1"/>
  <c r="F152" i="14"/>
  <c r="E152" i="14"/>
  <c r="D152" i="14"/>
  <c r="V151" i="14"/>
  <c r="U151" i="14"/>
  <c r="U189" i="14" s="1"/>
  <c r="T151" i="14"/>
  <c r="S151" i="14"/>
  <c r="S189" i="14" s="1"/>
  <c r="R151" i="14"/>
  <c r="R189" i="14" s="1"/>
  <c r="Q151" i="14"/>
  <c r="P151" i="14"/>
  <c r="O151" i="14"/>
  <c r="O189" i="14" s="1"/>
  <c r="N151" i="14"/>
  <c r="M151" i="14"/>
  <c r="L151" i="14"/>
  <c r="L189" i="14" s="1"/>
  <c r="K151" i="14"/>
  <c r="K189" i="14" s="1"/>
  <c r="J151" i="14"/>
  <c r="J189" i="14" s="1"/>
  <c r="I151" i="14"/>
  <c r="I189" i="14" s="1"/>
  <c r="H151" i="14"/>
  <c r="G151" i="14"/>
  <c r="G189" i="14" s="1"/>
  <c r="F151" i="14"/>
  <c r="E151" i="14"/>
  <c r="D151" i="14"/>
  <c r="V150" i="14"/>
  <c r="V188" i="14" s="1"/>
  <c r="U150" i="14"/>
  <c r="T150" i="14"/>
  <c r="S150" i="14"/>
  <c r="S188" i="14" s="1"/>
  <c r="R150" i="14"/>
  <c r="R188" i="14" s="1"/>
  <c r="Q150" i="14"/>
  <c r="P150" i="14"/>
  <c r="O150" i="14"/>
  <c r="O188" i="14" s="1"/>
  <c r="N150" i="14"/>
  <c r="N188" i="14" s="1"/>
  <c r="M150" i="14"/>
  <c r="M188" i="14" s="1"/>
  <c r="L150" i="14"/>
  <c r="L188" i="14" s="1"/>
  <c r="K150" i="14"/>
  <c r="K188" i="14" s="1"/>
  <c r="J150" i="14"/>
  <c r="J188" i="14" s="1"/>
  <c r="I150" i="14"/>
  <c r="H150" i="14"/>
  <c r="G150" i="14"/>
  <c r="G188" i="14" s="1"/>
  <c r="F150" i="14"/>
  <c r="F188" i="14" s="1"/>
  <c r="E150" i="14"/>
  <c r="D150" i="14"/>
  <c r="V149" i="14"/>
  <c r="U149" i="14"/>
  <c r="U187" i="14" s="1"/>
  <c r="T149" i="14"/>
  <c r="S149" i="14"/>
  <c r="R149" i="14"/>
  <c r="Q149" i="14"/>
  <c r="P149" i="14"/>
  <c r="P187" i="14" s="1"/>
  <c r="O149" i="14"/>
  <c r="N149" i="14"/>
  <c r="N187" i="14" s="1"/>
  <c r="M149" i="14"/>
  <c r="L149" i="14"/>
  <c r="K149" i="14"/>
  <c r="J149" i="14"/>
  <c r="I149" i="14"/>
  <c r="I187" i="14" s="1"/>
  <c r="H149" i="14"/>
  <c r="H187" i="14" s="1"/>
  <c r="G149" i="14"/>
  <c r="F149" i="14"/>
  <c r="E149" i="14"/>
  <c r="E187" i="14" s="1"/>
  <c r="D149" i="14"/>
  <c r="V148" i="14"/>
  <c r="U148" i="14"/>
  <c r="T148" i="14"/>
  <c r="S148" i="14"/>
  <c r="S186" i="14" s="1"/>
  <c r="R148" i="14"/>
  <c r="Q148" i="14"/>
  <c r="P148" i="14"/>
  <c r="O148" i="14"/>
  <c r="N148" i="14"/>
  <c r="M148" i="14"/>
  <c r="L148" i="14"/>
  <c r="L186" i="14" s="1"/>
  <c r="K148" i="14"/>
  <c r="K186" i="14" s="1"/>
  <c r="J148" i="14"/>
  <c r="I148" i="14"/>
  <c r="H148" i="14"/>
  <c r="H186" i="14" s="1"/>
  <c r="G148" i="14"/>
  <c r="F148" i="14"/>
  <c r="E148" i="14"/>
  <c r="D148" i="14"/>
  <c r="V147" i="14"/>
  <c r="V185" i="14" s="1"/>
  <c r="U147" i="14"/>
  <c r="T147" i="14"/>
  <c r="S147" i="14"/>
  <c r="R147" i="14"/>
  <c r="Q147" i="14"/>
  <c r="P147" i="14"/>
  <c r="O147" i="14"/>
  <c r="O185" i="14" s="1"/>
  <c r="N147" i="14"/>
  <c r="N185" i="14" s="1"/>
  <c r="M147" i="14"/>
  <c r="L147" i="14"/>
  <c r="K147" i="14"/>
  <c r="K185" i="14" s="1"/>
  <c r="J147" i="14"/>
  <c r="I147" i="14"/>
  <c r="H147" i="14"/>
  <c r="G147" i="14"/>
  <c r="F147" i="14"/>
  <c r="F185" i="14" s="1"/>
  <c r="E147" i="14"/>
  <c r="D147" i="14"/>
  <c r="V146" i="14"/>
  <c r="U146" i="14"/>
  <c r="T146" i="14"/>
  <c r="S146" i="14"/>
  <c r="R146" i="14"/>
  <c r="R184" i="14" s="1"/>
  <c r="Q146" i="14"/>
  <c r="Q184" i="14" s="1"/>
  <c r="P146" i="14"/>
  <c r="O146" i="14"/>
  <c r="O184" i="14" s="1"/>
  <c r="N146" i="14"/>
  <c r="N184" i="14" s="1"/>
  <c r="M146" i="14"/>
  <c r="L146" i="14"/>
  <c r="K146" i="14"/>
  <c r="J146" i="14"/>
  <c r="I146" i="14"/>
  <c r="H146" i="14"/>
  <c r="G146" i="14"/>
  <c r="G184" i="14" s="1"/>
  <c r="F146" i="14"/>
  <c r="E146" i="14"/>
  <c r="D146" i="14"/>
  <c r="V145" i="14"/>
  <c r="U145" i="14"/>
  <c r="U183" i="14" s="1"/>
  <c r="T145" i="14"/>
  <c r="T183" i="14" s="1"/>
  <c r="S145" i="14"/>
  <c r="R145" i="14"/>
  <c r="R183" i="14" s="1"/>
  <c r="Q145" i="14"/>
  <c r="Q183" i="14" s="1"/>
  <c r="P145" i="14"/>
  <c r="O145" i="14"/>
  <c r="N145" i="14"/>
  <c r="M145" i="14"/>
  <c r="L145" i="14"/>
  <c r="L183" i="14" s="1"/>
  <c r="K145" i="14"/>
  <c r="J145" i="14"/>
  <c r="J183" i="14" s="1"/>
  <c r="I145" i="14"/>
  <c r="H145" i="14"/>
  <c r="G145" i="14"/>
  <c r="F145" i="14"/>
  <c r="E145" i="14"/>
  <c r="E183" i="14" s="1"/>
  <c r="D145" i="14"/>
  <c r="D183" i="14" s="1"/>
  <c r="V144" i="14"/>
  <c r="U144" i="14"/>
  <c r="U182" i="14" s="1"/>
  <c r="T144" i="14"/>
  <c r="T182" i="14" s="1"/>
  <c r="S144" i="14"/>
  <c r="R144" i="14"/>
  <c r="Q144" i="14"/>
  <c r="P144" i="14"/>
  <c r="O144" i="14"/>
  <c r="N144" i="14"/>
  <c r="M144" i="14"/>
  <c r="L144" i="14"/>
  <c r="K144" i="14"/>
  <c r="J144" i="14"/>
  <c r="I144" i="14"/>
  <c r="H144" i="14"/>
  <c r="H182" i="14" s="1"/>
  <c r="G144" i="14"/>
  <c r="G182" i="14" s="1"/>
  <c r="F144" i="14"/>
  <c r="E144" i="14"/>
  <c r="E182" i="14" s="1"/>
  <c r="D144" i="14"/>
  <c r="D182" i="14" s="1"/>
  <c r="V143" i="14"/>
  <c r="U143" i="14"/>
  <c r="T143" i="14"/>
  <c r="S143" i="14"/>
  <c r="R143" i="14"/>
  <c r="R181" i="14" s="1"/>
  <c r="Q143" i="14"/>
  <c r="P143" i="14"/>
  <c r="P181" i="14" s="1"/>
  <c r="O143" i="14"/>
  <c r="N143" i="14"/>
  <c r="M143" i="14"/>
  <c r="L143" i="14"/>
  <c r="K143" i="14"/>
  <c r="K181" i="14" s="1"/>
  <c r="J143" i="14"/>
  <c r="J181" i="14" s="1"/>
  <c r="I143" i="14"/>
  <c r="H143" i="14"/>
  <c r="G143" i="14"/>
  <c r="G181" i="14" s="1"/>
  <c r="F143" i="14"/>
  <c r="E143" i="14"/>
  <c r="D143" i="14"/>
  <c r="R142" i="14"/>
  <c r="R180" i="14" s="1"/>
  <c r="V141" i="14"/>
  <c r="U141" i="14"/>
  <c r="U179" i="14" s="1"/>
  <c r="T141" i="14"/>
  <c r="S141" i="14"/>
  <c r="S179" i="14" s="1"/>
  <c r="R141" i="14"/>
  <c r="Q141" i="14"/>
  <c r="P141" i="14"/>
  <c r="O141" i="14"/>
  <c r="O179" i="14" s="1"/>
  <c r="N141" i="14"/>
  <c r="M141" i="14"/>
  <c r="L141" i="14"/>
  <c r="K141" i="14"/>
  <c r="K179" i="14" s="1"/>
  <c r="J141" i="14"/>
  <c r="J179" i="14" s="1"/>
  <c r="I141" i="14"/>
  <c r="H141" i="14"/>
  <c r="G141" i="14"/>
  <c r="F141" i="14"/>
  <c r="E141" i="14"/>
  <c r="E179" i="14" s="1"/>
  <c r="D141" i="14"/>
  <c r="V140" i="14"/>
  <c r="U140" i="14"/>
  <c r="U178" i="14" s="1"/>
  <c r="T140" i="14"/>
  <c r="S140" i="14"/>
  <c r="R140" i="14"/>
  <c r="R178" i="14" s="1"/>
  <c r="Q140" i="14"/>
  <c r="P140" i="14"/>
  <c r="O140" i="14"/>
  <c r="N140" i="14"/>
  <c r="N178" i="14" s="1"/>
  <c r="M140" i="14"/>
  <c r="M178" i="14" s="1"/>
  <c r="L140" i="14"/>
  <c r="K140" i="14"/>
  <c r="J140" i="14"/>
  <c r="I140" i="14"/>
  <c r="H140" i="14"/>
  <c r="H178" i="14" s="1"/>
  <c r="G140" i="14"/>
  <c r="F140" i="14"/>
  <c r="E140" i="14"/>
  <c r="D140" i="14"/>
  <c r="V139" i="14"/>
  <c r="U139" i="14"/>
  <c r="U177" i="14" s="1"/>
  <c r="T139" i="14"/>
  <c r="S139" i="14"/>
  <c r="R139" i="14"/>
  <c r="Q139" i="14"/>
  <c r="Q177" i="14" s="1"/>
  <c r="P139" i="14"/>
  <c r="O139" i="14"/>
  <c r="N139" i="14"/>
  <c r="M139" i="14"/>
  <c r="L139" i="14"/>
  <c r="K139" i="14"/>
  <c r="K177" i="14" s="1"/>
  <c r="J139" i="14"/>
  <c r="I139" i="14"/>
  <c r="H139" i="14"/>
  <c r="G139" i="14"/>
  <c r="F139" i="14"/>
  <c r="E139" i="14"/>
  <c r="D139" i="14"/>
  <c r="V138" i="14"/>
  <c r="U138" i="14"/>
  <c r="T138" i="14"/>
  <c r="T176" i="14" s="1"/>
  <c r="S138" i="14"/>
  <c r="R138" i="14"/>
  <c r="Q138" i="14"/>
  <c r="P138" i="14"/>
  <c r="O138" i="14"/>
  <c r="N138" i="14"/>
  <c r="N176" i="14" s="1"/>
  <c r="M138" i="14"/>
  <c r="L138" i="14"/>
  <c r="K138" i="14"/>
  <c r="J138" i="14"/>
  <c r="I138" i="14"/>
  <c r="H138" i="14"/>
  <c r="H176" i="14" s="1"/>
  <c r="G138" i="14"/>
  <c r="F138" i="14"/>
  <c r="E138" i="14"/>
  <c r="E176" i="14" s="1"/>
  <c r="D138" i="14"/>
  <c r="D176" i="14" s="1"/>
  <c r="V137" i="14"/>
  <c r="U137" i="14"/>
  <c r="T137" i="14"/>
  <c r="T175" i="14" s="1"/>
  <c r="S137" i="14"/>
  <c r="S175" i="14" s="1"/>
  <c r="R137" i="14"/>
  <c r="R175" i="14" s="1"/>
  <c r="Q137" i="14"/>
  <c r="Q175" i="14" s="1"/>
  <c r="P137" i="14"/>
  <c r="P175" i="14" s="1"/>
  <c r="O137" i="14"/>
  <c r="O175" i="14" s="1"/>
  <c r="N137" i="14"/>
  <c r="M137" i="14"/>
  <c r="L137" i="14"/>
  <c r="K137" i="14"/>
  <c r="J137" i="14"/>
  <c r="I137" i="14"/>
  <c r="H137" i="14"/>
  <c r="H175" i="14" s="1"/>
  <c r="G137" i="14"/>
  <c r="G175" i="14" s="1"/>
  <c r="F137" i="14"/>
  <c r="E137" i="14"/>
  <c r="D137" i="14"/>
  <c r="V136" i="14"/>
  <c r="U136" i="14"/>
  <c r="T136" i="14"/>
  <c r="T174" i="14" s="1"/>
  <c r="S136" i="14"/>
  <c r="R136" i="14"/>
  <c r="R174" i="14" s="1"/>
  <c r="Q136" i="14"/>
  <c r="Q174" i="14" s="1"/>
  <c r="P136" i="14"/>
  <c r="O136" i="14"/>
  <c r="N136" i="14"/>
  <c r="N174" i="14" s="1"/>
  <c r="M136" i="14"/>
  <c r="L136" i="14"/>
  <c r="K136" i="14"/>
  <c r="J136" i="14"/>
  <c r="J174" i="14" s="1"/>
  <c r="I136" i="14"/>
  <c r="I174" i="14" s="1"/>
  <c r="H136" i="14"/>
  <c r="G136" i="14"/>
  <c r="F136" i="14"/>
  <c r="E136" i="14"/>
  <c r="D136" i="14"/>
  <c r="D174" i="14" s="1"/>
  <c r="V135" i="14"/>
  <c r="U135" i="14"/>
  <c r="U173" i="14" s="1"/>
  <c r="T135" i="14"/>
  <c r="T173" i="14" s="1"/>
  <c r="S135" i="14"/>
  <c r="R135" i="14"/>
  <c r="Q135" i="14"/>
  <c r="Q173" i="14" s="1"/>
  <c r="P135" i="14"/>
  <c r="O135" i="14"/>
  <c r="N135" i="14"/>
  <c r="N173" i="14" s="1"/>
  <c r="M135" i="14"/>
  <c r="M173" i="14" s="1"/>
  <c r="L135" i="14"/>
  <c r="L173" i="14" s="1"/>
  <c r="K135" i="14"/>
  <c r="J135" i="14"/>
  <c r="I135" i="14"/>
  <c r="H135" i="14"/>
  <c r="G135" i="14"/>
  <c r="G173" i="14" s="1"/>
  <c r="F135" i="14"/>
  <c r="E135" i="14"/>
  <c r="E173" i="14" s="1"/>
  <c r="D135" i="14"/>
  <c r="D173" i="14" s="1"/>
  <c r="V134" i="14"/>
  <c r="V172" i="14" s="1"/>
  <c r="U134" i="14"/>
  <c r="U172" i="14" s="1"/>
  <c r="T134" i="14"/>
  <c r="T172" i="14" s="1"/>
  <c r="S134" i="14"/>
  <c r="S172" i="14" s="1"/>
  <c r="R134" i="14"/>
  <c r="Q134" i="14"/>
  <c r="P134" i="14"/>
  <c r="P172" i="14" s="1"/>
  <c r="O134" i="14"/>
  <c r="N134" i="14"/>
  <c r="N172" i="14" s="1"/>
  <c r="M134" i="14"/>
  <c r="M172" i="14" s="1"/>
  <c r="L134" i="14"/>
  <c r="L172" i="14" s="1"/>
  <c r="K134" i="14"/>
  <c r="K172" i="14" s="1"/>
  <c r="J134" i="14"/>
  <c r="J172" i="14" s="1"/>
  <c r="I134" i="14"/>
  <c r="H134" i="14"/>
  <c r="G134" i="14"/>
  <c r="G172" i="14" s="1"/>
  <c r="F134" i="14"/>
  <c r="F172" i="14" s="1"/>
  <c r="E134" i="14"/>
  <c r="E172" i="14" s="1"/>
  <c r="D134" i="14"/>
  <c r="D172" i="14" s="1"/>
  <c r="V133" i="14"/>
  <c r="U133" i="14"/>
  <c r="T133" i="14"/>
  <c r="S133" i="14"/>
  <c r="S171" i="14" s="1"/>
  <c r="R133" i="14"/>
  <c r="R171" i="14" s="1"/>
  <c r="Q133" i="14"/>
  <c r="P133" i="14"/>
  <c r="O133" i="14"/>
  <c r="N133" i="14"/>
  <c r="M133" i="14"/>
  <c r="M171" i="14" s="1"/>
  <c r="L133" i="14"/>
  <c r="K133" i="14"/>
  <c r="J133" i="14"/>
  <c r="I133" i="14"/>
  <c r="H133" i="14"/>
  <c r="G133" i="14"/>
  <c r="G171" i="14" s="1"/>
  <c r="F133" i="14"/>
  <c r="E133" i="14"/>
  <c r="D133" i="14"/>
  <c r="V132" i="14"/>
  <c r="V170" i="14" s="1"/>
  <c r="U132" i="14"/>
  <c r="T132" i="14"/>
  <c r="T170" i="14" s="1"/>
  <c r="S132" i="14"/>
  <c r="R132" i="14"/>
  <c r="R170" i="14" s="1"/>
  <c r="Q132" i="14"/>
  <c r="Q170" i="14" s="1"/>
  <c r="P132" i="14"/>
  <c r="P170" i="14" s="1"/>
  <c r="O132" i="14"/>
  <c r="N132" i="14"/>
  <c r="M132" i="14"/>
  <c r="L132" i="14"/>
  <c r="K132" i="14"/>
  <c r="J132" i="14"/>
  <c r="J170" i="14" s="1"/>
  <c r="I132" i="14"/>
  <c r="H132" i="14"/>
  <c r="G132" i="14"/>
  <c r="F132" i="14"/>
  <c r="F170" i="14" s="1"/>
  <c r="E132" i="14"/>
  <c r="D132" i="14"/>
  <c r="V131" i="14"/>
  <c r="U131" i="14"/>
  <c r="T131" i="14"/>
  <c r="S131" i="14"/>
  <c r="R131" i="14"/>
  <c r="Q131" i="14"/>
  <c r="P131" i="14"/>
  <c r="O131" i="14"/>
  <c r="N131" i="14"/>
  <c r="M131" i="14"/>
  <c r="M169" i="14" s="1"/>
  <c r="L131" i="14"/>
  <c r="K131" i="14"/>
  <c r="J131" i="14"/>
  <c r="J169" i="14" s="1"/>
  <c r="I131" i="14"/>
  <c r="I169" i="14" s="1"/>
  <c r="H131" i="14"/>
  <c r="G131" i="14"/>
  <c r="F131" i="14"/>
  <c r="E131" i="14"/>
  <c r="D131" i="14"/>
  <c r="V130" i="14"/>
  <c r="U130" i="14"/>
  <c r="T130" i="14"/>
  <c r="T168" i="14" s="1"/>
  <c r="S130" i="14"/>
  <c r="R130" i="14"/>
  <c r="Q130" i="14"/>
  <c r="P130" i="14"/>
  <c r="P168" i="14" s="1"/>
  <c r="O130" i="14"/>
  <c r="N130" i="14"/>
  <c r="M130" i="14"/>
  <c r="L130" i="14"/>
  <c r="K130" i="14"/>
  <c r="J130" i="14"/>
  <c r="I130" i="14"/>
  <c r="H130" i="14"/>
  <c r="G130" i="14"/>
  <c r="F130" i="14"/>
  <c r="E130" i="14"/>
  <c r="D130" i="14"/>
  <c r="D168" i="14" s="1"/>
  <c r="U119" i="14"/>
  <c r="S119" i="14"/>
  <c r="R119" i="14"/>
  <c r="M119" i="14"/>
  <c r="K119" i="14"/>
  <c r="J119" i="14"/>
  <c r="E119" i="14"/>
  <c r="V118" i="14"/>
  <c r="U118" i="14"/>
  <c r="N118" i="14"/>
  <c r="M118" i="14"/>
  <c r="F118" i="14"/>
  <c r="E118" i="14"/>
  <c r="T117" i="14"/>
  <c r="Q117" i="14"/>
  <c r="P117" i="14"/>
  <c r="H117" i="14"/>
  <c r="V116" i="14"/>
  <c r="T116" i="14"/>
  <c r="S116" i="14"/>
  <c r="R116" i="14"/>
  <c r="P116" i="14"/>
  <c r="G116" i="14"/>
  <c r="I115" i="14"/>
  <c r="G115" i="14"/>
  <c r="V114" i="14"/>
  <c r="T114" i="14"/>
  <c r="L114" i="14"/>
  <c r="I114" i="14"/>
  <c r="D114" i="14"/>
  <c r="U113" i="14"/>
  <c r="O113" i="14"/>
  <c r="M113" i="14"/>
  <c r="G113" i="14"/>
  <c r="E113" i="14"/>
  <c r="D113" i="14"/>
  <c r="R112" i="14"/>
  <c r="P112" i="14"/>
  <c r="O112" i="14"/>
  <c r="J112" i="14"/>
  <c r="H112" i="14"/>
  <c r="G112" i="14"/>
  <c r="F112" i="14"/>
  <c r="S111" i="14"/>
  <c r="R111" i="14"/>
  <c r="K111" i="14"/>
  <c r="J111" i="14"/>
  <c r="I111" i="14"/>
  <c r="V110" i="14"/>
  <c r="U110" i="14"/>
  <c r="M110" i="14"/>
  <c r="E110" i="14"/>
  <c r="S109" i="14"/>
  <c r="N109" i="14"/>
  <c r="L109" i="14"/>
  <c r="T108" i="14"/>
  <c r="P108" i="14"/>
  <c r="N108" i="14"/>
  <c r="F108" i="14"/>
  <c r="V107" i="14"/>
  <c r="Q107" i="14"/>
  <c r="I107" i="14"/>
  <c r="H107" i="14"/>
  <c r="F107" i="14"/>
  <c r="V106" i="14"/>
  <c r="U106" i="14"/>
  <c r="T106" i="14"/>
  <c r="L106" i="14"/>
  <c r="I106" i="14"/>
  <c r="D106" i="14"/>
  <c r="O105" i="14"/>
  <c r="N105" i="14"/>
  <c r="L105" i="14"/>
  <c r="I105" i="14"/>
  <c r="G105" i="14"/>
  <c r="R104" i="14"/>
  <c r="Q104" i="14"/>
  <c r="O104" i="14"/>
  <c r="J104" i="14"/>
  <c r="V103" i="14"/>
  <c r="U103" i="14"/>
  <c r="T103" i="14"/>
  <c r="S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U102" i="14"/>
  <c r="O102" i="14"/>
  <c r="E102" i="14"/>
  <c r="U101" i="14"/>
  <c r="H101" i="14"/>
  <c r="U100" i="14"/>
  <c r="K100" i="14"/>
  <c r="H100" i="14"/>
  <c r="N99" i="14"/>
  <c r="H99" i="14"/>
  <c r="S98" i="14"/>
  <c r="Q98" i="14"/>
  <c r="N98" i="14"/>
  <c r="T97" i="14"/>
  <c r="N97" i="14"/>
  <c r="D97" i="14"/>
  <c r="J96" i="14"/>
  <c r="G96" i="14"/>
  <c r="T95" i="14"/>
  <c r="O95" i="14"/>
  <c r="J95" i="14"/>
  <c r="G95" i="14"/>
  <c r="R94" i="14"/>
  <c r="M94" i="14"/>
  <c r="J94" i="14"/>
  <c r="U93" i="14"/>
  <c r="P93" i="14"/>
  <c r="K93" i="14"/>
  <c r="E93" i="14"/>
  <c r="S92" i="14"/>
  <c r="P92" i="14"/>
  <c r="V91" i="14"/>
  <c r="S91" i="14"/>
  <c r="K91" i="14"/>
  <c r="F91" i="14"/>
  <c r="R81" i="14"/>
  <c r="V80" i="14"/>
  <c r="V119" i="14" s="1"/>
  <c r="U80" i="14"/>
  <c r="T80" i="14"/>
  <c r="T119" i="14" s="1"/>
  <c r="S80" i="14"/>
  <c r="R80" i="14"/>
  <c r="Q80" i="14"/>
  <c r="Q119" i="14" s="1"/>
  <c r="P80" i="14"/>
  <c r="P119" i="14" s="1"/>
  <c r="O80" i="14"/>
  <c r="O119" i="14" s="1"/>
  <c r="N80" i="14"/>
  <c r="N119" i="14" s="1"/>
  <c r="M80" i="14"/>
  <c r="L80" i="14"/>
  <c r="L119" i="14" s="1"/>
  <c r="K80" i="14"/>
  <c r="J80" i="14"/>
  <c r="I80" i="14"/>
  <c r="H80" i="14"/>
  <c r="H119" i="14" s="1"/>
  <c r="G80" i="14"/>
  <c r="F80" i="14"/>
  <c r="E80" i="14"/>
  <c r="D80" i="14"/>
  <c r="V79" i="14"/>
  <c r="U79" i="14"/>
  <c r="T79" i="14"/>
  <c r="S79" i="14"/>
  <c r="R79" i="14"/>
  <c r="R118" i="14" s="1"/>
  <c r="Q79" i="14"/>
  <c r="P79" i="14"/>
  <c r="P118" i="14" s="1"/>
  <c r="O79" i="14"/>
  <c r="O118" i="14" s="1"/>
  <c r="N79" i="14"/>
  <c r="M79" i="14"/>
  <c r="L79" i="14"/>
  <c r="K79" i="14"/>
  <c r="K118" i="14" s="1"/>
  <c r="J79" i="14"/>
  <c r="I79" i="14"/>
  <c r="H79" i="14"/>
  <c r="H118" i="14" s="1"/>
  <c r="G79" i="14"/>
  <c r="F79" i="14"/>
  <c r="E79" i="14"/>
  <c r="D79" i="14"/>
  <c r="V78" i="14"/>
  <c r="V117" i="14" s="1"/>
  <c r="U78" i="14"/>
  <c r="T78" i="14"/>
  <c r="S78" i="14"/>
  <c r="S117" i="14" s="1"/>
  <c r="R78" i="14"/>
  <c r="R117" i="14" s="1"/>
  <c r="Q78" i="14"/>
  <c r="P78" i="14"/>
  <c r="O78" i="14"/>
  <c r="N78" i="14"/>
  <c r="N117" i="14" s="1"/>
  <c r="M78" i="14"/>
  <c r="L78" i="14"/>
  <c r="K78" i="14"/>
  <c r="K117" i="14" s="1"/>
  <c r="J78" i="14"/>
  <c r="I78" i="14"/>
  <c r="H78" i="14"/>
  <c r="G78" i="14"/>
  <c r="F78" i="14"/>
  <c r="F117" i="14" s="1"/>
  <c r="E78" i="14"/>
  <c r="E117" i="14" s="1"/>
  <c r="D78" i="14"/>
  <c r="V77" i="14"/>
  <c r="U77" i="14"/>
  <c r="U116" i="14" s="1"/>
  <c r="T77" i="14"/>
  <c r="S77" i="14"/>
  <c r="R77" i="14"/>
  <c r="Q77" i="14"/>
  <c r="Q116" i="14" s="1"/>
  <c r="P77" i="14"/>
  <c r="O77" i="14"/>
  <c r="O116" i="14" s="1"/>
  <c r="N77" i="14"/>
  <c r="N116" i="14" s="1"/>
  <c r="M77" i="14"/>
  <c r="M116" i="14" s="1"/>
  <c r="L77" i="14"/>
  <c r="L116" i="14" s="1"/>
  <c r="K77" i="14"/>
  <c r="K116" i="14" s="1"/>
  <c r="J77" i="14"/>
  <c r="J116" i="14" s="1"/>
  <c r="I77" i="14"/>
  <c r="I116" i="14" s="1"/>
  <c r="H77" i="14"/>
  <c r="H116" i="14" s="1"/>
  <c r="G77" i="14"/>
  <c r="F77" i="14"/>
  <c r="F116" i="14" s="1"/>
  <c r="E77" i="14"/>
  <c r="E116" i="14" s="1"/>
  <c r="D77" i="14"/>
  <c r="D116" i="14" s="1"/>
  <c r="V76" i="14"/>
  <c r="V115" i="14" s="1"/>
  <c r="U76" i="14"/>
  <c r="T76" i="14"/>
  <c r="T115" i="14" s="1"/>
  <c r="S76" i="14"/>
  <c r="S115" i="14" s="1"/>
  <c r="R76" i="14"/>
  <c r="R115" i="14" s="1"/>
  <c r="Q76" i="14"/>
  <c r="Q115" i="14" s="1"/>
  <c r="P76" i="14"/>
  <c r="O76" i="14"/>
  <c r="N76" i="14"/>
  <c r="N115" i="14" s="1"/>
  <c r="M76" i="14"/>
  <c r="L76" i="14"/>
  <c r="K76" i="14"/>
  <c r="J76" i="14"/>
  <c r="I76" i="14"/>
  <c r="H76" i="14"/>
  <c r="H115" i="14" s="1"/>
  <c r="G76" i="14"/>
  <c r="F76" i="14"/>
  <c r="F115" i="14" s="1"/>
  <c r="E76" i="14"/>
  <c r="D76" i="14"/>
  <c r="D115" i="14" s="1"/>
  <c r="V75" i="14"/>
  <c r="U75" i="14"/>
  <c r="U114" i="14" s="1"/>
  <c r="T75" i="14"/>
  <c r="S75" i="14"/>
  <c r="R75" i="14"/>
  <c r="Q75" i="14"/>
  <c r="Q114" i="14" s="1"/>
  <c r="P75" i="14"/>
  <c r="O75" i="14"/>
  <c r="N75" i="14"/>
  <c r="M75" i="14"/>
  <c r="L75" i="14"/>
  <c r="K75" i="14"/>
  <c r="K114" i="14" s="1"/>
  <c r="J75" i="14"/>
  <c r="J114" i="14" s="1"/>
  <c r="I75" i="14"/>
  <c r="H75" i="14"/>
  <c r="G75" i="14"/>
  <c r="G114" i="14" s="1"/>
  <c r="F75" i="14"/>
  <c r="F114" i="14" s="1"/>
  <c r="E75" i="14"/>
  <c r="D75" i="14"/>
  <c r="V74" i="14"/>
  <c r="U74" i="14"/>
  <c r="T74" i="14"/>
  <c r="T113" i="14" s="1"/>
  <c r="S74" i="14"/>
  <c r="R74" i="14"/>
  <c r="Q74" i="14"/>
  <c r="P74" i="14"/>
  <c r="O74" i="14"/>
  <c r="N74" i="14"/>
  <c r="N113" i="14" s="1"/>
  <c r="M74" i="14"/>
  <c r="L74" i="14"/>
  <c r="L113" i="14" s="1"/>
  <c r="K74" i="14"/>
  <c r="J74" i="14"/>
  <c r="J113" i="14" s="1"/>
  <c r="I74" i="14"/>
  <c r="H74" i="14"/>
  <c r="H113" i="14" s="1"/>
  <c r="G74" i="14"/>
  <c r="F74" i="14"/>
  <c r="E74" i="14"/>
  <c r="D74" i="14"/>
  <c r="V73" i="14"/>
  <c r="V112" i="14" s="1"/>
  <c r="U73" i="14"/>
  <c r="U112" i="14" s="1"/>
  <c r="T73" i="14"/>
  <c r="T112" i="14" s="1"/>
  <c r="S73" i="14"/>
  <c r="S112" i="14" s="1"/>
  <c r="R73" i="14"/>
  <c r="Q73" i="14"/>
  <c r="Q112" i="14" s="1"/>
  <c r="P73" i="14"/>
  <c r="O73" i="14"/>
  <c r="N73" i="14"/>
  <c r="N112" i="14" s="1"/>
  <c r="M73" i="14"/>
  <c r="M112" i="14" s="1"/>
  <c r="L73" i="14"/>
  <c r="L112" i="14" s="1"/>
  <c r="K73" i="14"/>
  <c r="K112" i="14" s="1"/>
  <c r="J73" i="14"/>
  <c r="I73" i="14"/>
  <c r="I112" i="14" s="1"/>
  <c r="H73" i="14"/>
  <c r="G73" i="14"/>
  <c r="F73" i="14"/>
  <c r="E73" i="14"/>
  <c r="E112" i="14" s="1"/>
  <c r="D73" i="14"/>
  <c r="D112" i="14" s="1"/>
  <c r="V72" i="14"/>
  <c r="U72" i="14"/>
  <c r="U111" i="14" s="1"/>
  <c r="T72" i="14"/>
  <c r="T111" i="14" s="1"/>
  <c r="S72" i="14"/>
  <c r="R72" i="14"/>
  <c r="Q72" i="14"/>
  <c r="P72" i="14"/>
  <c r="P111" i="14" s="1"/>
  <c r="O72" i="14"/>
  <c r="O111" i="14" s="1"/>
  <c r="N72" i="14"/>
  <c r="N111" i="14" s="1"/>
  <c r="M72" i="14"/>
  <c r="M111" i="14" s="1"/>
  <c r="L72" i="14"/>
  <c r="L111" i="14" s="1"/>
  <c r="K72" i="14"/>
  <c r="J72" i="14"/>
  <c r="I72" i="14"/>
  <c r="H72" i="14"/>
  <c r="H111" i="14" s="1"/>
  <c r="G72" i="14"/>
  <c r="G111" i="14" s="1"/>
  <c r="F72" i="14"/>
  <c r="F111" i="14" s="1"/>
  <c r="E72" i="14"/>
  <c r="E111" i="14" s="1"/>
  <c r="D72" i="14"/>
  <c r="D111" i="14" s="1"/>
  <c r="V71" i="14"/>
  <c r="U71" i="14"/>
  <c r="T71" i="14"/>
  <c r="S71" i="14"/>
  <c r="S110" i="14" s="1"/>
  <c r="R71" i="14"/>
  <c r="Q71" i="14"/>
  <c r="Q110" i="14" s="1"/>
  <c r="P71" i="14"/>
  <c r="P110" i="14" s="1"/>
  <c r="O71" i="14"/>
  <c r="N71" i="14"/>
  <c r="M71" i="14"/>
  <c r="L71" i="14"/>
  <c r="K71" i="14"/>
  <c r="K110" i="14" s="1"/>
  <c r="J71" i="14"/>
  <c r="J110" i="14" s="1"/>
  <c r="I71" i="14"/>
  <c r="H71" i="14"/>
  <c r="H110" i="14" s="1"/>
  <c r="G71" i="14"/>
  <c r="G110" i="14" s="1"/>
  <c r="F71" i="14"/>
  <c r="F110" i="14" s="1"/>
  <c r="E71" i="14"/>
  <c r="D71" i="14"/>
  <c r="V70" i="14"/>
  <c r="V109" i="14" s="1"/>
  <c r="U70" i="14"/>
  <c r="U109" i="14" s="1"/>
  <c r="T70" i="14"/>
  <c r="S70" i="14"/>
  <c r="R70" i="14"/>
  <c r="Q70" i="14"/>
  <c r="Q109" i="14" s="1"/>
  <c r="P70" i="14"/>
  <c r="P109" i="14" s="1"/>
  <c r="O70" i="14"/>
  <c r="O109" i="14" s="1"/>
  <c r="N70" i="14"/>
  <c r="M70" i="14"/>
  <c r="M109" i="14" s="1"/>
  <c r="L70" i="14"/>
  <c r="K70" i="14"/>
  <c r="K109" i="14" s="1"/>
  <c r="J70" i="14"/>
  <c r="J109" i="14" s="1"/>
  <c r="I70" i="14"/>
  <c r="I109" i="14" s="1"/>
  <c r="H70" i="14"/>
  <c r="H109" i="14" s="1"/>
  <c r="G70" i="14"/>
  <c r="F70" i="14"/>
  <c r="F109" i="14" s="1"/>
  <c r="E70" i="14"/>
  <c r="E109" i="14" s="1"/>
  <c r="D70" i="14"/>
  <c r="V69" i="14"/>
  <c r="V108" i="14" s="1"/>
  <c r="U69" i="14"/>
  <c r="T69" i="14"/>
  <c r="S69" i="14"/>
  <c r="S108" i="14" s="1"/>
  <c r="R69" i="14"/>
  <c r="Q69" i="14"/>
  <c r="Q108" i="14" s="1"/>
  <c r="P69" i="14"/>
  <c r="O69" i="14"/>
  <c r="N69" i="14"/>
  <c r="M69" i="14"/>
  <c r="M108" i="14" s="1"/>
  <c r="L69" i="14"/>
  <c r="K69" i="14"/>
  <c r="K108" i="14" s="1"/>
  <c r="J69" i="14"/>
  <c r="I69" i="14"/>
  <c r="I108" i="14" s="1"/>
  <c r="H69" i="14"/>
  <c r="G69" i="14"/>
  <c r="G108" i="14" s="1"/>
  <c r="F69" i="14"/>
  <c r="E69" i="14"/>
  <c r="D69" i="14"/>
  <c r="D108" i="14" s="1"/>
  <c r="V68" i="14"/>
  <c r="U68" i="14"/>
  <c r="T68" i="14"/>
  <c r="S68" i="14"/>
  <c r="S107" i="14" s="1"/>
  <c r="R68" i="14"/>
  <c r="R107" i="14" s="1"/>
  <c r="Q68" i="14"/>
  <c r="P68" i="14"/>
  <c r="P107" i="14" s="1"/>
  <c r="O68" i="14"/>
  <c r="O107" i="14" s="1"/>
  <c r="N68" i="14"/>
  <c r="N107" i="14" s="1"/>
  <c r="M68" i="14"/>
  <c r="L68" i="14"/>
  <c r="L107" i="14" s="1"/>
  <c r="K68" i="14"/>
  <c r="J68" i="14"/>
  <c r="I68" i="14"/>
  <c r="H68" i="14"/>
  <c r="G68" i="14"/>
  <c r="G107" i="14" s="1"/>
  <c r="F68" i="14"/>
  <c r="E68" i="14"/>
  <c r="D68" i="14"/>
  <c r="V67" i="14"/>
  <c r="U67" i="14"/>
  <c r="T67" i="14"/>
  <c r="S67" i="14"/>
  <c r="S106" i="14" s="1"/>
  <c r="R67" i="14"/>
  <c r="R106" i="14" s="1"/>
  <c r="Q67" i="14"/>
  <c r="Q106" i="14" s="1"/>
  <c r="P67" i="14"/>
  <c r="O67" i="14"/>
  <c r="O106" i="14" s="1"/>
  <c r="N67" i="14"/>
  <c r="M67" i="14"/>
  <c r="L67" i="14"/>
  <c r="K67" i="14"/>
  <c r="J67" i="14"/>
  <c r="J106" i="14" s="1"/>
  <c r="I67" i="14"/>
  <c r="H67" i="14"/>
  <c r="G67" i="14"/>
  <c r="F67" i="14"/>
  <c r="F106" i="14" s="1"/>
  <c r="E67" i="14"/>
  <c r="D67" i="14"/>
  <c r="V66" i="14"/>
  <c r="V105" i="14" s="1"/>
  <c r="U66" i="14"/>
  <c r="U105" i="14" s="1"/>
  <c r="T66" i="14"/>
  <c r="T105" i="14" s="1"/>
  <c r="S66" i="14"/>
  <c r="R66" i="14"/>
  <c r="R105" i="14" s="1"/>
  <c r="Q66" i="14"/>
  <c r="P66" i="14"/>
  <c r="O66" i="14"/>
  <c r="N66" i="14"/>
  <c r="M66" i="14"/>
  <c r="M105" i="14" s="1"/>
  <c r="L66" i="14"/>
  <c r="K66" i="14"/>
  <c r="J66" i="14"/>
  <c r="I66" i="14"/>
  <c r="H66" i="14"/>
  <c r="H105" i="14" s="1"/>
  <c r="G66" i="14"/>
  <c r="F66" i="14"/>
  <c r="F105" i="14" s="1"/>
  <c r="E66" i="14"/>
  <c r="E105" i="14" s="1"/>
  <c r="D66" i="14"/>
  <c r="D105" i="14" s="1"/>
  <c r="V65" i="14"/>
  <c r="U65" i="14"/>
  <c r="U104" i="14" s="1"/>
  <c r="T65" i="14"/>
  <c r="S65" i="14"/>
  <c r="R65" i="14"/>
  <c r="Q65" i="14"/>
  <c r="P65" i="14"/>
  <c r="P104" i="14" s="1"/>
  <c r="O65" i="14"/>
  <c r="N65" i="14"/>
  <c r="M65" i="14"/>
  <c r="L65" i="14"/>
  <c r="L104" i="14" s="1"/>
  <c r="K65" i="14"/>
  <c r="J65" i="14"/>
  <c r="I65" i="14"/>
  <c r="I104" i="14" s="1"/>
  <c r="H65" i="14"/>
  <c r="H104" i="14" s="1"/>
  <c r="G65" i="14"/>
  <c r="G104" i="14" s="1"/>
  <c r="F65" i="14"/>
  <c r="E65" i="14"/>
  <c r="E104" i="14" s="1"/>
  <c r="D65" i="14"/>
  <c r="R64" i="14"/>
  <c r="R103" i="14" s="1"/>
  <c r="V63" i="14"/>
  <c r="U63" i="14"/>
  <c r="T63" i="14"/>
  <c r="S63" i="14"/>
  <c r="S102" i="14" s="1"/>
  <c r="R63" i="14"/>
  <c r="R102" i="14" s="1"/>
  <c r="Q63" i="14"/>
  <c r="Q102" i="14" s="1"/>
  <c r="P63" i="14"/>
  <c r="P102" i="14" s="1"/>
  <c r="O63" i="14"/>
  <c r="N63" i="14"/>
  <c r="M63" i="14"/>
  <c r="M102" i="14" s="1"/>
  <c r="L63" i="14"/>
  <c r="L102" i="14" s="1"/>
  <c r="K63" i="14"/>
  <c r="K102" i="14" s="1"/>
  <c r="J63" i="14"/>
  <c r="J102" i="14" s="1"/>
  <c r="I63" i="14"/>
  <c r="I102" i="14" s="1"/>
  <c r="H63" i="14"/>
  <c r="H102" i="14" s="1"/>
  <c r="G63" i="14"/>
  <c r="F63" i="14"/>
  <c r="E63" i="14"/>
  <c r="D63" i="14"/>
  <c r="V62" i="14"/>
  <c r="V101" i="14" s="1"/>
  <c r="U62" i="14"/>
  <c r="T62" i="14"/>
  <c r="T101" i="14" s="1"/>
  <c r="S62" i="14"/>
  <c r="S101" i="14" s="1"/>
  <c r="R62" i="14"/>
  <c r="Q62" i="14"/>
  <c r="P62" i="14"/>
  <c r="P101" i="14" s="1"/>
  <c r="O62" i="14"/>
  <c r="O101" i="14" s="1"/>
  <c r="N62" i="14"/>
  <c r="N101" i="14" s="1"/>
  <c r="M62" i="14"/>
  <c r="M101" i="14" s="1"/>
  <c r="L62" i="14"/>
  <c r="L101" i="14" s="1"/>
  <c r="K62" i="14"/>
  <c r="K101" i="14" s="1"/>
  <c r="J62" i="14"/>
  <c r="J101" i="14" s="1"/>
  <c r="I62" i="14"/>
  <c r="H62" i="14"/>
  <c r="G62" i="14"/>
  <c r="F62" i="14"/>
  <c r="F101" i="14" s="1"/>
  <c r="E62" i="14"/>
  <c r="E101" i="14" s="1"/>
  <c r="D62" i="14"/>
  <c r="D101" i="14" s="1"/>
  <c r="V61" i="14"/>
  <c r="V100" i="14" s="1"/>
  <c r="U61" i="14"/>
  <c r="T61" i="14"/>
  <c r="S61" i="14"/>
  <c r="S100" i="14" s="1"/>
  <c r="R61" i="14"/>
  <c r="R100" i="14" s="1"/>
  <c r="Q61" i="14"/>
  <c r="Q100" i="14" s="1"/>
  <c r="P61" i="14"/>
  <c r="P100" i="14" s="1"/>
  <c r="O61" i="14"/>
  <c r="O100" i="14" s="1"/>
  <c r="N61" i="14"/>
  <c r="N100" i="14" s="1"/>
  <c r="M61" i="14"/>
  <c r="L61" i="14"/>
  <c r="K61" i="14"/>
  <c r="J61" i="14"/>
  <c r="I61" i="14"/>
  <c r="I100" i="14" s="1"/>
  <c r="H61" i="14"/>
  <c r="G61" i="14"/>
  <c r="G100" i="14" s="1"/>
  <c r="F61" i="14"/>
  <c r="F100" i="14" s="1"/>
  <c r="E61" i="14"/>
  <c r="D61" i="14"/>
  <c r="V60" i="14"/>
  <c r="V99" i="14" s="1"/>
  <c r="U60" i="14"/>
  <c r="U99" i="14" s="1"/>
  <c r="T60" i="14"/>
  <c r="T99" i="14" s="1"/>
  <c r="S60" i="14"/>
  <c r="S99" i="14" s="1"/>
  <c r="R60" i="14"/>
  <c r="R99" i="14" s="1"/>
  <c r="Q60" i="14"/>
  <c r="Q99" i="14" s="1"/>
  <c r="P60" i="14"/>
  <c r="P99" i="14" s="1"/>
  <c r="O60" i="14"/>
  <c r="N60" i="14"/>
  <c r="M60" i="14"/>
  <c r="L60" i="14"/>
  <c r="L99" i="14" s="1"/>
  <c r="K60" i="14"/>
  <c r="K99" i="14" s="1"/>
  <c r="J60" i="14"/>
  <c r="J99" i="14" s="1"/>
  <c r="I60" i="14"/>
  <c r="I99" i="14" s="1"/>
  <c r="H60" i="14"/>
  <c r="G60" i="14"/>
  <c r="F60" i="14"/>
  <c r="F99" i="14" s="1"/>
  <c r="E60" i="14"/>
  <c r="E99" i="14" s="1"/>
  <c r="D60" i="14"/>
  <c r="D99" i="14" s="1"/>
  <c r="V59" i="14"/>
  <c r="V98" i="14" s="1"/>
  <c r="U59" i="14"/>
  <c r="U98" i="14" s="1"/>
  <c r="T59" i="14"/>
  <c r="T98" i="14" s="1"/>
  <c r="S59" i="14"/>
  <c r="R59" i="14"/>
  <c r="R98" i="14" s="1"/>
  <c r="Q59" i="14"/>
  <c r="P59" i="14"/>
  <c r="P98" i="14" s="1"/>
  <c r="O59" i="14"/>
  <c r="O98" i="14" s="1"/>
  <c r="N59" i="14"/>
  <c r="M59" i="14"/>
  <c r="M98" i="14" s="1"/>
  <c r="L59" i="14"/>
  <c r="L98" i="14" s="1"/>
  <c r="K59" i="14"/>
  <c r="J59" i="14"/>
  <c r="I59" i="14"/>
  <c r="I98" i="14" s="1"/>
  <c r="H59" i="14"/>
  <c r="H98" i="14" s="1"/>
  <c r="G59" i="14"/>
  <c r="G98" i="14" s="1"/>
  <c r="F59" i="14"/>
  <c r="F98" i="14" s="1"/>
  <c r="E59" i="14"/>
  <c r="E98" i="14" s="1"/>
  <c r="D59" i="14"/>
  <c r="D98" i="14" s="1"/>
  <c r="V58" i="14"/>
  <c r="V97" i="14" s="1"/>
  <c r="U58" i="14"/>
  <c r="T58" i="14"/>
  <c r="S58" i="14"/>
  <c r="R58" i="14"/>
  <c r="R97" i="14" s="1"/>
  <c r="Q58" i="14"/>
  <c r="Q97" i="14" s="1"/>
  <c r="P58" i="14"/>
  <c r="P97" i="14" s="1"/>
  <c r="O58" i="14"/>
  <c r="O97" i="14" s="1"/>
  <c r="N58" i="14"/>
  <c r="M58" i="14"/>
  <c r="L58" i="14"/>
  <c r="L97" i="14" s="1"/>
  <c r="K58" i="14"/>
  <c r="K97" i="14" s="1"/>
  <c r="J58" i="14"/>
  <c r="J97" i="14" s="1"/>
  <c r="I58" i="14"/>
  <c r="I97" i="14" s="1"/>
  <c r="H58" i="14"/>
  <c r="H97" i="14" s="1"/>
  <c r="G58" i="14"/>
  <c r="F58" i="14"/>
  <c r="F97" i="14" s="1"/>
  <c r="E58" i="14"/>
  <c r="D58" i="14"/>
  <c r="V57" i="14"/>
  <c r="U57" i="14"/>
  <c r="U96" i="14" s="1"/>
  <c r="T57" i="14"/>
  <c r="T96" i="14" s="1"/>
  <c r="S57" i="14"/>
  <c r="S96" i="14" s="1"/>
  <c r="R57" i="14"/>
  <c r="R96" i="14" s="1"/>
  <c r="Q57" i="14"/>
  <c r="Q96" i="14" s="1"/>
  <c r="P57" i="14"/>
  <c r="O57" i="14"/>
  <c r="O96" i="14" s="1"/>
  <c r="N57" i="14"/>
  <c r="N96" i="14" s="1"/>
  <c r="M57" i="14"/>
  <c r="M96" i="14" s="1"/>
  <c r="L57" i="14"/>
  <c r="L96" i="14" s="1"/>
  <c r="K57" i="14"/>
  <c r="K96" i="14" s="1"/>
  <c r="J57" i="14"/>
  <c r="I57" i="14"/>
  <c r="I96" i="14" s="1"/>
  <c r="H57" i="14"/>
  <c r="G57" i="14"/>
  <c r="F57" i="14"/>
  <c r="E57" i="14"/>
  <c r="E96" i="14" s="1"/>
  <c r="D57" i="14"/>
  <c r="D96" i="14" s="1"/>
  <c r="V56" i="14"/>
  <c r="V95" i="14" s="1"/>
  <c r="U56" i="14"/>
  <c r="U95" i="14" s="1"/>
  <c r="T56" i="14"/>
  <c r="S56" i="14"/>
  <c r="S95" i="14" s="1"/>
  <c r="R56" i="14"/>
  <c r="R95" i="14" s="1"/>
  <c r="Q56" i="14"/>
  <c r="Q95" i="14" s="1"/>
  <c r="P56" i="14"/>
  <c r="P95" i="14" s="1"/>
  <c r="O56" i="14"/>
  <c r="N56" i="14"/>
  <c r="N95" i="14" s="1"/>
  <c r="M56" i="14"/>
  <c r="M95" i="14" s="1"/>
  <c r="L56" i="14"/>
  <c r="L95" i="14" s="1"/>
  <c r="K56" i="14"/>
  <c r="K95" i="14" s="1"/>
  <c r="J56" i="14"/>
  <c r="I56" i="14"/>
  <c r="I95" i="14" s="1"/>
  <c r="H56" i="14"/>
  <c r="H95" i="14" s="1"/>
  <c r="G56" i="14"/>
  <c r="F56" i="14"/>
  <c r="F95" i="14" s="1"/>
  <c r="E56" i="14"/>
  <c r="E95" i="14" s="1"/>
  <c r="D56" i="14"/>
  <c r="D95" i="14" s="1"/>
  <c r="V55" i="14"/>
  <c r="U55" i="14"/>
  <c r="U94" i="14" s="1"/>
  <c r="T55" i="14"/>
  <c r="T94" i="14" s="1"/>
  <c r="S55" i="14"/>
  <c r="S94" i="14" s="1"/>
  <c r="R55" i="14"/>
  <c r="Q55" i="14"/>
  <c r="Q94" i="14" s="1"/>
  <c r="P55" i="14"/>
  <c r="O55" i="14"/>
  <c r="O94" i="14" s="1"/>
  <c r="N55" i="14"/>
  <c r="M55" i="14"/>
  <c r="L55" i="14"/>
  <c r="K55" i="14"/>
  <c r="K94" i="14" s="1"/>
  <c r="J55" i="14"/>
  <c r="I55" i="14"/>
  <c r="I94" i="14" s="1"/>
  <c r="H55" i="14"/>
  <c r="G55" i="14"/>
  <c r="F55" i="14"/>
  <c r="E55" i="14"/>
  <c r="E94" i="14" s="1"/>
  <c r="D55" i="14"/>
  <c r="D94" i="14" s="1"/>
  <c r="V54" i="14"/>
  <c r="V93" i="14" s="1"/>
  <c r="U54" i="14"/>
  <c r="T54" i="14"/>
  <c r="T93" i="14" s="1"/>
  <c r="S54" i="14"/>
  <c r="S93" i="14" s="1"/>
  <c r="R54" i="14"/>
  <c r="R93" i="14" s="1"/>
  <c r="Q54" i="14"/>
  <c r="Q93" i="14" s="1"/>
  <c r="P54" i="14"/>
  <c r="O54" i="14"/>
  <c r="O93" i="14" s="1"/>
  <c r="N54" i="14"/>
  <c r="N93" i="14" s="1"/>
  <c r="M54" i="14"/>
  <c r="M93" i="14" s="1"/>
  <c r="L54" i="14"/>
  <c r="L93" i="14" s="1"/>
  <c r="K54" i="14"/>
  <c r="J54" i="14"/>
  <c r="J93" i="14" s="1"/>
  <c r="I54" i="14"/>
  <c r="H54" i="14"/>
  <c r="H93" i="14" s="1"/>
  <c r="G54" i="14"/>
  <c r="G93" i="14" s="1"/>
  <c r="F54" i="14"/>
  <c r="F93" i="14" s="1"/>
  <c r="E54" i="14"/>
  <c r="D54" i="14"/>
  <c r="D93" i="14" s="1"/>
  <c r="V53" i="14"/>
  <c r="U53" i="14"/>
  <c r="U92" i="14" s="1"/>
  <c r="T53" i="14"/>
  <c r="S53" i="14"/>
  <c r="R53" i="14"/>
  <c r="Q53" i="14"/>
  <c r="Q92" i="14" s="1"/>
  <c r="P53" i="14"/>
  <c r="O53" i="14"/>
  <c r="O92" i="14" s="1"/>
  <c r="N53" i="14"/>
  <c r="N92" i="14" s="1"/>
  <c r="M53" i="14"/>
  <c r="L53" i="14"/>
  <c r="K53" i="14"/>
  <c r="K92" i="14" s="1"/>
  <c r="J53" i="14"/>
  <c r="J92" i="14" s="1"/>
  <c r="I53" i="14"/>
  <c r="I92" i="14" s="1"/>
  <c r="H53" i="14"/>
  <c r="H92" i="14" s="1"/>
  <c r="G53" i="14"/>
  <c r="G92" i="14" s="1"/>
  <c r="F53" i="14"/>
  <c r="E53" i="14"/>
  <c r="D53" i="14"/>
  <c r="V52" i="14"/>
  <c r="U52" i="14"/>
  <c r="T52" i="14"/>
  <c r="T91" i="14" s="1"/>
  <c r="S52" i="14"/>
  <c r="R52" i="14"/>
  <c r="R91" i="14" s="1"/>
  <c r="Q52" i="14"/>
  <c r="P52" i="14"/>
  <c r="O52" i="14"/>
  <c r="N52" i="14"/>
  <c r="M52" i="14"/>
  <c r="L52" i="14"/>
  <c r="L91" i="14" s="1"/>
  <c r="K52" i="14"/>
  <c r="J52" i="14"/>
  <c r="J91" i="14" s="1"/>
  <c r="I52" i="14"/>
  <c r="I91" i="14" s="1"/>
  <c r="H52" i="14"/>
  <c r="G52" i="14"/>
  <c r="F52" i="14"/>
  <c r="E52" i="14"/>
  <c r="D52" i="14"/>
  <c r="D91" i="14" s="1"/>
  <c r="N42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J273" i="14" s="1"/>
  <c r="I41" i="14"/>
  <c r="H41" i="14"/>
  <c r="H196" i="14" s="1"/>
  <c r="G41" i="14"/>
  <c r="F41" i="14"/>
  <c r="E41" i="14"/>
  <c r="D41" i="14"/>
  <c r="V40" i="14"/>
  <c r="V195" i="14" s="1"/>
  <c r="U40" i="14"/>
  <c r="U272" i="14" s="1"/>
  <c r="T40" i="14"/>
  <c r="T118" i="14" s="1"/>
  <c r="S40" i="14"/>
  <c r="R40" i="14"/>
  <c r="R272" i="14" s="1"/>
  <c r="Q40" i="14"/>
  <c r="P40" i="14"/>
  <c r="O40" i="14"/>
  <c r="O195" i="14" s="1"/>
  <c r="N40" i="14"/>
  <c r="M40" i="14"/>
  <c r="M272" i="14" s="1"/>
  <c r="L40" i="14"/>
  <c r="L118" i="14" s="1"/>
  <c r="K40" i="14"/>
  <c r="J40" i="14"/>
  <c r="I40" i="14"/>
  <c r="H40" i="14"/>
  <c r="G40" i="14"/>
  <c r="G272" i="14" s="1"/>
  <c r="F40" i="14"/>
  <c r="E40" i="14"/>
  <c r="E272" i="14" s="1"/>
  <c r="D40" i="14"/>
  <c r="D272" i="14" s="1"/>
  <c r="V39" i="14"/>
  <c r="V194" i="14" s="1"/>
  <c r="U39" i="14"/>
  <c r="T39" i="14"/>
  <c r="S39" i="14"/>
  <c r="R39" i="14"/>
  <c r="R194" i="14" s="1"/>
  <c r="Q39" i="14"/>
  <c r="P39" i="14"/>
  <c r="P271" i="14" s="1"/>
  <c r="O39" i="14"/>
  <c r="O117" i="14" s="1"/>
  <c r="N39" i="14"/>
  <c r="M39" i="14"/>
  <c r="L39" i="14"/>
  <c r="K39" i="14"/>
  <c r="J39" i="14"/>
  <c r="I39" i="14"/>
  <c r="I117" i="14" s="1"/>
  <c r="H39" i="14"/>
  <c r="H271" i="14" s="1"/>
  <c r="G39" i="14"/>
  <c r="G271" i="14" s="1"/>
  <c r="F39" i="14"/>
  <c r="F271" i="14" s="1"/>
  <c r="E39" i="14"/>
  <c r="D39" i="14"/>
  <c r="D271" i="14" s="1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V37" i="14"/>
  <c r="V269" i="14" s="1"/>
  <c r="U37" i="14"/>
  <c r="U192" i="14" s="1"/>
  <c r="T37" i="14"/>
  <c r="T192" i="14" s="1"/>
  <c r="S37" i="14"/>
  <c r="R37" i="14"/>
  <c r="R192" i="14" s="1"/>
  <c r="Q37" i="14"/>
  <c r="P37" i="14"/>
  <c r="O37" i="14"/>
  <c r="O192" i="14" s="1"/>
  <c r="N37" i="14"/>
  <c r="N269" i="14" s="1"/>
  <c r="M37" i="14"/>
  <c r="M192" i="14" s="1"/>
  <c r="L37" i="14"/>
  <c r="L192" i="14" s="1"/>
  <c r="K37" i="14"/>
  <c r="J37" i="14"/>
  <c r="J115" i="14" s="1"/>
  <c r="I37" i="14"/>
  <c r="H37" i="14"/>
  <c r="H192" i="14" s="1"/>
  <c r="G37" i="14"/>
  <c r="F37" i="14"/>
  <c r="F269" i="14" s="1"/>
  <c r="E37" i="14"/>
  <c r="E192" i="14" s="1"/>
  <c r="D37" i="14"/>
  <c r="D192" i="14" s="1"/>
  <c r="V36" i="14"/>
  <c r="V268" i="14" s="1"/>
  <c r="U36" i="14"/>
  <c r="U191" i="14" s="1"/>
  <c r="T36" i="14"/>
  <c r="S36" i="14"/>
  <c r="S191" i="14" s="1"/>
  <c r="R36" i="14"/>
  <c r="R114" i="14" s="1"/>
  <c r="Q36" i="14"/>
  <c r="Q268" i="14" s="1"/>
  <c r="P36" i="14"/>
  <c r="P268" i="14" s="1"/>
  <c r="O36" i="14"/>
  <c r="N36" i="14"/>
  <c r="M36" i="14"/>
  <c r="L36" i="14"/>
  <c r="K36" i="14"/>
  <c r="K191" i="14" s="1"/>
  <c r="J36" i="14"/>
  <c r="I36" i="14"/>
  <c r="I268" i="14" s="1"/>
  <c r="H36" i="14"/>
  <c r="H268" i="14" s="1"/>
  <c r="G36" i="14"/>
  <c r="G268" i="14" s="1"/>
  <c r="F36" i="14"/>
  <c r="E36" i="14"/>
  <c r="E114" i="14" s="1"/>
  <c r="D36" i="14"/>
  <c r="V35" i="14"/>
  <c r="V190" i="14" s="1"/>
  <c r="U35" i="14"/>
  <c r="T35" i="14"/>
  <c r="T267" i="14" s="1"/>
  <c r="S35" i="14"/>
  <c r="S190" i="14" s="1"/>
  <c r="R35" i="14"/>
  <c r="Q35" i="14"/>
  <c r="P35" i="14"/>
  <c r="P267" i="14" s="1"/>
  <c r="O35" i="14"/>
  <c r="N35" i="14"/>
  <c r="N190" i="14" s="1"/>
  <c r="M35" i="14"/>
  <c r="M190" i="14" s="1"/>
  <c r="L35" i="14"/>
  <c r="L267" i="14" s="1"/>
  <c r="K35" i="14"/>
  <c r="K267" i="14" s="1"/>
  <c r="J35" i="14"/>
  <c r="I35" i="14"/>
  <c r="H35" i="14"/>
  <c r="G35" i="14"/>
  <c r="F35" i="14"/>
  <c r="E35" i="14"/>
  <c r="E190" i="14" s="1"/>
  <c r="D35" i="14"/>
  <c r="D267" i="14" s="1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V33" i="14"/>
  <c r="V265" i="14" s="1"/>
  <c r="U33" i="14"/>
  <c r="T33" i="14"/>
  <c r="T188" i="14" s="1"/>
  <c r="S33" i="14"/>
  <c r="R33" i="14"/>
  <c r="R265" i="14" s="1"/>
  <c r="Q33" i="14"/>
  <c r="Q111" i="14" s="1"/>
  <c r="P33" i="14"/>
  <c r="O33" i="14"/>
  <c r="N33" i="14"/>
  <c r="M33" i="14"/>
  <c r="L33" i="14"/>
  <c r="K33" i="14"/>
  <c r="J33" i="14"/>
  <c r="I33" i="14"/>
  <c r="I265" i="14" s="1"/>
  <c r="H33" i="14"/>
  <c r="H188" i="14" s="1"/>
  <c r="G33" i="14"/>
  <c r="F33" i="14"/>
  <c r="E33" i="14"/>
  <c r="D33" i="14"/>
  <c r="D188" i="14" s="1"/>
  <c r="V32" i="14"/>
  <c r="U32" i="14"/>
  <c r="T32" i="14"/>
  <c r="T110" i="14" s="1"/>
  <c r="S32" i="14"/>
  <c r="S264" i="14" s="1"/>
  <c r="R32" i="14"/>
  <c r="Q32" i="14"/>
  <c r="P32" i="14"/>
  <c r="O32" i="14"/>
  <c r="N32" i="14"/>
  <c r="N110" i="14" s="1"/>
  <c r="M32" i="14"/>
  <c r="M264" i="14" s="1"/>
  <c r="L32" i="14"/>
  <c r="L264" i="14" s="1"/>
  <c r="K32" i="14"/>
  <c r="K264" i="14" s="1"/>
  <c r="J32" i="14"/>
  <c r="I32" i="14"/>
  <c r="H32" i="14"/>
  <c r="G32" i="14"/>
  <c r="G187" i="14" s="1"/>
  <c r="F32" i="14"/>
  <c r="E32" i="14"/>
  <c r="E264" i="14" s="1"/>
  <c r="D32" i="14"/>
  <c r="D264" i="14" s="1"/>
  <c r="V31" i="14"/>
  <c r="U31" i="14"/>
  <c r="U263" i="14" s="1"/>
  <c r="T31" i="14"/>
  <c r="S31" i="14"/>
  <c r="R31" i="14"/>
  <c r="R263" i="14" s="1"/>
  <c r="Q31" i="14"/>
  <c r="P31" i="14"/>
  <c r="P263" i="14" s="1"/>
  <c r="O31" i="14"/>
  <c r="N31" i="14"/>
  <c r="N263" i="14" s="1"/>
  <c r="M31" i="14"/>
  <c r="L31" i="14"/>
  <c r="L263" i="14" s="1"/>
  <c r="K31" i="14"/>
  <c r="J31" i="14"/>
  <c r="J186" i="14" s="1"/>
  <c r="I31" i="14"/>
  <c r="I186" i="14" s="1"/>
  <c r="H31" i="14"/>
  <c r="H263" i="14" s="1"/>
  <c r="G31" i="14"/>
  <c r="G186" i="14" s="1"/>
  <c r="F31" i="14"/>
  <c r="E31" i="14"/>
  <c r="E186" i="14" s="1"/>
  <c r="D31" i="14"/>
  <c r="D109" i="14" s="1"/>
  <c r="V30" i="14"/>
  <c r="U30" i="14"/>
  <c r="T30" i="14"/>
  <c r="S30" i="14"/>
  <c r="R30" i="14"/>
  <c r="R185" i="14" s="1"/>
  <c r="Q30" i="14"/>
  <c r="P30" i="14"/>
  <c r="O30" i="14"/>
  <c r="O108" i="14" s="1"/>
  <c r="N30" i="14"/>
  <c r="M30" i="14"/>
  <c r="M185" i="14" s="1"/>
  <c r="L30" i="14"/>
  <c r="L108" i="14" s="1"/>
  <c r="K30" i="14"/>
  <c r="K262" i="14" s="1"/>
  <c r="J30" i="14"/>
  <c r="I30" i="14"/>
  <c r="I185" i="14" s="1"/>
  <c r="H30" i="14"/>
  <c r="G30" i="14"/>
  <c r="G185" i="14" s="1"/>
  <c r="F30" i="14"/>
  <c r="E30" i="14"/>
  <c r="D30" i="14"/>
  <c r="D185" i="14" s="1"/>
  <c r="V29" i="14"/>
  <c r="V261" i="14" s="1"/>
  <c r="U29" i="14"/>
  <c r="T29" i="14"/>
  <c r="S29" i="14"/>
  <c r="S261" i="14" s="1"/>
  <c r="R29" i="14"/>
  <c r="Q29" i="14"/>
  <c r="Q261" i="14" s="1"/>
  <c r="P29" i="14"/>
  <c r="P184" i="14" s="1"/>
  <c r="O29" i="14"/>
  <c r="N29" i="14"/>
  <c r="N261" i="14" s="1"/>
  <c r="M29" i="14"/>
  <c r="L29" i="14"/>
  <c r="K29" i="14"/>
  <c r="K184" i="14" s="1"/>
  <c r="J29" i="14"/>
  <c r="I29" i="14"/>
  <c r="H29" i="14"/>
  <c r="G29" i="14"/>
  <c r="F29" i="14"/>
  <c r="F261" i="14" s="1"/>
  <c r="E29" i="14"/>
  <c r="E184" i="14" s="1"/>
  <c r="D29" i="14"/>
  <c r="D184" i="14" s="1"/>
  <c r="V28" i="14"/>
  <c r="U28" i="14"/>
  <c r="T28" i="14"/>
  <c r="S28" i="14"/>
  <c r="R28" i="14"/>
  <c r="Q28" i="14"/>
  <c r="Q260" i="14" s="1"/>
  <c r="P28" i="14"/>
  <c r="O28" i="14"/>
  <c r="O183" i="14" s="1"/>
  <c r="N28" i="14"/>
  <c r="M28" i="14"/>
  <c r="M183" i="14" s="1"/>
  <c r="L28" i="14"/>
  <c r="K28" i="14"/>
  <c r="K183" i="14" s="1"/>
  <c r="J28" i="14"/>
  <c r="I28" i="14"/>
  <c r="I260" i="14" s="1"/>
  <c r="H28" i="14"/>
  <c r="H260" i="14" s="1"/>
  <c r="G28" i="14"/>
  <c r="G183" i="14" s="1"/>
  <c r="F28" i="14"/>
  <c r="E28" i="14"/>
  <c r="E106" i="14" s="1"/>
  <c r="D28" i="14"/>
  <c r="V27" i="14"/>
  <c r="V182" i="14" s="1"/>
  <c r="U27" i="14"/>
  <c r="T27" i="14"/>
  <c r="T259" i="14" s="1"/>
  <c r="S27" i="14"/>
  <c r="S259" i="14" s="1"/>
  <c r="R27" i="14"/>
  <c r="R182" i="14" s="1"/>
  <c r="Q27" i="14"/>
  <c r="P27" i="14"/>
  <c r="O27" i="14"/>
  <c r="O259" i="14" s="1"/>
  <c r="N27" i="14"/>
  <c r="M27" i="14"/>
  <c r="L27" i="14"/>
  <c r="L259" i="14" s="1"/>
  <c r="K27" i="14"/>
  <c r="K259" i="14" s="1"/>
  <c r="J27" i="14"/>
  <c r="J259" i="14" s="1"/>
  <c r="I27" i="14"/>
  <c r="H27" i="14"/>
  <c r="G27" i="14"/>
  <c r="F27" i="14"/>
  <c r="F182" i="14" s="1"/>
  <c r="E27" i="14"/>
  <c r="D27" i="14"/>
  <c r="D259" i="14" s="1"/>
  <c r="V26" i="14"/>
  <c r="V258" i="14" s="1"/>
  <c r="U26" i="14"/>
  <c r="U258" i="14" s="1"/>
  <c r="T26" i="14"/>
  <c r="S26" i="14"/>
  <c r="R26" i="14"/>
  <c r="Q26" i="14"/>
  <c r="Q258" i="14" s="1"/>
  <c r="P26" i="14"/>
  <c r="O26" i="14"/>
  <c r="O258" i="14" s="1"/>
  <c r="N26" i="14"/>
  <c r="M26" i="14"/>
  <c r="L26" i="14"/>
  <c r="K26" i="14"/>
  <c r="K104" i="14" s="1"/>
  <c r="J26" i="14"/>
  <c r="I26" i="14"/>
  <c r="I181" i="14" s="1"/>
  <c r="H26" i="14"/>
  <c r="H181" i="14" s="1"/>
  <c r="G26" i="14"/>
  <c r="G258" i="14" s="1"/>
  <c r="F26" i="14"/>
  <c r="E26" i="14"/>
  <c r="D26" i="14"/>
  <c r="V24" i="14"/>
  <c r="U24" i="14"/>
  <c r="T24" i="14"/>
  <c r="T256" i="14" s="1"/>
  <c r="S24" i="14"/>
  <c r="R24" i="14"/>
  <c r="R256" i="14" s="1"/>
  <c r="Q24" i="14"/>
  <c r="Q256" i="14" s="1"/>
  <c r="P24" i="14"/>
  <c r="P256" i="14" s="1"/>
  <c r="O24" i="14"/>
  <c r="N24" i="14"/>
  <c r="N256" i="14" s="1"/>
  <c r="M24" i="14"/>
  <c r="M179" i="14" s="1"/>
  <c r="L24" i="14"/>
  <c r="L179" i="14" s="1"/>
  <c r="K24" i="14"/>
  <c r="K256" i="14" s="1"/>
  <c r="J24" i="14"/>
  <c r="J256" i="14" s="1"/>
  <c r="I24" i="14"/>
  <c r="I256" i="14" s="1"/>
  <c r="H24" i="14"/>
  <c r="G24" i="14"/>
  <c r="G102" i="14" s="1"/>
  <c r="F24" i="14"/>
  <c r="E24" i="14"/>
  <c r="D24" i="14"/>
  <c r="D179" i="14" s="1"/>
  <c r="V23" i="14"/>
  <c r="U23" i="14"/>
  <c r="T23" i="14"/>
  <c r="T178" i="14" s="1"/>
  <c r="S23" i="14"/>
  <c r="R23" i="14"/>
  <c r="R101" i="14" s="1"/>
  <c r="Q23" i="14"/>
  <c r="P23" i="14"/>
  <c r="P178" i="14" s="1"/>
  <c r="O23" i="14"/>
  <c r="O178" i="14" s="1"/>
  <c r="N23" i="14"/>
  <c r="N255" i="14" s="1"/>
  <c r="M23" i="14"/>
  <c r="M255" i="14" s="1"/>
  <c r="L23" i="14"/>
  <c r="K23" i="14"/>
  <c r="J23" i="14"/>
  <c r="I23" i="14"/>
  <c r="H23" i="14"/>
  <c r="G23" i="14"/>
  <c r="F23" i="14"/>
  <c r="F178" i="14" s="1"/>
  <c r="E23" i="14"/>
  <c r="E255" i="14" s="1"/>
  <c r="D23" i="14"/>
  <c r="V22" i="14"/>
  <c r="V177" i="14" s="1"/>
  <c r="U22" i="14"/>
  <c r="T22" i="14"/>
  <c r="S22" i="14"/>
  <c r="S177" i="14" s="1"/>
  <c r="R22" i="14"/>
  <c r="R177" i="14" s="1"/>
  <c r="Q22" i="14"/>
  <c r="Q254" i="14" s="1"/>
  <c r="P22" i="14"/>
  <c r="P177" i="14" s="1"/>
  <c r="O22" i="14"/>
  <c r="O254" i="14" s="1"/>
  <c r="N22" i="14"/>
  <c r="M22" i="14"/>
  <c r="M254" i="14" s="1"/>
  <c r="L22" i="14"/>
  <c r="K22" i="14"/>
  <c r="J22" i="14"/>
  <c r="J177" i="14" s="1"/>
  <c r="I22" i="14"/>
  <c r="I177" i="14" s="1"/>
  <c r="H22" i="14"/>
  <c r="H254" i="14" s="1"/>
  <c r="G22" i="14"/>
  <c r="G254" i="14" s="1"/>
  <c r="F22" i="14"/>
  <c r="E22" i="14"/>
  <c r="E177" i="14" s="1"/>
  <c r="D22" i="14"/>
  <c r="V21" i="14"/>
  <c r="V176" i="14" s="1"/>
  <c r="U21" i="14"/>
  <c r="U176" i="14" s="1"/>
  <c r="T21" i="14"/>
  <c r="T253" i="14" s="1"/>
  <c r="S21" i="14"/>
  <c r="S176" i="14" s="1"/>
  <c r="R21" i="14"/>
  <c r="Q21" i="14"/>
  <c r="P21" i="14"/>
  <c r="O21" i="14"/>
  <c r="N21" i="14"/>
  <c r="M21" i="14"/>
  <c r="L21" i="14"/>
  <c r="L176" i="14" s="1"/>
  <c r="K21" i="14"/>
  <c r="K176" i="14" s="1"/>
  <c r="J21" i="14"/>
  <c r="J176" i="14" s="1"/>
  <c r="I21" i="14"/>
  <c r="I176" i="14" s="1"/>
  <c r="H21" i="14"/>
  <c r="G21" i="14"/>
  <c r="G176" i="14" s="1"/>
  <c r="F21" i="14"/>
  <c r="F176" i="14" s="1"/>
  <c r="E21" i="14"/>
  <c r="E253" i="14" s="1"/>
  <c r="D21" i="14"/>
  <c r="D253" i="14" s="1"/>
  <c r="V20" i="14"/>
  <c r="U20" i="14"/>
  <c r="T20" i="14"/>
  <c r="S20" i="14"/>
  <c r="R20" i="14"/>
  <c r="Q20" i="14"/>
  <c r="P20" i="14"/>
  <c r="O20" i="14"/>
  <c r="N20" i="14"/>
  <c r="N175" i="14" s="1"/>
  <c r="M20" i="14"/>
  <c r="M175" i="14" s="1"/>
  <c r="L20" i="14"/>
  <c r="K20" i="14"/>
  <c r="K252" i="14" s="1"/>
  <c r="J20" i="14"/>
  <c r="I20" i="14"/>
  <c r="H20" i="14"/>
  <c r="H252" i="14" s="1"/>
  <c r="G20" i="14"/>
  <c r="G252" i="14" s="1"/>
  <c r="F20" i="14"/>
  <c r="F175" i="14" s="1"/>
  <c r="E20" i="14"/>
  <c r="D20" i="14"/>
  <c r="V19" i="14"/>
  <c r="U19" i="14"/>
  <c r="T19" i="14"/>
  <c r="S19" i="14"/>
  <c r="R19" i="14"/>
  <c r="Q19" i="14"/>
  <c r="Q251" i="14" s="1"/>
  <c r="P19" i="14"/>
  <c r="O19" i="14"/>
  <c r="N19" i="14"/>
  <c r="M19" i="14"/>
  <c r="M251" i="14" s="1"/>
  <c r="L19" i="14"/>
  <c r="L174" i="14" s="1"/>
  <c r="K19" i="14"/>
  <c r="K251" i="14" s="1"/>
  <c r="J19" i="14"/>
  <c r="J251" i="14" s="1"/>
  <c r="I19" i="14"/>
  <c r="H19" i="14"/>
  <c r="H174" i="14" s="1"/>
  <c r="G19" i="14"/>
  <c r="G97" i="14" s="1"/>
  <c r="F19" i="14"/>
  <c r="E19" i="14"/>
  <c r="D19" i="14"/>
  <c r="V18" i="14"/>
  <c r="V250" i="14" s="1"/>
  <c r="U18" i="14"/>
  <c r="T18" i="14"/>
  <c r="S18" i="14"/>
  <c r="R18" i="14"/>
  <c r="Q18" i="14"/>
  <c r="P18" i="14"/>
  <c r="O18" i="14"/>
  <c r="N18" i="14"/>
  <c r="N250" i="14" s="1"/>
  <c r="M18" i="14"/>
  <c r="M250" i="14" s="1"/>
  <c r="L18" i="14"/>
  <c r="K18" i="14"/>
  <c r="J18" i="14"/>
  <c r="J250" i="14" s="1"/>
  <c r="I18" i="14"/>
  <c r="H18" i="14"/>
  <c r="G18" i="14"/>
  <c r="F18" i="14"/>
  <c r="E18" i="14"/>
  <c r="D18" i="14"/>
  <c r="D250" i="14" s="1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F42" i="14" s="1"/>
  <c r="E17" i="14"/>
  <c r="D17" i="14"/>
  <c r="V16" i="14"/>
  <c r="U16" i="14"/>
  <c r="U171" i="14" s="1"/>
  <c r="T16" i="14"/>
  <c r="T171" i="14" s="1"/>
  <c r="S16" i="14"/>
  <c r="S248" i="14" s="1"/>
  <c r="R16" i="14"/>
  <c r="Q16" i="14"/>
  <c r="Q171" i="14" s="1"/>
  <c r="P16" i="14"/>
  <c r="P94" i="14" s="1"/>
  <c r="O16" i="14"/>
  <c r="N16" i="14"/>
  <c r="M16" i="14"/>
  <c r="L16" i="14"/>
  <c r="L171" i="14" s="1"/>
  <c r="K16" i="14"/>
  <c r="J16" i="14"/>
  <c r="J171" i="14" s="1"/>
  <c r="I16" i="14"/>
  <c r="I248" i="14" s="1"/>
  <c r="H16" i="14"/>
  <c r="H94" i="14" s="1"/>
  <c r="G16" i="14"/>
  <c r="G94" i="14" s="1"/>
  <c r="F16" i="14"/>
  <c r="E16" i="14"/>
  <c r="E171" i="14" s="1"/>
  <c r="D16" i="14"/>
  <c r="D248" i="14" s="1"/>
  <c r="V15" i="14"/>
  <c r="U15" i="14"/>
  <c r="T15" i="14"/>
  <c r="S15" i="14"/>
  <c r="S42" i="14" s="1"/>
  <c r="R15" i="14"/>
  <c r="Q15" i="14"/>
  <c r="P15" i="14"/>
  <c r="O15" i="14"/>
  <c r="N15" i="14"/>
  <c r="M15" i="14"/>
  <c r="M170" i="14" s="1"/>
  <c r="L15" i="14"/>
  <c r="L170" i="14" s="1"/>
  <c r="K15" i="14"/>
  <c r="K42" i="14" s="1"/>
  <c r="J15" i="14"/>
  <c r="J247" i="14" s="1"/>
  <c r="I15" i="14"/>
  <c r="H15" i="14"/>
  <c r="H170" i="14" s="1"/>
  <c r="G15" i="14"/>
  <c r="G247" i="14" s="1"/>
  <c r="F15" i="14"/>
  <c r="F247" i="14" s="1"/>
  <c r="E15" i="14"/>
  <c r="E247" i="14" s="1"/>
  <c r="D15" i="14"/>
  <c r="D247" i="14" s="1"/>
  <c r="V14" i="14"/>
  <c r="V92" i="14" s="1"/>
  <c r="U14" i="14"/>
  <c r="U42" i="14" s="1"/>
  <c r="T14" i="14"/>
  <c r="T42" i="14" s="1"/>
  <c r="S14" i="14"/>
  <c r="R14" i="14"/>
  <c r="Q14" i="14"/>
  <c r="Q169" i="14" s="1"/>
  <c r="P14" i="14"/>
  <c r="P169" i="14" s="1"/>
  <c r="O14" i="14"/>
  <c r="N14" i="14"/>
  <c r="M14" i="14"/>
  <c r="M92" i="14" s="1"/>
  <c r="L14" i="14"/>
  <c r="L246" i="14" s="1"/>
  <c r="K14" i="14"/>
  <c r="K169" i="14" s="1"/>
  <c r="J14" i="14"/>
  <c r="J246" i="14" s="1"/>
  <c r="I14" i="14"/>
  <c r="I246" i="14" s="1"/>
  <c r="H14" i="14"/>
  <c r="H169" i="14" s="1"/>
  <c r="G14" i="14"/>
  <c r="G169" i="14" s="1"/>
  <c r="F14" i="14"/>
  <c r="F169" i="14" s="1"/>
  <c r="E14" i="14"/>
  <c r="D14" i="14"/>
  <c r="D42" i="14" s="1"/>
  <c r="V13" i="14"/>
  <c r="U13" i="14"/>
  <c r="U245" i="14" s="1"/>
  <c r="T13" i="14"/>
  <c r="S13" i="14"/>
  <c r="S168" i="14" s="1"/>
  <c r="R13" i="14"/>
  <c r="Q13" i="14"/>
  <c r="Q168" i="14" s="1"/>
  <c r="P13" i="14"/>
  <c r="O13" i="14"/>
  <c r="N13" i="14"/>
  <c r="N168" i="14" s="1"/>
  <c r="M13" i="14"/>
  <c r="M245" i="14" s="1"/>
  <c r="L13" i="14"/>
  <c r="L245" i="14" s="1"/>
  <c r="K13" i="14"/>
  <c r="K168" i="14" s="1"/>
  <c r="J13" i="14"/>
  <c r="I13" i="14"/>
  <c r="H13" i="14"/>
  <c r="H91" i="14" s="1"/>
  <c r="G13" i="14"/>
  <c r="G42" i="14" s="1"/>
  <c r="F13" i="14"/>
  <c r="E13" i="14"/>
  <c r="E245" i="14" s="1"/>
  <c r="D13" i="14"/>
  <c r="C297" i="13"/>
  <c r="J294" i="13"/>
  <c r="K292" i="13"/>
  <c r="I292" i="13"/>
  <c r="F292" i="13"/>
  <c r="I291" i="13"/>
  <c r="I290" i="13"/>
  <c r="J289" i="13"/>
  <c r="I286" i="13"/>
  <c r="F286" i="13"/>
  <c r="F284" i="13"/>
  <c r="H283" i="13"/>
  <c r="I282" i="13"/>
  <c r="K281" i="13"/>
  <c r="F280" i="13"/>
  <c r="J278" i="13"/>
  <c r="F277" i="13"/>
  <c r="K276" i="13"/>
  <c r="I276" i="13"/>
  <c r="F276" i="13"/>
  <c r="I275" i="13"/>
  <c r="I274" i="13"/>
  <c r="J273" i="13"/>
  <c r="I270" i="13"/>
  <c r="F268" i="13"/>
  <c r="H267" i="13"/>
  <c r="I266" i="13"/>
  <c r="K265" i="13"/>
  <c r="C255" i="13"/>
  <c r="J254" i="13"/>
  <c r="I254" i="13"/>
  <c r="K253" i="13"/>
  <c r="K295" i="13" s="1"/>
  <c r="J253" i="13"/>
  <c r="I253" i="13"/>
  <c r="I295" i="13" s="1"/>
  <c r="H253" i="13"/>
  <c r="G253" i="13"/>
  <c r="F253" i="13"/>
  <c r="E253" i="13"/>
  <c r="D253" i="13"/>
  <c r="D295" i="13" s="1"/>
  <c r="K252" i="13"/>
  <c r="J252" i="13"/>
  <c r="I252" i="13"/>
  <c r="I294" i="13" s="1"/>
  <c r="H252" i="13"/>
  <c r="G252" i="13"/>
  <c r="F252" i="13"/>
  <c r="E252" i="13"/>
  <c r="E294" i="13" s="1"/>
  <c r="D252" i="13"/>
  <c r="K251" i="13"/>
  <c r="K293" i="13" s="1"/>
  <c r="J251" i="13"/>
  <c r="I251" i="13"/>
  <c r="H251" i="13"/>
  <c r="G251" i="13"/>
  <c r="F251" i="13"/>
  <c r="E251" i="13"/>
  <c r="D251" i="13"/>
  <c r="D293" i="13" s="1"/>
  <c r="K250" i="13"/>
  <c r="J250" i="13"/>
  <c r="J292" i="13" s="1"/>
  <c r="I250" i="13"/>
  <c r="H250" i="13"/>
  <c r="G250" i="13"/>
  <c r="F250" i="13"/>
  <c r="E250" i="13"/>
  <c r="E292" i="13" s="1"/>
  <c r="D250" i="13"/>
  <c r="K249" i="13"/>
  <c r="K291" i="13" s="1"/>
  <c r="J249" i="13"/>
  <c r="I249" i="13"/>
  <c r="H249" i="13"/>
  <c r="G249" i="13"/>
  <c r="F249" i="13"/>
  <c r="E249" i="13"/>
  <c r="D249" i="13"/>
  <c r="D291" i="13" s="1"/>
  <c r="K248" i="13"/>
  <c r="J248" i="13"/>
  <c r="J290" i="13" s="1"/>
  <c r="I248" i="13"/>
  <c r="H248" i="13"/>
  <c r="G248" i="13"/>
  <c r="F248" i="13"/>
  <c r="E248" i="13"/>
  <c r="E290" i="13" s="1"/>
  <c r="D248" i="13"/>
  <c r="K247" i="13"/>
  <c r="K289" i="13" s="1"/>
  <c r="J247" i="13"/>
  <c r="I247" i="13"/>
  <c r="I289" i="13" s="1"/>
  <c r="H247" i="13"/>
  <c r="G247" i="13"/>
  <c r="F247" i="13"/>
  <c r="E247" i="13"/>
  <c r="D247" i="13"/>
  <c r="D289" i="13" s="1"/>
  <c r="K246" i="13"/>
  <c r="J246" i="13"/>
  <c r="J288" i="13" s="1"/>
  <c r="I246" i="13"/>
  <c r="H246" i="13"/>
  <c r="G246" i="13"/>
  <c r="F246" i="13"/>
  <c r="E246" i="13"/>
  <c r="E288" i="13" s="1"/>
  <c r="D246" i="13"/>
  <c r="K245" i="13"/>
  <c r="K287" i="13" s="1"/>
  <c r="J245" i="13"/>
  <c r="J287" i="13" s="1"/>
  <c r="I245" i="13"/>
  <c r="I287" i="13" s="1"/>
  <c r="H245" i="13"/>
  <c r="G245" i="13"/>
  <c r="F245" i="13"/>
  <c r="E245" i="13"/>
  <c r="D245" i="13"/>
  <c r="D287" i="13" s="1"/>
  <c r="K244" i="13"/>
  <c r="J244" i="13"/>
  <c r="J286" i="13" s="1"/>
  <c r="I244" i="13"/>
  <c r="H244" i="13"/>
  <c r="G244" i="13"/>
  <c r="F244" i="13"/>
  <c r="E244" i="13"/>
  <c r="E286" i="13" s="1"/>
  <c r="D244" i="13"/>
  <c r="K243" i="13"/>
  <c r="K285" i="13" s="1"/>
  <c r="J243" i="13"/>
  <c r="I243" i="13"/>
  <c r="H243" i="13"/>
  <c r="G243" i="13"/>
  <c r="F243" i="13"/>
  <c r="E243" i="13"/>
  <c r="D243" i="13"/>
  <c r="D285" i="13" s="1"/>
  <c r="K242" i="13"/>
  <c r="K284" i="13" s="1"/>
  <c r="J242" i="13"/>
  <c r="J284" i="13" s="1"/>
  <c r="I242" i="13"/>
  <c r="I284" i="13" s="1"/>
  <c r="H242" i="13"/>
  <c r="G242" i="13"/>
  <c r="F242" i="13"/>
  <c r="E242" i="13"/>
  <c r="E284" i="13" s="1"/>
  <c r="D242" i="13"/>
  <c r="K241" i="13"/>
  <c r="K283" i="13" s="1"/>
  <c r="J241" i="13"/>
  <c r="J283" i="13" s="1"/>
  <c r="I241" i="13"/>
  <c r="H241" i="13"/>
  <c r="G241" i="13"/>
  <c r="F241" i="13"/>
  <c r="E241" i="13"/>
  <c r="D241" i="13"/>
  <c r="D283" i="13" s="1"/>
  <c r="K240" i="13"/>
  <c r="J240" i="13"/>
  <c r="J282" i="13" s="1"/>
  <c r="I240" i="13"/>
  <c r="H240" i="13"/>
  <c r="G240" i="13"/>
  <c r="F240" i="13"/>
  <c r="E240" i="13"/>
  <c r="E282" i="13" s="1"/>
  <c r="D240" i="13"/>
  <c r="K239" i="13"/>
  <c r="J239" i="13"/>
  <c r="J281" i="13" s="1"/>
  <c r="I239" i="13"/>
  <c r="H239" i="13"/>
  <c r="H281" i="13" s="1"/>
  <c r="G239" i="13"/>
  <c r="F239" i="13"/>
  <c r="E239" i="13"/>
  <c r="D239" i="13"/>
  <c r="D281" i="13" s="1"/>
  <c r="K238" i="13"/>
  <c r="J238" i="13"/>
  <c r="J280" i="13" s="1"/>
  <c r="I238" i="13"/>
  <c r="I280" i="13" s="1"/>
  <c r="H238" i="13"/>
  <c r="G238" i="13"/>
  <c r="F238" i="13"/>
  <c r="E238" i="13"/>
  <c r="E280" i="13" s="1"/>
  <c r="D238" i="13"/>
  <c r="K237" i="13"/>
  <c r="K279" i="13" s="1"/>
  <c r="J237" i="13"/>
  <c r="I237" i="13"/>
  <c r="I279" i="13" s="1"/>
  <c r="H237" i="13"/>
  <c r="H279" i="13" s="1"/>
  <c r="G237" i="13"/>
  <c r="F237" i="13"/>
  <c r="E237" i="13"/>
  <c r="D237" i="13"/>
  <c r="D279" i="13" s="1"/>
  <c r="K236" i="13"/>
  <c r="J236" i="13"/>
  <c r="I236" i="13"/>
  <c r="I278" i="13" s="1"/>
  <c r="H236" i="13"/>
  <c r="G236" i="13"/>
  <c r="F236" i="13"/>
  <c r="E236" i="13"/>
  <c r="E278" i="13" s="1"/>
  <c r="D236" i="13"/>
  <c r="K235" i="13"/>
  <c r="K277" i="13" s="1"/>
  <c r="J235" i="13"/>
  <c r="I235" i="13"/>
  <c r="H235" i="13"/>
  <c r="H277" i="13" s="1"/>
  <c r="G235" i="13"/>
  <c r="G277" i="13" s="1"/>
  <c r="F235" i="13"/>
  <c r="E235" i="13"/>
  <c r="E277" i="13" s="1"/>
  <c r="D235" i="13"/>
  <c r="D277" i="13" s="1"/>
  <c r="K234" i="13"/>
  <c r="J234" i="13"/>
  <c r="J276" i="13" s="1"/>
  <c r="I234" i="13"/>
  <c r="H234" i="13"/>
  <c r="G234" i="13"/>
  <c r="F234" i="13"/>
  <c r="E234" i="13"/>
  <c r="E276" i="13" s="1"/>
  <c r="D234" i="13"/>
  <c r="K233" i="13"/>
  <c r="K275" i="13" s="1"/>
  <c r="J233" i="13"/>
  <c r="I233" i="13"/>
  <c r="H233" i="13"/>
  <c r="H275" i="13" s="1"/>
  <c r="G233" i="13"/>
  <c r="F233" i="13"/>
  <c r="E233" i="13"/>
  <c r="D233" i="13"/>
  <c r="D275" i="13" s="1"/>
  <c r="K232" i="13"/>
  <c r="K274" i="13" s="1"/>
  <c r="J232" i="13"/>
  <c r="J274" i="13" s="1"/>
  <c r="I232" i="13"/>
  <c r="H232" i="13"/>
  <c r="G232" i="13"/>
  <c r="F232" i="13"/>
  <c r="E232" i="13"/>
  <c r="E274" i="13" s="1"/>
  <c r="D232" i="13"/>
  <c r="K231" i="13"/>
  <c r="K273" i="13" s="1"/>
  <c r="J231" i="13"/>
  <c r="I231" i="13"/>
  <c r="I273" i="13" s="1"/>
  <c r="H231" i="13"/>
  <c r="H273" i="13" s="1"/>
  <c r="G231" i="13"/>
  <c r="F231" i="13"/>
  <c r="F273" i="13" s="1"/>
  <c r="E231" i="13"/>
  <c r="D231" i="13"/>
  <c r="D273" i="13" s="1"/>
  <c r="K230" i="13"/>
  <c r="J230" i="13"/>
  <c r="J272" i="13" s="1"/>
  <c r="I230" i="13"/>
  <c r="H230" i="13"/>
  <c r="G230" i="13"/>
  <c r="F230" i="13"/>
  <c r="E230" i="13"/>
  <c r="E272" i="13" s="1"/>
  <c r="D230" i="13"/>
  <c r="K229" i="13"/>
  <c r="K271" i="13" s="1"/>
  <c r="J229" i="13"/>
  <c r="J271" i="13" s="1"/>
  <c r="I229" i="13"/>
  <c r="I271" i="13" s="1"/>
  <c r="H229" i="13"/>
  <c r="H271" i="13" s="1"/>
  <c r="G229" i="13"/>
  <c r="F229" i="13"/>
  <c r="E229" i="13"/>
  <c r="D229" i="13"/>
  <c r="D271" i="13" s="1"/>
  <c r="K228" i="13"/>
  <c r="K270" i="13" s="1"/>
  <c r="J228" i="13"/>
  <c r="J270" i="13" s="1"/>
  <c r="I228" i="13"/>
  <c r="H228" i="13"/>
  <c r="G228" i="13"/>
  <c r="F228" i="13"/>
  <c r="E228" i="13"/>
  <c r="E270" i="13" s="1"/>
  <c r="D228" i="13"/>
  <c r="K227" i="13"/>
  <c r="K269" i="13" s="1"/>
  <c r="J227" i="13"/>
  <c r="I227" i="13"/>
  <c r="H227" i="13"/>
  <c r="H269" i="13" s="1"/>
  <c r="G227" i="13"/>
  <c r="F227" i="13"/>
  <c r="E227" i="13"/>
  <c r="D227" i="13"/>
  <c r="D269" i="13" s="1"/>
  <c r="K226" i="13"/>
  <c r="K268" i="13" s="1"/>
  <c r="J226" i="13"/>
  <c r="J268" i="13" s="1"/>
  <c r="I226" i="13"/>
  <c r="I268" i="13" s="1"/>
  <c r="H226" i="13"/>
  <c r="G226" i="13"/>
  <c r="F226" i="13"/>
  <c r="E226" i="13"/>
  <c r="E268" i="13" s="1"/>
  <c r="D226" i="13"/>
  <c r="K225" i="13"/>
  <c r="K267" i="13" s="1"/>
  <c r="J225" i="13"/>
  <c r="I225" i="13"/>
  <c r="I267" i="13" s="1"/>
  <c r="H225" i="13"/>
  <c r="G225" i="13"/>
  <c r="F225" i="13"/>
  <c r="F267" i="13" s="1"/>
  <c r="E225" i="13"/>
  <c r="D225" i="13"/>
  <c r="D267" i="13" s="1"/>
  <c r="K224" i="13"/>
  <c r="J224" i="13"/>
  <c r="J266" i="13" s="1"/>
  <c r="I224" i="13"/>
  <c r="H224" i="13"/>
  <c r="G224" i="13"/>
  <c r="F224" i="13"/>
  <c r="E224" i="13"/>
  <c r="E266" i="13" s="1"/>
  <c r="D224" i="13"/>
  <c r="K223" i="13"/>
  <c r="K254" i="13" s="1"/>
  <c r="J223" i="13"/>
  <c r="I223" i="13"/>
  <c r="H223" i="13"/>
  <c r="H254" i="13" s="1"/>
  <c r="H296" i="13" s="1"/>
  <c r="G223" i="13"/>
  <c r="F223" i="13"/>
  <c r="F254" i="13" s="1"/>
  <c r="E223" i="13"/>
  <c r="D223" i="13"/>
  <c r="C214" i="13"/>
  <c r="K211" i="13"/>
  <c r="K210" i="13"/>
  <c r="I209" i="13"/>
  <c r="F209" i="13"/>
  <c r="K208" i="13"/>
  <c r="D208" i="13"/>
  <c r="F207" i="13"/>
  <c r="K206" i="13"/>
  <c r="D206" i="13"/>
  <c r="H205" i="13"/>
  <c r="F205" i="13"/>
  <c r="K204" i="13"/>
  <c r="D204" i="13"/>
  <c r="F203" i="13"/>
  <c r="K202" i="13"/>
  <c r="D202" i="13"/>
  <c r="F201" i="13"/>
  <c r="K200" i="13"/>
  <c r="D200" i="13"/>
  <c r="F199" i="13"/>
  <c r="K198" i="13"/>
  <c r="D198" i="13"/>
  <c r="H197" i="13"/>
  <c r="F197" i="13"/>
  <c r="K196" i="13"/>
  <c r="D196" i="13"/>
  <c r="F195" i="13"/>
  <c r="K194" i="13"/>
  <c r="D194" i="13"/>
  <c r="F193" i="13"/>
  <c r="K192" i="13"/>
  <c r="D192" i="13"/>
  <c r="F191" i="13"/>
  <c r="K190" i="13"/>
  <c r="D190" i="13"/>
  <c r="H189" i="13"/>
  <c r="F189" i="13"/>
  <c r="K188" i="13"/>
  <c r="D188" i="13"/>
  <c r="F187" i="13"/>
  <c r="K186" i="13"/>
  <c r="D186" i="13"/>
  <c r="F185" i="13"/>
  <c r="K184" i="13"/>
  <c r="D184" i="13"/>
  <c r="F183" i="13"/>
  <c r="K182" i="13"/>
  <c r="D182" i="13"/>
  <c r="C172" i="13"/>
  <c r="K170" i="13"/>
  <c r="K212" i="13" s="1"/>
  <c r="J170" i="13"/>
  <c r="I170" i="13"/>
  <c r="I212" i="13" s="1"/>
  <c r="H170" i="13"/>
  <c r="H212" i="13" s="1"/>
  <c r="G170" i="13"/>
  <c r="F170" i="13"/>
  <c r="E170" i="13"/>
  <c r="E212" i="13" s="1"/>
  <c r="D170" i="13"/>
  <c r="D212" i="13" s="1"/>
  <c r="K169" i="13"/>
  <c r="J169" i="13"/>
  <c r="J211" i="13" s="1"/>
  <c r="I169" i="13"/>
  <c r="H169" i="13"/>
  <c r="G169" i="13"/>
  <c r="F169" i="13"/>
  <c r="F211" i="13" s="1"/>
  <c r="E169" i="13"/>
  <c r="E211" i="13" s="1"/>
  <c r="D169" i="13"/>
  <c r="K168" i="13"/>
  <c r="J168" i="13"/>
  <c r="I168" i="13"/>
  <c r="I210" i="13" s="1"/>
  <c r="H168" i="13"/>
  <c r="G168" i="13"/>
  <c r="G210" i="13" s="1"/>
  <c r="F168" i="13"/>
  <c r="F210" i="13" s="1"/>
  <c r="E168" i="13"/>
  <c r="D168" i="13"/>
  <c r="D210" i="13" s="1"/>
  <c r="K167" i="13"/>
  <c r="K209" i="13" s="1"/>
  <c r="J167" i="13"/>
  <c r="J209" i="13" s="1"/>
  <c r="I167" i="13"/>
  <c r="H167" i="13"/>
  <c r="G167" i="13"/>
  <c r="F167" i="13"/>
  <c r="E167" i="13"/>
  <c r="E209" i="13" s="1"/>
  <c r="D167" i="13"/>
  <c r="K166" i="13"/>
  <c r="J166" i="13"/>
  <c r="I166" i="13"/>
  <c r="I208" i="13" s="1"/>
  <c r="H166" i="13"/>
  <c r="H208" i="13" s="1"/>
  <c r="G166" i="13"/>
  <c r="G208" i="13" s="1"/>
  <c r="F166" i="13"/>
  <c r="F208" i="13" s="1"/>
  <c r="E166" i="13"/>
  <c r="E208" i="13" s="1"/>
  <c r="D166" i="13"/>
  <c r="K165" i="13"/>
  <c r="K207" i="13" s="1"/>
  <c r="J165" i="13"/>
  <c r="J207" i="13" s="1"/>
  <c r="I165" i="13"/>
  <c r="H165" i="13"/>
  <c r="G165" i="13"/>
  <c r="G207" i="13" s="1"/>
  <c r="F165" i="13"/>
  <c r="E165" i="13"/>
  <c r="E207" i="13" s="1"/>
  <c r="D165" i="13"/>
  <c r="K164" i="13"/>
  <c r="J164" i="13"/>
  <c r="I164" i="13"/>
  <c r="I206" i="13" s="1"/>
  <c r="H164" i="13"/>
  <c r="H206" i="13" s="1"/>
  <c r="G164" i="13"/>
  <c r="G206" i="13" s="1"/>
  <c r="F164" i="13"/>
  <c r="F206" i="13" s="1"/>
  <c r="E164" i="13"/>
  <c r="E206" i="13" s="1"/>
  <c r="D164" i="13"/>
  <c r="K163" i="13"/>
  <c r="K205" i="13" s="1"/>
  <c r="J163" i="13"/>
  <c r="J205" i="13" s="1"/>
  <c r="I163" i="13"/>
  <c r="H163" i="13"/>
  <c r="G163" i="13"/>
  <c r="G205" i="13" s="1"/>
  <c r="F163" i="13"/>
  <c r="E163" i="13"/>
  <c r="E205" i="13" s="1"/>
  <c r="D163" i="13"/>
  <c r="K162" i="13"/>
  <c r="J162" i="13"/>
  <c r="I162" i="13"/>
  <c r="I204" i="13" s="1"/>
  <c r="H162" i="13"/>
  <c r="H204" i="13" s="1"/>
  <c r="G162" i="13"/>
  <c r="G204" i="13" s="1"/>
  <c r="F162" i="13"/>
  <c r="F204" i="13" s="1"/>
  <c r="E162" i="13"/>
  <c r="E204" i="13" s="1"/>
  <c r="D162" i="13"/>
  <c r="K161" i="13"/>
  <c r="K203" i="13" s="1"/>
  <c r="J161" i="13"/>
  <c r="J203" i="13" s="1"/>
  <c r="I161" i="13"/>
  <c r="H161" i="13"/>
  <c r="G161" i="13"/>
  <c r="G203" i="13" s="1"/>
  <c r="F161" i="13"/>
  <c r="E161" i="13"/>
  <c r="E203" i="13" s="1"/>
  <c r="D161" i="13"/>
  <c r="K160" i="13"/>
  <c r="J160" i="13"/>
  <c r="I160" i="13"/>
  <c r="I202" i="13" s="1"/>
  <c r="H160" i="13"/>
  <c r="H202" i="13" s="1"/>
  <c r="G160" i="13"/>
  <c r="G202" i="13" s="1"/>
  <c r="F160" i="13"/>
  <c r="F202" i="13" s="1"/>
  <c r="E160" i="13"/>
  <c r="E202" i="13" s="1"/>
  <c r="D160" i="13"/>
  <c r="K159" i="13"/>
  <c r="K201" i="13" s="1"/>
  <c r="J159" i="13"/>
  <c r="J201" i="13" s="1"/>
  <c r="I159" i="13"/>
  <c r="H159" i="13"/>
  <c r="G159" i="13"/>
  <c r="G201" i="13" s="1"/>
  <c r="F159" i="13"/>
  <c r="E159" i="13"/>
  <c r="E201" i="13" s="1"/>
  <c r="D159" i="13"/>
  <c r="K158" i="13"/>
  <c r="J158" i="13"/>
  <c r="I158" i="13"/>
  <c r="I200" i="13" s="1"/>
  <c r="H158" i="13"/>
  <c r="H200" i="13" s="1"/>
  <c r="G158" i="13"/>
  <c r="G200" i="13" s="1"/>
  <c r="F158" i="13"/>
  <c r="F200" i="13" s="1"/>
  <c r="E158" i="13"/>
  <c r="D158" i="13"/>
  <c r="K157" i="13"/>
  <c r="K199" i="13" s="1"/>
  <c r="J157" i="13"/>
  <c r="J199" i="13" s="1"/>
  <c r="I157" i="13"/>
  <c r="H157" i="13"/>
  <c r="G157" i="13"/>
  <c r="G199" i="13" s="1"/>
  <c r="F157" i="13"/>
  <c r="E157" i="13"/>
  <c r="E199" i="13" s="1"/>
  <c r="D157" i="13"/>
  <c r="K156" i="13"/>
  <c r="J156" i="13"/>
  <c r="I156" i="13"/>
  <c r="I198" i="13" s="1"/>
  <c r="H156" i="13"/>
  <c r="H198" i="13" s="1"/>
  <c r="G156" i="13"/>
  <c r="G198" i="13" s="1"/>
  <c r="F156" i="13"/>
  <c r="F198" i="13" s="1"/>
  <c r="E156" i="13"/>
  <c r="D156" i="13"/>
  <c r="K155" i="13"/>
  <c r="K197" i="13" s="1"/>
  <c r="J155" i="13"/>
  <c r="J197" i="13" s="1"/>
  <c r="I155" i="13"/>
  <c r="H155" i="13"/>
  <c r="G155" i="13"/>
  <c r="G197" i="13" s="1"/>
  <c r="F155" i="13"/>
  <c r="E155" i="13"/>
  <c r="E197" i="13" s="1"/>
  <c r="D155" i="13"/>
  <c r="K154" i="13"/>
  <c r="J154" i="13"/>
  <c r="I154" i="13"/>
  <c r="I196" i="13" s="1"/>
  <c r="H154" i="13"/>
  <c r="H196" i="13" s="1"/>
  <c r="G154" i="13"/>
  <c r="G196" i="13" s="1"/>
  <c r="F154" i="13"/>
  <c r="F196" i="13" s="1"/>
  <c r="E154" i="13"/>
  <c r="D154" i="13"/>
  <c r="K153" i="13"/>
  <c r="K195" i="13" s="1"/>
  <c r="J153" i="13"/>
  <c r="J195" i="13" s="1"/>
  <c r="I153" i="13"/>
  <c r="H153" i="13"/>
  <c r="G153" i="13"/>
  <c r="G195" i="13" s="1"/>
  <c r="F153" i="13"/>
  <c r="E153" i="13"/>
  <c r="E195" i="13" s="1"/>
  <c r="D153" i="13"/>
  <c r="K152" i="13"/>
  <c r="J152" i="13"/>
  <c r="I152" i="13"/>
  <c r="I194" i="13" s="1"/>
  <c r="H152" i="13"/>
  <c r="H194" i="13" s="1"/>
  <c r="G152" i="13"/>
  <c r="G194" i="13" s="1"/>
  <c r="F152" i="13"/>
  <c r="F194" i="13" s="1"/>
  <c r="E152" i="13"/>
  <c r="E194" i="13" s="1"/>
  <c r="D152" i="13"/>
  <c r="K151" i="13"/>
  <c r="K193" i="13" s="1"/>
  <c r="J151" i="13"/>
  <c r="J193" i="13" s="1"/>
  <c r="I151" i="13"/>
  <c r="H151" i="13"/>
  <c r="G151" i="13"/>
  <c r="G193" i="13" s="1"/>
  <c r="F151" i="13"/>
  <c r="E151" i="13"/>
  <c r="E193" i="13" s="1"/>
  <c r="D151" i="13"/>
  <c r="K150" i="13"/>
  <c r="J150" i="13"/>
  <c r="I150" i="13"/>
  <c r="I192" i="13" s="1"/>
  <c r="H150" i="13"/>
  <c r="H192" i="13" s="1"/>
  <c r="G150" i="13"/>
  <c r="G192" i="13" s="1"/>
  <c r="F150" i="13"/>
  <c r="F192" i="13" s="1"/>
  <c r="E150" i="13"/>
  <c r="D150" i="13"/>
  <c r="K149" i="13"/>
  <c r="K191" i="13" s="1"/>
  <c r="J149" i="13"/>
  <c r="J191" i="13" s="1"/>
  <c r="I149" i="13"/>
  <c r="I191" i="13" s="1"/>
  <c r="H149" i="13"/>
  <c r="G149" i="13"/>
  <c r="G191" i="13" s="1"/>
  <c r="F149" i="13"/>
  <c r="E149" i="13"/>
  <c r="E191" i="13" s="1"/>
  <c r="D149" i="13"/>
  <c r="K148" i="13"/>
  <c r="J148" i="13"/>
  <c r="I148" i="13"/>
  <c r="I190" i="13" s="1"/>
  <c r="H148" i="13"/>
  <c r="H190" i="13" s="1"/>
  <c r="G148" i="13"/>
  <c r="G190" i="13" s="1"/>
  <c r="F148" i="13"/>
  <c r="F190" i="13" s="1"/>
  <c r="E148" i="13"/>
  <c r="D148" i="13"/>
  <c r="K147" i="13"/>
  <c r="K189" i="13" s="1"/>
  <c r="J147" i="13"/>
  <c r="J189" i="13" s="1"/>
  <c r="I147" i="13"/>
  <c r="I189" i="13" s="1"/>
  <c r="H147" i="13"/>
  <c r="G147" i="13"/>
  <c r="G189" i="13" s="1"/>
  <c r="F147" i="13"/>
  <c r="E147" i="13"/>
  <c r="E189" i="13" s="1"/>
  <c r="D147" i="13"/>
  <c r="K146" i="13"/>
  <c r="J146" i="13"/>
  <c r="I146" i="13"/>
  <c r="I188" i="13" s="1"/>
  <c r="H146" i="13"/>
  <c r="H188" i="13" s="1"/>
  <c r="G146" i="13"/>
  <c r="G188" i="13" s="1"/>
  <c r="F146" i="13"/>
  <c r="F188" i="13" s="1"/>
  <c r="E146" i="13"/>
  <c r="D146" i="13"/>
  <c r="K145" i="13"/>
  <c r="K187" i="13" s="1"/>
  <c r="J145" i="13"/>
  <c r="J187" i="13" s="1"/>
  <c r="I145" i="13"/>
  <c r="I187" i="13" s="1"/>
  <c r="H145" i="13"/>
  <c r="G145" i="13"/>
  <c r="G187" i="13" s="1"/>
  <c r="F145" i="13"/>
  <c r="E145" i="13"/>
  <c r="E187" i="13" s="1"/>
  <c r="D145" i="13"/>
  <c r="K144" i="13"/>
  <c r="J144" i="13"/>
  <c r="I144" i="13"/>
  <c r="I186" i="13" s="1"/>
  <c r="H144" i="13"/>
  <c r="H186" i="13" s="1"/>
  <c r="G144" i="13"/>
  <c r="G186" i="13" s="1"/>
  <c r="F144" i="13"/>
  <c r="F186" i="13" s="1"/>
  <c r="E144" i="13"/>
  <c r="D144" i="13"/>
  <c r="K143" i="13"/>
  <c r="K185" i="13" s="1"/>
  <c r="J143" i="13"/>
  <c r="J185" i="13" s="1"/>
  <c r="I143" i="13"/>
  <c r="I185" i="13" s="1"/>
  <c r="H143" i="13"/>
  <c r="G143" i="13"/>
  <c r="G185" i="13" s="1"/>
  <c r="F143" i="13"/>
  <c r="E143" i="13"/>
  <c r="E185" i="13" s="1"/>
  <c r="D143" i="13"/>
  <c r="K142" i="13"/>
  <c r="J142" i="13"/>
  <c r="I142" i="13"/>
  <c r="I184" i="13" s="1"/>
  <c r="H142" i="13"/>
  <c r="H184" i="13" s="1"/>
  <c r="G142" i="13"/>
  <c r="G184" i="13" s="1"/>
  <c r="F142" i="13"/>
  <c r="F184" i="13" s="1"/>
  <c r="E142" i="13"/>
  <c r="D142" i="13"/>
  <c r="K141" i="13"/>
  <c r="K171" i="13" s="1"/>
  <c r="J141" i="13"/>
  <c r="J171" i="13" s="1"/>
  <c r="I141" i="13"/>
  <c r="I183" i="13" s="1"/>
  <c r="H141" i="13"/>
  <c r="H171" i="13" s="1"/>
  <c r="G141" i="13"/>
  <c r="G183" i="13" s="1"/>
  <c r="F141" i="13"/>
  <c r="E141" i="13"/>
  <c r="E183" i="13" s="1"/>
  <c r="D141" i="13"/>
  <c r="K140" i="13"/>
  <c r="J140" i="13"/>
  <c r="I140" i="13"/>
  <c r="H140" i="13"/>
  <c r="H182" i="13" s="1"/>
  <c r="G140" i="13"/>
  <c r="G182" i="13" s="1"/>
  <c r="F140" i="13"/>
  <c r="F182" i="13" s="1"/>
  <c r="E140" i="13"/>
  <c r="D140" i="13"/>
  <c r="D171" i="13" s="1"/>
  <c r="C130" i="13"/>
  <c r="J128" i="13"/>
  <c r="D128" i="13"/>
  <c r="K127" i="13"/>
  <c r="F127" i="13"/>
  <c r="J126" i="13"/>
  <c r="D126" i="13"/>
  <c r="F125" i="13"/>
  <c r="J124" i="13"/>
  <c r="D124" i="13"/>
  <c r="F123" i="13"/>
  <c r="J122" i="13"/>
  <c r="D122" i="13"/>
  <c r="F121" i="13"/>
  <c r="J120" i="13"/>
  <c r="D120" i="13"/>
  <c r="K119" i="13"/>
  <c r="F119" i="13"/>
  <c r="J118" i="13"/>
  <c r="D118" i="13"/>
  <c r="F117" i="13"/>
  <c r="J116" i="13"/>
  <c r="D116" i="13"/>
  <c r="F115" i="13"/>
  <c r="J114" i="13"/>
  <c r="D114" i="13"/>
  <c r="F113" i="13"/>
  <c r="J112" i="13"/>
  <c r="D112" i="13"/>
  <c r="K111" i="13"/>
  <c r="F111" i="13"/>
  <c r="J110" i="13"/>
  <c r="F110" i="13"/>
  <c r="E110" i="13"/>
  <c r="D110" i="13"/>
  <c r="F109" i="13"/>
  <c r="J108" i="13"/>
  <c r="D108" i="13"/>
  <c r="F107" i="13"/>
  <c r="J106" i="13"/>
  <c r="D106" i="13"/>
  <c r="F105" i="13"/>
  <c r="J104" i="13"/>
  <c r="D104" i="13"/>
  <c r="F103" i="13"/>
  <c r="D102" i="13"/>
  <c r="F101" i="13"/>
  <c r="D100" i="13"/>
  <c r="F99" i="13"/>
  <c r="D98" i="13"/>
  <c r="C89" i="13"/>
  <c r="K88" i="13"/>
  <c r="K87" i="13"/>
  <c r="K128" i="13" s="1"/>
  <c r="J87" i="13"/>
  <c r="I87" i="13"/>
  <c r="I128" i="13" s="1"/>
  <c r="H87" i="13"/>
  <c r="G87" i="13"/>
  <c r="G128" i="13" s="1"/>
  <c r="F87" i="13"/>
  <c r="E87" i="13"/>
  <c r="D87" i="13"/>
  <c r="K86" i="13"/>
  <c r="J86" i="13"/>
  <c r="J127" i="13" s="1"/>
  <c r="I86" i="13"/>
  <c r="I127" i="13" s="1"/>
  <c r="H86" i="13"/>
  <c r="G86" i="13"/>
  <c r="G127" i="13" s="1"/>
  <c r="F86" i="13"/>
  <c r="E86" i="13"/>
  <c r="E127" i="13" s="1"/>
  <c r="D86" i="13"/>
  <c r="K85" i="13"/>
  <c r="K126" i="13" s="1"/>
  <c r="J85" i="13"/>
  <c r="I85" i="13"/>
  <c r="I126" i="13" s="1"/>
  <c r="H85" i="13"/>
  <c r="G85" i="13"/>
  <c r="G126" i="13" s="1"/>
  <c r="F85" i="13"/>
  <c r="E85" i="13"/>
  <c r="D85" i="13"/>
  <c r="K84" i="13"/>
  <c r="K125" i="13" s="1"/>
  <c r="J84" i="13"/>
  <c r="J125" i="13" s="1"/>
  <c r="I84" i="13"/>
  <c r="I125" i="13" s="1"/>
  <c r="H84" i="13"/>
  <c r="G84" i="13"/>
  <c r="G125" i="13" s="1"/>
  <c r="F84" i="13"/>
  <c r="E84" i="13"/>
  <c r="E125" i="13" s="1"/>
  <c r="D84" i="13"/>
  <c r="K83" i="13"/>
  <c r="K124" i="13" s="1"/>
  <c r="J83" i="13"/>
  <c r="I83" i="13"/>
  <c r="I124" i="13" s="1"/>
  <c r="H83" i="13"/>
  <c r="G83" i="13"/>
  <c r="G124" i="13" s="1"/>
  <c r="F83" i="13"/>
  <c r="E83" i="13"/>
  <c r="D83" i="13"/>
  <c r="K82" i="13"/>
  <c r="K123" i="13" s="1"/>
  <c r="J82" i="13"/>
  <c r="J123" i="13" s="1"/>
  <c r="I82" i="13"/>
  <c r="I123" i="13" s="1"/>
  <c r="H82" i="13"/>
  <c r="G82" i="13"/>
  <c r="G123" i="13" s="1"/>
  <c r="F82" i="13"/>
  <c r="E82" i="13"/>
  <c r="E123" i="13" s="1"/>
  <c r="D82" i="13"/>
  <c r="K81" i="13"/>
  <c r="K122" i="13" s="1"/>
  <c r="J81" i="13"/>
  <c r="I81" i="13"/>
  <c r="I122" i="13" s="1"/>
  <c r="H81" i="13"/>
  <c r="G81" i="13"/>
  <c r="G122" i="13" s="1"/>
  <c r="F81" i="13"/>
  <c r="E81" i="13"/>
  <c r="D81" i="13"/>
  <c r="K80" i="13"/>
  <c r="K121" i="13" s="1"/>
  <c r="J80" i="13"/>
  <c r="J121" i="13" s="1"/>
  <c r="I80" i="13"/>
  <c r="I121" i="13" s="1"/>
  <c r="H80" i="13"/>
  <c r="G80" i="13"/>
  <c r="G121" i="13" s="1"/>
  <c r="F80" i="13"/>
  <c r="E80" i="13"/>
  <c r="E121" i="13" s="1"/>
  <c r="D80" i="13"/>
  <c r="K79" i="13"/>
  <c r="K120" i="13" s="1"/>
  <c r="J79" i="13"/>
  <c r="I79" i="13"/>
  <c r="I120" i="13" s="1"/>
  <c r="H79" i="13"/>
  <c r="G79" i="13"/>
  <c r="G120" i="13" s="1"/>
  <c r="F79" i="13"/>
  <c r="E79" i="13"/>
  <c r="D79" i="13"/>
  <c r="K78" i="13"/>
  <c r="J78" i="13"/>
  <c r="J119" i="13" s="1"/>
  <c r="I78" i="13"/>
  <c r="I119" i="13" s="1"/>
  <c r="H78" i="13"/>
  <c r="G78" i="13"/>
  <c r="G119" i="13" s="1"/>
  <c r="F78" i="13"/>
  <c r="E78" i="13"/>
  <c r="E119" i="13" s="1"/>
  <c r="D78" i="13"/>
  <c r="K77" i="13"/>
  <c r="K118" i="13" s="1"/>
  <c r="J77" i="13"/>
  <c r="I77" i="13"/>
  <c r="I118" i="13" s="1"/>
  <c r="H77" i="13"/>
  <c r="G77" i="13"/>
  <c r="G118" i="13" s="1"/>
  <c r="F77" i="13"/>
  <c r="E77" i="13"/>
  <c r="D77" i="13"/>
  <c r="K76" i="13"/>
  <c r="K117" i="13" s="1"/>
  <c r="J76" i="13"/>
  <c r="J117" i="13" s="1"/>
  <c r="I76" i="13"/>
  <c r="I117" i="13" s="1"/>
  <c r="H76" i="13"/>
  <c r="G76" i="13"/>
  <c r="G117" i="13" s="1"/>
  <c r="F76" i="13"/>
  <c r="E76" i="13"/>
  <c r="E117" i="13" s="1"/>
  <c r="D76" i="13"/>
  <c r="K75" i="13"/>
  <c r="K116" i="13" s="1"/>
  <c r="J75" i="13"/>
  <c r="I75" i="13"/>
  <c r="I116" i="13" s="1"/>
  <c r="H75" i="13"/>
  <c r="G75" i="13"/>
  <c r="G116" i="13" s="1"/>
  <c r="F75" i="13"/>
  <c r="E75" i="13"/>
  <c r="D75" i="13"/>
  <c r="K74" i="13"/>
  <c r="K115" i="13" s="1"/>
  <c r="J74" i="13"/>
  <c r="J115" i="13" s="1"/>
  <c r="I74" i="13"/>
  <c r="I115" i="13" s="1"/>
  <c r="H74" i="13"/>
  <c r="G74" i="13"/>
  <c r="G115" i="13" s="1"/>
  <c r="F74" i="13"/>
  <c r="E74" i="13"/>
  <c r="E115" i="13" s="1"/>
  <c r="D74" i="13"/>
  <c r="K73" i="13"/>
  <c r="K114" i="13" s="1"/>
  <c r="J73" i="13"/>
  <c r="I73" i="13"/>
  <c r="I114" i="13" s="1"/>
  <c r="H73" i="13"/>
  <c r="G73" i="13"/>
  <c r="G114" i="13" s="1"/>
  <c r="F73" i="13"/>
  <c r="E73" i="13"/>
  <c r="D73" i="13"/>
  <c r="K72" i="13"/>
  <c r="K113" i="13" s="1"/>
  <c r="J72" i="13"/>
  <c r="J113" i="13" s="1"/>
  <c r="I72" i="13"/>
  <c r="I113" i="13" s="1"/>
  <c r="H72" i="13"/>
  <c r="G72" i="13"/>
  <c r="G113" i="13" s="1"/>
  <c r="F72" i="13"/>
  <c r="E72" i="13"/>
  <c r="E113" i="13" s="1"/>
  <c r="D72" i="13"/>
  <c r="K71" i="13"/>
  <c r="K112" i="13" s="1"/>
  <c r="J71" i="13"/>
  <c r="I71" i="13"/>
  <c r="I112" i="13" s="1"/>
  <c r="H71" i="13"/>
  <c r="G71" i="13"/>
  <c r="G112" i="13" s="1"/>
  <c r="F71" i="13"/>
  <c r="E71" i="13"/>
  <c r="D71" i="13"/>
  <c r="K70" i="13"/>
  <c r="J70" i="13"/>
  <c r="J111" i="13" s="1"/>
  <c r="I70" i="13"/>
  <c r="I111" i="13" s="1"/>
  <c r="H70" i="13"/>
  <c r="G70" i="13"/>
  <c r="G111" i="13" s="1"/>
  <c r="F70" i="13"/>
  <c r="E70" i="13"/>
  <c r="E111" i="13" s="1"/>
  <c r="D70" i="13"/>
  <c r="K69" i="13"/>
  <c r="K110" i="13" s="1"/>
  <c r="J69" i="13"/>
  <c r="I69" i="13"/>
  <c r="I110" i="13" s="1"/>
  <c r="H69" i="13"/>
  <c r="G69" i="13"/>
  <c r="G110" i="13" s="1"/>
  <c r="F69" i="13"/>
  <c r="E69" i="13"/>
  <c r="D69" i="13"/>
  <c r="K68" i="13"/>
  <c r="K109" i="13" s="1"/>
  <c r="J68" i="13"/>
  <c r="J109" i="13" s="1"/>
  <c r="I68" i="13"/>
  <c r="I109" i="13" s="1"/>
  <c r="H68" i="13"/>
  <c r="G68" i="13"/>
  <c r="G109" i="13" s="1"/>
  <c r="F68" i="13"/>
  <c r="E68" i="13"/>
  <c r="E109" i="13" s="1"/>
  <c r="D68" i="13"/>
  <c r="K67" i="13"/>
  <c r="K108" i="13" s="1"/>
  <c r="J67" i="13"/>
  <c r="I67" i="13"/>
  <c r="I108" i="13" s="1"/>
  <c r="H67" i="13"/>
  <c r="G67" i="13"/>
  <c r="G108" i="13" s="1"/>
  <c r="F67" i="13"/>
  <c r="E67" i="13"/>
  <c r="D67" i="13"/>
  <c r="K66" i="13"/>
  <c r="K107" i="13" s="1"/>
  <c r="J66" i="13"/>
  <c r="J107" i="13" s="1"/>
  <c r="I66" i="13"/>
  <c r="I107" i="13" s="1"/>
  <c r="H66" i="13"/>
  <c r="G66" i="13"/>
  <c r="G107" i="13" s="1"/>
  <c r="F66" i="13"/>
  <c r="E66" i="13"/>
  <c r="E107" i="13" s="1"/>
  <c r="D66" i="13"/>
  <c r="K65" i="13"/>
  <c r="K106" i="13" s="1"/>
  <c r="J65" i="13"/>
  <c r="I65" i="13"/>
  <c r="I106" i="13" s="1"/>
  <c r="H65" i="13"/>
  <c r="G65" i="13"/>
  <c r="G106" i="13" s="1"/>
  <c r="F65" i="13"/>
  <c r="E65" i="13"/>
  <c r="D65" i="13"/>
  <c r="K64" i="13"/>
  <c r="K105" i="13" s="1"/>
  <c r="J64" i="13"/>
  <c r="J105" i="13" s="1"/>
  <c r="I64" i="13"/>
  <c r="I105" i="13" s="1"/>
  <c r="H64" i="13"/>
  <c r="G64" i="13"/>
  <c r="G105" i="13" s="1"/>
  <c r="F64" i="13"/>
  <c r="E64" i="13"/>
  <c r="E105" i="13" s="1"/>
  <c r="D64" i="13"/>
  <c r="K63" i="13"/>
  <c r="K104" i="13" s="1"/>
  <c r="J63" i="13"/>
  <c r="I63" i="13"/>
  <c r="I104" i="13" s="1"/>
  <c r="H63" i="13"/>
  <c r="G63" i="13"/>
  <c r="G104" i="13" s="1"/>
  <c r="F63" i="13"/>
  <c r="E63" i="13"/>
  <c r="D63" i="13"/>
  <c r="K62" i="13"/>
  <c r="K103" i="13" s="1"/>
  <c r="J62" i="13"/>
  <c r="J103" i="13" s="1"/>
  <c r="I62" i="13"/>
  <c r="I103" i="13" s="1"/>
  <c r="H62" i="13"/>
  <c r="G62" i="13"/>
  <c r="G103" i="13" s="1"/>
  <c r="F62" i="13"/>
  <c r="E62" i="13"/>
  <c r="E103" i="13" s="1"/>
  <c r="D62" i="13"/>
  <c r="K61" i="13"/>
  <c r="K102" i="13" s="1"/>
  <c r="J61" i="13"/>
  <c r="I61" i="13"/>
  <c r="I102" i="13" s="1"/>
  <c r="H61" i="13"/>
  <c r="G61" i="13"/>
  <c r="G102" i="13" s="1"/>
  <c r="F61" i="13"/>
  <c r="E61" i="13"/>
  <c r="D61" i="13"/>
  <c r="K60" i="13"/>
  <c r="K101" i="13" s="1"/>
  <c r="J60" i="13"/>
  <c r="J101" i="13" s="1"/>
  <c r="I60" i="13"/>
  <c r="I101" i="13" s="1"/>
  <c r="H60" i="13"/>
  <c r="G60" i="13"/>
  <c r="G101" i="13" s="1"/>
  <c r="F60" i="13"/>
  <c r="E60" i="13"/>
  <c r="E101" i="13" s="1"/>
  <c r="D60" i="13"/>
  <c r="K59" i="13"/>
  <c r="K100" i="13" s="1"/>
  <c r="J59" i="13"/>
  <c r="I59" i="13"/>
  <c r="I100" i="13" s="1"/>
  <c r="H59" i="13"/>
  <c r="G59" i="13"/>
  <c r="G100" i="13" s="1"/>
  <c r="F59" i="13"/>
  <c r="E59" i="13"/>
  <c r="D59" i="13"/>
  <c r="K58" i="13"/>
  <c r="K99" i="13" s="1"/>
  <c r="J58" i="13"/>
  <c r="J99" i="13" s="1"/>
  <c r="I58" i="13"/>
  <c r="I99" i="13" s="1"/>
  <c r="H58" i="13"/>
  <c r="G58" i="13"/>
  <c r="G99" i="13" s="1"/>
  <c r="F58" i="13"/>
  <c r="E58" i="13"/>
  <c r="E88" i="13" s="1"/>
  <c r="D58" i="13"/>
  <c r="K57" i="13"/>
  <c r="K98" i="13" s="1"/>
  <c r="J57" i="13"/>
  <c r="J88" i="13" s="1"/>
  <c r="I57" i="13"/>
  <c r="I98" i="13" s="1"/>
  <c r="H57" i="13"/>
  <c r="H88" i="13" s="1"/>
  <c r="G57" i="13"/>
  <c r="F57" i="13"/>
  <c r="F88" i="13" s="1"/>
  <c r="E57" i="13"/>
  <c r="D57" i="13"/>
  <c r="K45" i="13"/>
  <c r="J45" i="13"/>
  <c r="J212" i="13" s="1"/>
  <c r="I45" i="13"/>
  <c r="H45" i="13"/>
  <c r="H295" i="13" s="1"/>
  <c r="G45" i="13"/>
  <c r="G212" i="13" s="1"/>
  <c r="F45" i="13"/>
  <c r="F128" i="13" s="1"/>
  <c r="E45" i="13"/>
  <c r="E128" i="13" s="1"/>
  <c r="D45" i="13"/>
  <c r="K44" i="13"/>
  <c r="K294" i="13" s="1"/>
  <c r="J44" i="13"/>
  <c r="I44" i="13"/>
  <c r="H44" i="13"/>
  <c r="G44" i="13"/>
  <c r="F44" i="13"/>
  <c r="F294" i="13" s="1"/>
  <c r="E44" i="13"/>
  <c r="D44" i="13"/>
  <c r="K43" i="13"/>
  <c r="J43" i="13"/>
  <c r="J210" i="13" s="1"/>
  <c r="I43" i="13"/>
  <c r="I293" i="13" s="1"/>
  <c r="H43" i="13"/>
  <c r="H210" i="13" s="1"/>
  <c r="G43" i="13"/>
  <c r="F43" i="13"/>
  <c r="F126" i="13" s="1"/>
  <c r="E43" i="13"/>
  <c r="D43" i="13"/>
  <c r="K42" i="13"/>
  <c r="J42" i="13"/>
  <c r="I42" i="13"/>
  <c r="H42" i="13"/>
  <c r="G42" i="13"/>
  <c r="F42" i="13"/>
  <c r="E42" i="13"/>
  <c r="D42" i="13"/>
  <c r="D209" i="13" s="1"/>
  <c r="K41" i="13"/>
  <c r="J41" i="13"/>
  <c r="J291" i="13" s="1"/>
  <c r="I41" i="13"/>
  <c r="H41" i="13"/>
  <c r="H291" i="13" s="1"/>
  <c r="G41" i="13"/>
  <c r="F41" i="13"/>
  <c r="F124" i="13" s="1"/>
  <c r="E41" i="13"/>
  <c r="E124" i="13" s="1"/>
  <c r="D41" i="13"/>
  <c r="K40" i="13"/>
  <c r="K290" i="13" s="1"/>
  <c r="J40" i="13"/>
  <c r="I40" i="13"/>
  <c r="I207" i="13" s="1"/>
  <c r="H40" i="13"/>
  <c r="H207" i="13" s="1"/>
  <c r="G40" i="13"/>
  <c r="F40" i="13"/>
  <c r="F290" i="13" s="1"/>
  <c r="E40" i="13"/>
  <c r="D40" i="13"/>
  <c r="D207" i="13" s="1"/>
  <c r="K39" i="13"/>
  <c r="J39" i="13"/>
  <c r="J206" i="13" s="1"/>
  <c r="I39" i="13"/>
  <c r="H39" i="13"/>
  <c r="H289" i="13" s="1"/>
  <c r="G39" i="13"/>
  <c r="F39" i="13"/>
  <c r="F289" i="13" s="1"/>
  <c r="E39" i="13"/>
  <c r="E122" i="13" s="1"/>
  <c r="D39" i="13"/>
  <c r="K38" i="13"/>
  <c r="K288" i="13" s="1"/>
  <c r="J38" i="13"/>
  <c r="I38" i="13"/>
  <c r="I288" i="13" s="1"/>
  <c r="H38" i="13"/>
  <c r="G38" i="13"/>
  <c r="F38" i="13"/>
  <c r="F288" i="13" s="1"/>
  <c r="E38" i="13"/>
  <c r="D38" i="13"/>
  <c r="D205" i="13" s="1"/>
  <c r="K37" i="13"/>
  <c r="J37" i="13"/>
  <c r="J204" i="13" s="1"/>
  <c r="I37" i="13"/>
  <c r="H37" i="13"/>
  <c r="H287" i="13" s="1"/>
  <c r="G37" i="13"/>
  <c r="F37" i="13"/>
  <c r="F120" i="13" s="1"/>
  <c r="E37" i="13"/>
  <c r="E120" i="13" s="1"/>
  <c r="D37" i="13"/>
  <c r="K36" i="13"/>
  <c r="K286" i="13" s="1"/>
  <c r="J36" i="13"/>
  <c r="I36" i="13"/>
  <c r="I203" i="13" s="1"/>
  <c r="H36" i="13"/>
  <c r="G36" i="13"/>
  <c r="F36" i="13"/>
  <c r="E36" i="13"/>
  <c r="D36" i="13"/>
  <c r="D203" i="13" s="1"/>
  <c r="K35" i="13"/>
  <c r="J35" i="13"/>
  <c r="J285" i="13" s="1"/>
  <c r="I35" i="13"/>
  <c r="I285" i="13" s="1"/>
  <c r="H35" i="13"/>
  <c r="H285" i="13" s="1"/>
  <c r="G35" i="13"/>
  <c r="F35" i="13"/>
  <c r="F118" i="13" s="1"/>
  <c r="E35" i="13"/>
  <c r="E118" i="13" s="1"/>
  <c r="D35" i="13"/>
  <c r="K34" i="13"/>
  <c r="J34" i="13"/>
  <c r="I34" i="13"/>
  <c r="I201" i="13" s="1"/>
  <c r="H34" i="13"/>
  <c r="G34" i="13"/>
  <c r="F34" i="13"/>
  <c r="E34" i="13"/>
  <c r="D34" i="13"/>
  <c r="D201" i="13" s="1"/>
  <c r="K33" i="13"/>
  <c r="J33" i="13"/>
  <c r="J200" i="13" s="1"/>
  <c r="I33" i="13"/>
  <c r="I283" i="13" s="1"/>
  <c r="H33" i="13"/>
  <c r="H116" i="13" s="1"/>
  <c r="G33" i="13"/>
  <c r="F33" i="13"/>
  <c r="F116" i="13" s="1"/>
  <c r="E33" i="13"/>
  <c r="E116" i="13" s="1"/>
  <c r="D33" i="13"/>
  <c r="K32" i="13"/>
  <c r="K282" i="13" s="1"/>
  <c r="J32" i="13"/>
  <c r="I32" i="13"/>
  <c r="I199" i="13" s="1"/>
  <c r="H32" i="13"/>
  <c r="H199" i="13" s="1"/>
  <c r="G32" i="13"/>
  <c r="F32" i="13"/>
  <c r="F282" i="13" s="1"/>
  <c r="E32" i="13"/>
  <c r="D32" i="13"/>
  <c r="D199" i="13" s="1"/>
  <c r="K31" i="13"/>
  <c r="J31" i="13"/>
  <c r="J198" i="13" s="1"/>
  <c r="I31" i="13"/>
  <c r="I281" i="13" s="1"/>
  <c r="H31" i="13"/>
  <c r="H114" i="13" s="1"/>
  <c r="G31" i="13"/>
  <c r="F31" i="13"/>
  <c r="F114" i="13" s="1"/>
  <c r="E31" i="13"/>
  <c r="E114" i="13" s="1"/>
  <c r="D31" i="13"/>
  <c r="K30" i="13"/>
  <c r="K280" i="13" s="1"/>
  <c r="J30" i="13"/>
  <c r="I30" i="13"/>
  <c r="I197" i="13" s="1"/>
  <c r="H30" i="13"/>
  <c r="G30" i="13"/>
  <c r="F30" i="13"/>
  <c r="E30" i="13"/>
  <c r="D30" i="13"/>
  <c r="D197" i="13" s="1"/>
  <c r="K29" i="13"/>
  <c r="J29" i="13"/>
  <c r="J196" i="13" s="1"/>
  <c r="I29" i="13"/>
  <c r="H29" i="13"/>
  <c r="H112" i="13" s="1"/>
  <c r="G29" i="13"/>
  <c r="F29" i="13"/>
  <c r="F112" i="13" s="1"/>
  <c r="E29" i="13"/>
  <c r="E112" i="13" s="1"/>
  <c r="D29" i="13"/>
  <c r="K28" i="13"/>
  <c r="K278" i="13" s="1"/>
  <c r="J28" i="13"/>
  <c r="I28" i="13"/>
  <c r="I195" i="13" s="1"/>
  <c r="H28" i="13"/>
  <c r="G28" i="13"/>
  <c r="F28" i="13"/>
  <c r="F278" i="13" s="1"/>
  <c r="E28" i="13"/>
  <c r="D28" i="13"/>
  <c r="D195" i="13" s="1"/>
  <c r="K27" i="13"/>
  <c r="J27" i="13"/>
  <c r="J194" i="13" s="1"/>
  <c r="I27" i="13"/>
  <c r="I277" i="13" s="1"/>
  <c r="H27" i="13"/>
  <c r="H110" i="13" s="1"/>
  <c r="G27" i="13"/>
  <c r="F27" i="13"/>
  <c r="E27" i="13"/>
  <c r="D27" i="13"/>
  <c r="K26" i="13"/>
  <c r="J26" i="13"/>
  <c r="I26" i="13"/>
  <c r="I193" i="13" s="1"/>
  <c r="H26" i="13"/>
  <c r="G26" i="13"/>
  <c r="F26" i="13"/>
  <c r="E26" i="13"/>
  <c r="D26" i="13"/>
  <c r="D193" i="13" s="1"/>
  <c r="K25" i="13"/>
  <c r="J25" i="13"/>
  <c r="J275" i="13" s="1"/>
  <c r="I25" i="13"/>
  <c r="H25" i="13"/>
  <c r="H108" i="13" s="1"/>
  <c r="G25" i="13"/>
  <c r="F25" i="13"/>
  <c r="F108" i="13" s="1"/>
  <c r="E25" i="13"/>
  <c r="E108" i="13" s="1"/>
  <c r="D25" i="13"/>
  <c r="K24" i="13"/>
  <c r="J24" i="13"/>
  <c r="I24" i="13"/>
  <c r="H24" i="13"/>
  <c r="H191" i="13" s="1"/>
  <c r="G24" i="13"/>
  <c r="F24" i="13"/>
  <c r="F274" i="13" s="1"/>
  <c r="E24" i="13"/>
  <c r="D24" i="13"/>
  <c r="D191" i="13" s="1"/>
  <c r="K23" i="13"/>
  <c r="J23" i="13"/>
  <c r="J190" i="13" s="1"/>
  <c r="I23" i="13"/>
  <c r="H23" i="13"/>
  <c r="H106" i="13" s="1"/>
  <c r="G23" i="13"/>
  <c r="F23" i="13"/>
  <c r="F106" i="13" s="1"/>
  <c r="E23" i="13"/>
  <c r="E106" i="13" s="1"/>
  <c r="D23" i="13"/>
  <c r="K22" i="13"/>
  <c r="K272" i="13" s="1"/>
  <c r="J22" i="13"/>
  <c r="I22" i="13"/>
  <c r="I272" i="13" s="1"/>
  <c r="H22" i="13"/>
  <c r="G22" i="13"/>
  <c r="F22" i="13"/>
  <c r="F272" i="13" s="1"/>
  <c r="E22" i="13"/>
  <c r="D22" i="13"/>
  <c r="D189" i="13" s="1"/>
  <c r="K21" i="13"/>
  <c r="J21" i="13"/>
  <c r="J188" i="13" s="1"/>
  <c r="I21" i="13"/>
  <c r="H21" i="13"/>
  <c r="H104" i="13" s="1"/>
  <c r="G21" i="13"/>
  <c r="F21" i="13"/>
  <c r="F104" i="13" s="1"/>
  <c r="E21" i="13"/>
  <c r="E104" i="13" s="1"/>
  <c r="D21" i="13"/>
  <c r="K20" i="13"/>
  <c r="J20" i="13"/>
  <c r="I20" i="13"/>
  <c r="H20" i="13"/>
  <c r="G20" i="13"/>
  <c r="F20" i="13"/>
  <c r="F270" i="13" s="1"/>
  <c r="E20" i="13"/>
  <c r="D20" i="13"/>
  <c r="D187" i="13" s="1"/>
  <c r="K19" i="13"/>
  <c r="J19" i="13"/>
  <c r="I19" i="13"/>
  <c r="I269" i="13" s="1"/>
  <c r="H19" i="13"/>
  <c r="H102" i="13" s="1"/>
  <c r="G19" i="13"/>
  <c r="F19" i="13"/>
  <c r="F102" i="13" s="1"/>
  <c r="E19" i="13"/>
  <c r="E102" i="13" s="1"/>
  <c r="D19" i="13"/>
  <c r="K18" i="13"/>
  <c r="J18" i="13"/>
  <c r="I18" i="13"/>
  <c r="H18" i="13"/>
  <c r="G18" i="13"/>
  <c r="F18" i="13"/>
  <c r="E18" i="13"/>
  <c r="D18" i="13"/>
  <c r="D185" i="13" s="1"/>
  <c r="K17" i="13"/>
  <c r="J17" i="13"/>
  <c r="I17" i="13"/>
  <c r="H17" i="13"/>
  <c r="H100" i="13" s="1"/>
  <c r="G17" i="13"/>
  <c r="F17" i="13"/>
  <c r="F100" i="13" s="1"/>
  <c r="E17" i="13"/>
  <c r="E100" i="13" s="1"/>
  <c r="D17" i="13"/>
  <c r="K16" i="13"/>
  <c r="K46" i="13" s="1"/>
  <c r="J16" i="13"/>
  <c r="I16" i="13"/>
  <c r="H16" i="13"/>
  <c r="H46" i="13" s="1"/>
  <c r="G16" i="13"/>
  <c r="F16" i="13"/>
  <c r="F266" i="13" s="1"/>
  <c r="E16" i="13"/>
  <c r="D16" i="13"/>
  <c r="D183" i="13" s="1"/>
  <c r="K15" i="13"/>
  <c r="J15" i="13"/>
  <c r="I15" i="13"/>
  <c r="I265" i="13" s="1"/>
  <c r="H15" i="13"/>
  <c r="H98" i="13" s="1"/>
  <c r="G15" i="13"/>
  <c r="G46" i="13" s="1"/>
  <c r="F15" i="13"/>
  <c r="F98" i="13" s="1"/>
  <c r="E15" i="13"/>
  <c r="D15" i="13"/>
  <c r="U274" i="12"/>
  <c r="N274" i="12"/>
  <c r="T272" i="12"/>
  <c r="R272" i="12"/>
  <c r="O272" i="12"/>
  <c r="K272" i="12"/>
  <c r="I272" i="12"/>
  <c r="G272" i="12"/>
  <c r="F272" i="12"/>
  <c r="D272" i="12"/>
  <c r="R271" i="12"/>
  <c r="M269" i="12"/>
  <c r="D269" i="12"/>
  <c r="Q266" i="12"/>
  <c r="K266" i="12"/>
  <c r="V263" i="12"/>
  <c r="R263" i="12"/>
  <c r="J261" i="12"/>
  <c r="E261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I258" i="12"/>
  <c r="F256" i="12"/>
  <c r="R255" i="12"/>
  <c r="O253" i="12"/>
  <c r="N251" i="12"/>
  <c r="K249" i="12"/>
  <c r="D249" i="12"/>
  <c r="T236" i="12"/>
  <c r="V235" i="12"/>
  <c r="U235" i="12"/>
  <c r="T235" i="12"/>
  <c r="S235" i="12"/>
  <c r="R235" i="12"/>
  <c r="Q235" i="12"/>
  <c r="P235" i="12"/>
  <c r="P275" i="12" s="1"/>
  <c r="O235" i="12"/>
  <c r="O275" i="12" s="1"/>
  <c r="N235" i="12"/>
  <c r="M235" i="12"/>
  <c r="L235" i="12"/>
  <c r="K235" i="12"/>
  <c r="J235" i="12"/>
  <c r="I235" i="12"/>
  <c r="H235" i="12"/>
  <c r="G235" i="12"/>
  <c r="F235" i="12"/>
  <c r="E235" i="12"/>
  <c r="D235" i="12"/>
  <c r="V234" i="12"/>
  <c r="U234" i="12"/>
  <c r="T234" i="12"/>
  <c r="S234" i="12"/>
  <c r="S274" i="12" s="1"/>
  <c r="R234" i="12"/>
  <c r="R274" i="12" s="1"/>
  <c r="Q234" i="12"/>
  <c r="P234" i="12"/>
  <c r="O234" i="12"/>
  <c r="N234" i="12"/>
  <c r="M234" i="12"/>
  <c r="L234" i="12"/>
  <c r="K234" i="12"/>
  <c r="J234" i="12"/>
  <c r="I234" i="12"/>
  <c r="H234" i="12"/>
  <c r="G234" i="12"/>
  <c r="F234" i="12"/>
  <c r="E234" i="12"/>
  <c r="D234" i="12"/>
  <c r="V233" i="12"/>
  <c r="V273" i="12" s="1"/>
  <c r="U233" i="12"/>
  <c r="U273" i="12" s="1"/>
  <c r="T233" i="12"/>
  <c r="S233" i="12"/>
  <c r="R233" i="12"/>
  <c r="Q233" i="12"/>
  <c r="P233" i="12"/>
  <c r="O233" i="12"/>
  <c r="N233" i="12"/>
  <c r="M233" i="12"/>
  <c r="L233" i="12"/>
  <c r="K233" i="12"/>
  <c r="J233" i="12"/>
  <c r="I233" i="12"/>
  <c r="H233" i="12"/>
  <c r="G233" i="12"/>
  <c r="F233" i="12"/>
  <c r="F273" i="12" s="1"/>
  <c r="E233" i="12"/>
  <c r="E273" i="12" s="1"/>
  <c r="D233" i="12"/>
  <c r="V232" i="12"/>
  <c r="U232" i="12"/>
  <c r="T232" i="12"/>
  <c r="S232" i="12"/>
  <c r="S272" i="12" s="1"/>
  <c r="R232" i="12"/>
  <c r="Q232" i="12"/>
  <c r="Q272" i="12" s="1"/>
  <c r="P232" i="12"/>
  <c r="P272" i="12" s="1"/>
  <c r="O232" i="12"/>
  <c r="N232" i="12"/>
  <c r="N272" i="12" s="1"/>
  <c r="M232" i="12"/>
  <c r="M272" i="12" s="1"/>
  <c r="L232" i="12"/>
  <c r="L272" i="12" s="1"/>
  <c r="K232" i="12"/>
  <c r="J232" i="12"/>
  <c r="J272" i="12" s="1"/>
  <c r="I232" i="12"/>
  <c r="H232" i="12"/>
  <c r="H272" i="12" s="1"/>
  <c r="G232" i="12"/>
  <c r="F232" i="12"/>
  <c r="E232" i="12"/>
  <c r="E272" i="12" s="1"/>
  <c r="D232" i="12"/>
  <c r="V231" i="12"/>
  <c r="U231" i="12"/>
  <c r="T231" i="12"/>
  <c r="S231" i="12"/>
  <c r="R231" i="12"/>
  <c r="Q231" i="12"/>
  <c r="P231" i="12"/>
  <c r="O231" i="12"/>
  <c r="N231" i="12"/>
  <c r="M231" i="12"/>
  <c r="L231" i="12"/>
  <c r="L271" i="12" s="1"/>
  <c r="K231" i="12"/>
  <c r="K271" i="12" s="1"/>
  <c r="J231" i="12"/>
  <c r="I231" i="12"/>
  <c r="H231" i="12"/>
  <c r="G231" i="12"/>
  <c r="F231" i="12"/>
  <c r="E231" i="12"/>
  <c r="D231" i="12"/>
  <c r="V230" i="12"/>
  <c r="U230" i="12"/>
  <c r="T230" i="12"/>
  <c r="S230" i="12"/>
  <c r="R230" i="12"/>
  <c r="Q230" i="12"/>
  <c r="P230" i="12"/>
  <c r="O230" i="12"/>
  <c r="O270" i="12" s="1"/>
  <c r="N230" i="12"/>
  <c r="N270" i="12" s="1"/>
  <c r="M230" i="12"/>
  <c r="L230" i="12"/>
  <c r="K230" i="12"/>
  <c r="J230" i="12"/>
  <c r="I230" i="12"/>
  <c r="H230" i="12"/>
  <c r="G230" i="12"/>
  <c r="F230" i="12"/>
  <c r="E230" i="12"/>
  <c r="E270" i="12" s="1"/>
  <c r="D230" i="12"/>
  <c r="V229" i="12"/>
  <c r="U229" i="12"/>
  <c r="T229" i="12"/>
  <c r="S229" i="12"/>
  <c r="R229" i="12"/>
  <c r="Q229" i="12"/>
  <c r="Q269" i="12" s="1"/>
  <c r="P229" i="12"/>
  <c r="O229" i="12"/>
  <c r="N229" i="12"/>
  <c r="M229" i="12"/>
  <c r="L229" i="12"/>
  <c r="K229" i="12"/>
  <c r="J229" i="12"/>
  <c r="I229" i="12"/>
  <c r="H229" i="12"/>
  <c r="H269" i="12" s="1"/>
  <c r="G229" i="12"/>
  <c r="F229" i="12"/>
  <c r="E229" i="12"/>
  <c r="D229" i="12"/>
  <c r="V228" i="12"/>
  <c r="U228" i="12"/>
  <c r="U268" i="12" s="1"/>
  <c r="T228" i="12"/>
  <c r="T268" i="12" s="1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E268" i="12" s="1"/>
  <c r="D228" i="12"/>
  <c r="D268" i="12" s="1"/>
  <c r="V227" i="12"/>
  <c r="U227" i="12"/>
  <c r="T227" i="12"/>
  <c r="S227" i="12"/>
  <c r="R227" i="12"/>
  <c r="Q227" i="12"/>
  <c r="P227" i="12"/>
  <c r="O227" i="12"/>
  <c r="N227" i="12"/>
  <c r="N267" i="12" s="1"/>
  <c r="M227" i="12"/>
  <c r="L227" i="12"/>
  <c r="K227" i="12"/>
  <c r="J227" i="12"/>
  <c r="I227" i="12"/>
  <c r="H227" i="12"/>
  <c r="H267" i="12" s="1"/>
  <c r="G227" i="12"/>
  <c r="G267" i="12" s="1"/>
  <c r="F227" i="12"/>
  <c r="E227" i="12"/>
  <c r="D227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J266" i="12" s="1"/>
  <c r="I226" i="12"/>
  <c r="H226" i="12"/>
  <c r="G226" i="12"/>
  <c r="F226" i="12"/>
  <c r="E226" i="12"/>
  <c r="D226" i="12"/>
  <c r="V225" i="12"/>
  <c r="U225" i="12"/>
  <c r="T225" i="12"/>
  <c r="T265" i="12" s="1"/>
  <c r="S225" i="12"/>
  <c r="R225" i="12"/>
  <c r="Q225" i="12"/>
  <c r="P225" i="12"/>
  <c r="O225" i="12"/>
  <c r="N225" i="12"/>
  <c r="N265" i="12" s="1"/>
  <c r="M225" i="12"/>
  <c r="M265" i="12" s="1"/>
  <c r="L225" i="12"/>
  <c r="K225" i="12"/>
  <c r="J225" i="12"/>
  <c r="I225" i="12"/>
  <c r="H225" i="12"/>
  <c r="G225" i="12"/>
  <c r="F225" i="12"/>
  <c r="E225" i="12"/>
  <c r="D225" i="12"/>
  <c r="V224" i="12"/>
  <c r="U224" i="12"/>
  <c r="T224" i="12"/>
  <c r="S224" i="12"/>
  <c r="R224" i="12"/>
  <c r="Q224" i="12"/>
  <c r="Q264" i="12" s="1"/>
  <c r="P224" i="12"/>
  <c r="P264" i="12" s="1"/>
  <c r="O224" i="12"/>
  <c r="N224" i="12"/>
  <c r="M224" i="12"/>
  <c r="L224" i="12"/>
  <c r="K224" i="12"/>
  <c r="J224" i="12"/>
  <c r="I224" i="12"/>
  <c r="H224" i="12"/>
  <c r="G224" i="12"/>
  <c r="G264" i="12" s="1"/>
  <c r="F224" i="12"/>
  <c r="E224" i="12"/>
  <c r="D224" i="12"/>
  <c r="V223" i="12"/>
  <c r="U223" i="12"/>
  <c r="T223" i="12"/>
  <c r="T263" i="12" s="1"/>
  <c r="S223" i="12"/>
  <c r="S263" i="12" s="1"/>
  <c r="R223" i="12"/>
  <c r="Q223" i="12"/>
  <c r="P223" i="12"/>
  <c r="O223" i="12"/>
  <c r="N223" i="12"/>
  <c r="M223" i="12"/>
  <c r="L223" i="12"/>
  <c r="K223" i="12"/>
  <c r="J223" i="12"/>
  <c r="J263" i="12" s="1"/>
  <c r="I223" i="12"/>
  <c r="H223" i="12"/>
  <c r="G223" i="12"/>
  <c r="F223" i="12"/>
  <c r="E223" i="12"/>
  <c r="D223" i="12"/>
  <c r="V222" i="12"/>
  <c r="V262" i="12" s="1"/>
  <c r="U222" i="12"/>
  <c r="T222" i="12"/>
  <c r="S222" i="12"/>
  <c r="R222" i="12"/>
  <c r="Q222" i="12"/>
  <c r="P222" i="12"/>
  <c r="O222" i="12"/>
  <c r="N222" i="12"/>
  <c r="M222" i="12"/>
  <c r="M262" i="12" s="1"/>
  <c r="L222" i="12"/>
  <c r="K222" i="12"/>
  <c r="J222" i="12"/>
  <c r="I222" i="12"/>
  <c r="H222" i="12"/>
  <c r="G222" i="12"/>
  <c r="G262" i="12" s="1"/>
  <c r="F222" i="12"/>
  <c r="F262" i="12" s="1"/>
  <c r="E222" i="12"/>
  <c r="D222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I261" i="12" s="1"/>
  <c r="H221" i="12"/>
  <c r="G221" i="12"/>
  <c r="F221" i="12"/>
  <c r="E221" i="12"/>
  <c r="D221" i="12"/>
  <c r="V220" i="12"/>
  <c r="U220" i="12"/>
  <c r="T220" i="12"/>
  <c r="S220" i="12"/>
  <c r="S260" i="12" s="1"/>
  <c r="R220" i="12"/>
  <c r="Q220" i="12"/>
  <c r="P220" i="12"/>
  <c r="O220" i="12"/>
  <c r="N220" i="12"/>
  <c r="M220" i="12"/>
  <c r="M260" i="12" s="1"/>
  <c r="L220" i="12"/>
  <c r="L260" i="12" s="1"/>
  <c r="K220" i="12"/>
  <c r="J220" i="12"/>
  <c r="I220" i="12"/>
  <c r="H220" i="12"/>
  <c r="G220" i="12"/>
  <c r="F220" i="12"/>
  <c r="E220" i="12"/>
  <c r="D220" i="12"/>
  <c r="V218" i="12"/>
  <c r="U218" i="12"/>
  <c r="T218" i="12"/>
  <c r="S218" i="12"/>
  <c r="R218" i="12"/>
  <c r="Q218" i="12"/>
  <c r="P218" i="12"/>
  <c r="O218" i="12"/>
  <c r="O258" i="12" s="1"/>
  <c r="N218" i="12"/>
  <c r="M218" i="12"/>
  <c r="M258" i="12" s="1"/>
  <c r="L218" i="12"/>
  <c r="K218" i="12"/>
  <c r="J218" i="12"/>
  <c r="I218" i="12"/>
  <c r="H218" i="12"/>
  <c r="G218" i="12"/>
  <c r="F218" i="12"/>
  <c r="E218" i="12"/>
  <c r="D218" i="12"/>
  <c r="V217" i="12"/>
  <c r="U217" i="12"/>
  <c r="T217" i="12"/>
  <c r="S217" i="12"/>
  <c r="S257" i="12" s="1"/>
  <c r="R217" i="12"/>
  <c r="R257" i="12" s="1"/>
  <c r="Q217" i="12"/>
  <c r="P217" i="12"/>
  <c r="P257" i="12" s="1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V216" i="12"/>
  <c r="V256" i="12" s="1"/>
  <c r="U216" i="12"/>
  <c r="U256" i="12" s="1"/>
  <c r="T216" i="12"/>
  <c r="S216" i="12"/>
  <c r="S256" i="12" s="1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E256" i="12" s="1"/>
  <c r="D216" i="12"/>
  <c r="V215" i="12"/>
  <c r="V255" i="12" s="1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H255" i="12" s="1"/>
  <c r="G215" i="12"/>
  <c r="F215" i="12"/>
  <c r="F255" i="12" s="1"/>
  <c r="E215" i="12"/>
  <c r="D215" i="12"/>
  <c r="V214" i="12"/>
  <c r="U214" i="12"/>
  <c r="T214" i="12"/>
  <c r="S214" i="12"/>
  <c r="R214" i="12"/>
  <c r="Q214" i="12"/>
  <c r="P214" i="12"/>
  <c r="O214" i="12"/>
  <c r="N214" i="12"/>
  <c r="M214" i="12"/>
  <c r="L214" i="12"/>
  <c r="L254" i="12" s="1"/>
  <c r="K214" i="12"/>
  <c r="K254" i="12" s="1"/>
  <c r="J214" i="12"/>
  <c r="I214" i="12"/>
  <c r="I254" i="12" s="1"/>
  <c r="H214" i="12"/>
  <c r="G214" i="12"/>
  <c r="F214" i="12"/>
  <c r="E214" i="12"/>
  <c r="D214" i="12"/>
  <c r="V213" i="12"/>
  <c r="U213" i="12"/>
  <c r="T213" i="12"/>
  <c r="S213" i="12"/>
  <c r="R213" i="12"/>
  <c r="Q213" i="12"/>
  <c r="P213" i="12"/>
  <c r="O213" i="12"/>
  <c r="N213" i="12"/>
  <c r="N253" i="12" s="1"/>
  <c r="M213" i="12"/>
  <c r="L213" i="12"/>
  <c r="L253" i="12" s="1"/>
  <c r="K213" i="12"/>
  <c r="J213" i="12"/>
  <c r="I213" i="12"/>
  <c r="H213" i="12"/>
  <c r="G213" i="12"/>
  <c r="F213" i="12"/>
  <c r="E213" i="12"/>
  <c r="D213" i="12"/>
  <c r="V212" i="12"/>
  <c r="U212" i="12"/>
  <c r="T212" i="12"/>
  <c r="S212" i="12"/>
  <c r="R212" i="12"/>
  <c r="R252" i="12" s="1"/>
  <c r="Q212" i="12"/>
  <c r="Q252" i="12" s="1"/>
  <c r="P212" i="12"/>
  <c r="O212" i="12"/>
  <c r="O252" i="12" s="1"/>
  <c r="N212" i="12"/>
  <c r="M212" i="12"/>
  <c r="L212" i="12"/>
  <c r="K212" i="12"/>
  <c r="J212" i="12"/>
  <c r="I212" i="12"/>
  <c r="H212" i="12"/>
  <c r="G212" i="12"/>
  <c r="F212" i="12"/>
  <c r="E212" i="12"/>
  <c r="D212" i="12"/>
  <c r="V211" i="12"/>
  <c r="U211" i="12"/>
  <c r="T211" i="12"/>
  <c r="T251" i="12" s="1"/>
  <c r="S211" i="12"/>
  <c r="R211" i="12"/>
  <c r="R251" i="12" s="1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E251" i="12" s="1"/>
  <c r="D211" i="12"/>
  <c r="D251" i="12" s="1"/>
  <c r="V210" i="12"/>
  <c r="U210" i="12"/>
  <c r="U250" i="12" s="1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H250" i="12" s="1"/>
  <c r="G210" i="12"/>
  <c r="G250" i="12" s="1"/>
  <c r="F210" i="12"/>
  <c r="E210" i="12"/>
  <c r="E250" i="12" s="1"/>
  <c r="D210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J249" i="12" s="1"/>
  <c r="I209" i="12"/>
  <c r="H209" i="12"/>
  <c r="H249" i="12" s="1"/>
  <c r="G209" i="12"/>
  <c r="F209" i="12"/>
  <c r="E209" i="12"/>
  <c r="D209" i="12"/>
  <c r="V208" i="12"/>
  <c r="U208" i="12"/>
  <c r="U236" i="12" s="1"/>
  <c r="T208" i="12"/>
  <c r="S208" i="12"/>
  <c r="R208" i="12"/>
  <c r="Q208" i="12"/>
  <c r="P208" i="12"/>
  <c r="O208" i="12"/>
  <c r="N208" i="12"/>
  <c r="M208" i="12"/>
  <c r="M248" i="12" s="1"/>
  <c r="L208" i="12"/>
  <c r="K208" i="12"/>
  <c r="K248" i="12" s="1"/>
  <c r="J208" i="12"/>
  <c r="I208" i="12"/>
  <c r="H208" i="12"/>
  <c r="G208" i="12"/>
  <c r="F208" i="12"/>
  <c r="E208" i="12"/>
  <c r="D208" i="12"/>
  <c r="V207" i="12"/>
  <c r="U207" i="12"/>
  <c r="T207" i="12"/>
  <c r="S207" i="12"/>
  <c r="R207" i="12"/>
  <c r="Q207" i="12"/>
  <c r="P207" i="12"/>
  <c r="O207" i="12"/>
  <c r="N207" i="12"/>
  <c r="N247" i="12" s="1"/>
  <c r="M207" i="12"/>
  <c r="L207" i="12"/>
  <c r="K207" i="12"/>
  <c r="J207" i="12"/>
  <c r="I207" i="12"/>
  <c r="H207" i="12"/>
  <c r="G207" i="12"/>
  <c r="F207" i="12"/>
  <c r="E207" i="12"/>
  <c r="D207" i="12"/>
  <c r="F197" i="12"/>
  <c r="T196" i="12"/>
  <c r="P195" i="12"/>
  <c r="L195" i="12"/>
  <c r="S194" i="12"/>
  <c r="P194" i="12"/>
  <c r="H194" i="12"/>
  <c r="G194" i="12"/>
  <c r="F194" i="12"/>
  <c r="E194" i="12"/>
  <c r="V193" i="12"/>
  <c r="N192" i="12"/>
  <c r="L192" i="12"/>
  <c r="T190" i="12"/>
  <c r="O189" i="12"/>
  <c r="G188" i="12"/>
  <c r="U187" i="12"/>
  <c r="O186" i="12"/>
  <c r="M186" i="12"/>
  <c r="E185" i="12"/>
  <c r="U184" i="12"/>
  <c r="P183" i="12"/>
  <c r="K183" i="12"/>
  <c r="G182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U179" i="12"/>
  <c r="S179" i="12"/>
  <c r="L178" i="12"/>
  <c r="H178" i="12"/>
  <c r="V176" i="12"/>
  <c r="R176" i="12"/>
  <c r="N175" i="12"/>
  <c r="I175" i="12"/>
  <c r="V173" i="12"/>
  <c r="T173" i="12"/>
  <c r="L172" i="12"/>
  <c r="I172" i="12"/>
  <c r="E171" i="12"/>
  <c r="T170" i="12"/>
  <c r="Q169" i="12"/>
  <c r="N169" i="12"/>
  <c r="V158" i="12"/>
  <c r="V197" i="12" s="1"/>
  <c r="U158" i="12"/>
  <c r="T158" i="12"/>
  <c r="S158" i="12"/>
  <c r="R158" i="12"/>
  <c r="Q158" i="12"/>
  <c r="Q197" i="12" s="1"/>
  <c r="P158" i="12"/>
  <c r="O158" i="12"/>
  <c r="N158" i="12"/>
  <c r="M158" i="12"/>
  <c r="M197" i="12" s="1"/>
  <c r="L158" i="12"/>
  <c r="K158" i="12"/>
  <c r="K197" i="12" s="1"/>
  <c r="J158" i="12"/>
  <c r="I158" i="12"/>
  <c r="I197" i="12" s="1"/>
  <c r="H158" i="12"/>
  <c r="G158" i="12"/>
  <c r="F158" i="12"/>
  <c r="E158" i="12"/>
  <c r="D158" i="12"/>
  <c r="V157" i="12"/>
  <c r="U157" i="12"/>
  <c r="T157" i="12"/>
  <c r="S157" i="12"/>
  <c r="R157" i="12"/>
  <c r="Q157" i="12"/>
  <c r="P157" i="12"/>
  <c r="P196" i="12" s="1"/>
  <c r="O157" i="12"/>
  <c r="N157" i="12"/>
  <c r="N196" i="12" s="1"/>
  <c r="M157" i="12"/>
  <c r="L157" i="12"/>
  <c r="L196" i="12" s="1"/>
  <c r="K157" i="12"/>
  <c r="J157" i="12"/>
  <c r="I157" i="12"/>
  <c r="I196" i="12" s="1"/>
  <c r="H157" i="12"/>
  <c r="G157" i="12"/>
  <c r="F157" i="12"/>
  <c r="E157" i="12"/>
  <c r="D157" i="12"/>
  <c r="D196" i="12" s="1"/>
  <c r="V156" i="12"/>
  <c r="U156" i="12"/>
  <c r="T156" i="12"/>
  <c r="S156" i="12"/>
  <c r="S195" i="12" s="1"/>
  <c r="R156" i="12"/>
  <c r="Q156" i="12"/>
  <c r="Q195" i="12" s="1"/>
  <c r="P156" i="12"/>
  <c r="O156" i="12"/>
  <c r="O195" i="12" s="1"/>
  <c r="N156" i="12"/>
  <c r="M156" i="12"/>
  <c r="M195" i="12" s="1"/>
  <c r="L156" i="12"/>
  <c r="K156" i="12"/>
  <c r="J156" i="12"/>
  <c r="I156" i="12"/>
  <c r="H156" i="12"/>
  <c r="G156" i="12"/>
  <c r="G195" i="12" s="1"/>
  <c r="F156" i="12"/>
  <c r="E156" i="12"/>
  <c r="D156" i="12"/>
  <c r="V155" i="12"/>
  <c r="V194" i="12" s="1"/>
  <c r="U155" i="12"/>
  <c r="T155" i="12"/>
  <c r="T194" i="12" s="1"/>
  <c r="S155" i="12"/>
  <c r="R155" i="12"/>
  <c r="R194" i="12" s="1"/>
  <c r="Q155" i="12"/>
  <c r="Q194" i="12" s="1"/>
  <c r="P155" i="12"/>
  <c r="O155" i="12"/>
  <c r="O194" i="12" s="1"/>
  <c r="N155" i="12"/>
  <c r="N194" i="12" s="1"/>
  <c r="M155" i="12"/>
  <c r="M194" i="12" s="1"/>
  <c r="L155" i="12"/>
  <c r="L194" i="12" s="1"/>
  <c r="K155" i="12"/>
  <c r="K194" i="12" s="1"/>
  <c r="J155" i="12"/>
  <c r="J194" i="12" s="1"/>
  <c r="I155" i="12"/>
  <c r="I194" i="12" s="1"/>
  <c r="H155" i="12"/>
  <c r="G155" i="12"/>
  <c r="F155" i="12"/>
  <c r="E155" i="12"/>
  <c r="D155" i="12"/>
  <c r="D194" i="12" s="1"/>
  <c r="V154" i="12"/>
  <c r="U154" i="12"/>
  <c r="U193" i="12" s="1"/>
  <c r="T154" i="12"/>
  <c r="S154" i="12"/>
  <c r="R154" i="12"/>
  <c r="R193" i="12" s="1"/>
  <c r="Q154" i="12"/>
  <c r="P154" i="12"/>
  <c r="O154" i="12"/>
  <c r="N154" i="12"/>
  <c r="M154" i="12"/>
  <c r="M193" i="12" s="1"/>
  <c r="L154" i="12"/>
  <c r="K154" i="12"/>
  <c r="J154" i="12"/>
  <c r="I154" i="12"/>
  <c r="I193" i="12" s="1"/>
  <c r="H154" i="12"/>
  <c r="G154" i="12"/>
  <c r="G193" i="12" s="1"/>
  <c r="F154" i="12"/>
  <c r="E154" i="12"/>
  <c r="E193" i="12" s="1"/>
  <c r="D154" i="12"/>
  <c r="V153" i="12"/>
  <c r="V192" i="12" s="1"/>
  <c r="U153" i="12"/>
  <c r="U192" i="12" s="1"/>
  <c r="T153" i="12"/>
  <c r="S153" i="12"/>
  <c r="R153" i="12"/>
  <c r="Q153" i="12"/>
  <c r="P153" i="12"/>
  <c r="P192" i="12" s="1"/>
  <c r="O153" i="12"/>
  <c r="N153" i="12"/>
  <c r="M153" i="12"/>
  <c r="L153" i="12"/>
  <c r="K153" i="12"/>
  <c r="J153" i="12"/>
  <c r="J192" i="12" s="1"/>
  <c r="I153" i="12"/>
  <c r="H153" i="12"/>
  <c r="H192" i="12" s="1"/>
  <c r="G153" i="12"/>
  <c r="F153" i="12"/>
  <c r="E153" i="12"/>
  <c r="E192" i="12" s="1"/>
  <c r="D153" i="12"/>
  <c r="V152" i="12"/>
  <c r="U152" i="12"/>
  <c r="T152" i="12"/>
  <c r="S152" i="12"/>
  <c r="S191" i="12" s="1"/>
  <c r="R152" i="12"/>
  <c r="Q152" i="12"/>
  <c r="P152" i="12"/>
  <c r="O152" i="12"/>
  <c r="O191" i="12" s="1"/>
  <c r="N152" i="12"/>
  <c r="M152" i="12"/>
  <c r="M191" i="12" s="1"/>
  <c r="L152" i="12"/>
  <c r="K152" i="12"/>
  <c r="K191" i="12" s="1"/>
  <c r="J152" i="12"/>
  <c r="I152" i="12"/>
  <c r="H152" i="12"/>
  <c r="H191" i="12" s="1"/>
  <c r="G152" i="12"/>
  <c r="F152" i="12"/>
  <c r="E152" i="12"/>
  <c r="D152" i="12"/>
  <c r="V151" i="12"/>
  <c r="V190" i="12" s="1"/>
  <c r="U151" i="12"/>
  <c r="T151" i="12"/>
  <c r="S151" i="12"/>
  <c r="R151" i="12"/>
  <c r="R190" i="12" s="1"/>
  <c r="Q151" i="12"/>
  <c r="P151" i="12"/>
  <c r="P190" i="12" s="1"/>
  <c r="O151" i="12"/>
  <c r="N151" i="12"/>
  <c r="N190" i="12" s="1"/>
  <c r="M151" i="12"/>
  <c r="L151" i="12"/>
  <c r="K151" i="12"/>
  <c r="J151" i="12"/>
  <c r="I151" i="12"/>
  <c r="H151" i="12"/>
  <c r="G151" i="12"/>
  <c r="F151" i="12"/>
  <c r="F190" i="12" s="1"/>
  <c r="E151" i="12"/>
  <c r="D151" i="12"/>
  <c r="V150" i="12"/>
  <c r="U150" i="12"/>
  <c r="U189" i="12" s="1"/>
  <c r="T150" i="12"/>
  <c r="S150" i="12"/>
  <c r="S189" i="12" s="1"/>
  <c r="R150" i="12"/>
  <c r="Q150" i="12"/>
  <c r="Q189" i="12" s="1"/>
  <c r="P150" i="12"/>
  <c r="O150" i="12"/>
  <c r="N150" i="12"/>
  <c r="N189" i="12" s="1"/>
  <c r="M150" i="12"/>
  <c r="L150" i="12"/>
  <c r="K150" i="12"/>
  <c r="J150" i="12"/>
  <c r="I150" i="12"/>
  <c r="I189" i="12" s="1"/>
  <c r="H150" i="12"/>
  <c r="G150" i="12"/>
  <c r="F150" i="12"/>
  <c r="E150" i="12"/>
  <c r="E189" i="12" s="1"/>
  <c r="D150" i="12"/>
  <c r="V149" i="12"/>
  <c r="V188" i="12" s="1"/>
  <c r="U149" i="12"/>
  <c r="T149" i="12"/>
  <c r="T188" i="12" s="1"/>
  <c r="S149" i="12"/>
  <c r="R149" i="12"/>
  <c r="R188" i="12" s="1"/>
  <c r="Q149" i="12"/>
  <c r="Q188" i="12" s="1"/>
  <c r="P149" i="12"/>
  <c r="O149" i="12"/>
  <c r="N149" i="12"/>
  <c r="M149" i="12"/>
  <c r="L149" i="12"/>
  <c r="L188" i="12" s="1"/>
  <c r="K149" i="12"/>
  <c r="J149" i="12"/>
  <c r="I149" i="12"/>
  <c r="H149" i="12"/>
  <c r="H188" i="12" s="1"/>
  <c r="G149" i="12"/>
  <c r="F149" i="12"/>
  <c r="F188" i="12" s="1"/>
  <c r="E149" i="12"/>
  <c r="D149" i="12"/>
  <c r="D188" i="12" s="1"/>
  <c r="V148" i="12"/>
  <c r="U148" i="12"/>
  <c r="T148" i="12"/>
  <c r="T187" i="12" s="1"/>
  <c r="S148" i="12"/>
  <c r="R148" i="12"/>
  <c r="Q148" i="12"/>
  <c r="P148" i="12"/>
  <c r="O148" i="12"/>
  <c r="O187" i="12" s="1"/>
  <c r="N148" i="12"/>
  <c r="M148" i="12"/>
  <c r="L148" i="12"/>
  <c r="K148" i="12"/>
  <c r="K187" i="12" s="1"/>
  <c r="J148" i="12"/>
  <c r="I148" i="12"/>
  <c r="I187" i="12" s="1"/>
  <c r="H148" i="12"/>
  <c r="G148" i="12"/>
  <c r="G187" i="12" s="1"/>
  <c r="F148" i="12"/>
  <c r="E148" i="12"/>
  <c r="E187" i="12" s="1"/>
  <c r="D148" i="12"/>
  <c r="D187" i="12" s="1"/>
  <c r="V147" i="12"/>
  <c r="U147" i="12"/>
  <c r="T147" i="12"/>
  <c r="S147" i="12"/>
  <c r="R147" i="12"/>
  <c r="R186" i="12" s="1"/>
  <c r="Q147" i="12"/>
  <c r="P147" i="12"/>
  <c r="O147" i="12"/>
  <c r="N147" i="12"/>
  <c r="N186" i="12" s="1"/>
  <c r="M147" i="12"/>
  <c r="L147" i="12"/>
  <c r="L186" i="12" s="1"/>
  <c r="K147" i="12"/>
  <c r="J147" i="12"/>
  <c r="J186" i="12" s="1"/>
  <c r="I147" i="12"/>
  <c r="H147" i="12"/>
  <c r="H186" i="12" s="1"/>
  <c r="G147" i="12"/>
  <c r="G186" i="12" s="1"/>
  <c r="F147" i="12"/>
  <c r="E147" i="12"/>
  <c r="D147" i="12"/>
  <c r="V146" i="12"/>
  <c r="U146" i="12"/>
  <c r="U185" i="12" s="1"/>
  <c r="T146" i="12"/>
  <c r="S146" i="12"/>
  <c r="R146" i="12"/>
  <c r="Q146" i="12"/>
  <c r="Q185" i="12" s="1"/>
  <c r="P146" i="12"/>
  <c r="O146" i="12"/>
  <c r="O185" i="12" s="1"/>
  <c r="N146" i="12"/>
  <c r="M146" i="12"/>
  <c r="M185" i="12" s="1"/>
  <c r="L146" i="12"/>
  <c r="K146" i="12"/>
  <c r="K185" i="12" s="1"/>
  <c r="J146" i="12"/>
  <c r="J185" i="12" s="1"/>
  <c r="I146" i="12"/>
  <c r="H146" i="12"/>
  <c r="G146" i="12"/>
  <c r="F146" i="12"/>
  <c r="E146" i="12"/>
  <c r="D146" i="12"/>
  <c r="V145" i="12"/>
  <c r="U145" i="12"/>
  <c r="T145" i="12"/>
  <c r="T184" i="12" s="1"/>
  <c r="S145" i="12"/>
  <c r="R145" i="12"/>
  <c r="R184" i="12" s="1"/>
  <c r="Q145" i="12"/>
  <c r="P145" i="12"/>
  <c r="P184" i="12" s="1"/>
  <c r="O145" i="12"/>
  <c r="N145" i="12"/>
  <c r="M145" i="12"/>
  <c r="M184" i="12" s="1"/>
  <c r="L145" i="12"/>
  <c r="K145" i="12"/>
  <c r="J145" i="12"/>
  <c r="I145" i="12"/>
  <c r="H145" i="12"/>
  <c r="H184" i="12" s="1"/>
  <c r="G145" i="12"/>
  <c r="F145" i="12"/>
  <c r="E145" i="12"/>
  <c r="D145" i="12"/>
  <c r="D184" i="12" s="1"/>
  <c r="V144" i="12"/>
  <c r="U144" i="12"/>
  <c r="U183" i="12" s="1"/>
  <c r="T144" i="12"/>
  <c r="S144" i="12"/>
  <c r="S183" i="12" s="1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G183" i="12" s="1"/>
  <c r="F144" i="12"/>
  <c r="E144" i="12"/>
  <c r="E183" i="12" s="1"/>
  <c r="D144" i="12"/>
  <c r="V143" i="12"/>
  <c r="V182" i="12" s="1"/>
  <c r="U143" i="12"/>
  <c r="T143" i="12"/>
  <c r="S143" i="12"/>
  <c r="S182" i="12" s="1"/>
  <c r="R143" i="12"/>
  <c r="Q143" i="12"/>
  <c r="P143" i="12"/>
  <c r="O143" i="12"/>
  <c r="N143" i="12"/>
  <c r="N182" i="12" s="1"/>
  <c r="M143" i="12"/>
  <c r="L143" i="12"/>
  <c r="K143" i="12"/>
  <c r="J143" i="12"/>
  <c r="J182" i="12" s="1"/>
  <c r="I143" i="12"/>
  <c r="H143" i="12"/>
  <c r="H182" i="12" s="1"/>
  <c r="G143" i="12"/>
  <c r="F143" i="12"/>
  <c r="F182" i="12" s="1"/>
  <c r="E143" i="12"/>
  <c r="D143" i="12"/>
  <c r="D182" i="12" s="1"/>
  <c r="V141" i="12"/>
  <c r="V180" i="12" s="1"/>
  <c r="U141" i="12"/>
  <c r="T141" i="12"/>
  <c r="T180" i="12" s="1"/>
  <c r="S141" i="12"/>
  <c r="R141" i="12"/>
  <c r="Q141" i="12"/>
  <c r="Q180" i="12" s="1"/>
  <c r="P141" i="12"/>
  <c r="P180" i="12" s="1"/>
  <c r="O141" i="12"/>
  <c r="N141" i="12"/>
  <c r="M141" i="12"/>
  <c r="M180" i="12" s="1"/>
  <c r="L141" i="12"/>
  <c r="K141" i="12"/>
  <c r="K180" i="12" s="1"/>
  <c r="J141" i="12"/>
  <c r="I141" i="12"/>
  <c r="I180" i="12" s="1"/>
  <c r="H141" i="12"/>
  <c r="G141" i="12"/>
  <c r="F141" i="12"/>
  <c r="F180" i="12" s="1"/>
  <c r="E141" i="12"/>
  <c r="D141" i="12"/>
  <c r="D180" i="12" s="1"/>
  <c r="V140" i="12"/>
  <c r="U140" i="12"/>
  <c r="T140" i="12"/>
  <c r="T179" i="12" s="1"/>
  <c r="S140" i="12"/>
  <c r="R140" i="12"/>
  <c r="Q140" i="12"/>
  <c r="P140" i="12"/>
  <c r="P179" i="12" s="1"/>
  <c r="O140" i="12"/>
  <c r="N140" i="12"/>
  <c r="N179" i="12" s="1"/>
  <c r="M140" i="12"/>
  <c r="L140" i="12"/>
  <c r="L179" i="12" s="1"/>
  <c r="K140" i="12"/>
  <c r="J140" i="12"/>
  <c r="I140" i="12"/>
  <c r="I179" i="12" s="1"/>
  <c r="H140" i="12"/>
  <c r="G140" i="12"/>
  <c r="G179" i="12" s="1"/>
  <c r="F140" i="12"/>
  <c r="E140" i="12"/>
  <c r="D140" i="12"/>
  <c r="D179" i="12" s="1"/>
  <c r="V139" i="12"/>
  <c r="V178" i="12" s="1"/>
  <c r="U139" i="12"/>
  <c r="T139" i="12"/>
  <c r="S139" i="12"/>
  <c r="S178" i="12" s="1"/>
  <c r="R139" i="12"/>
  <c r="Q139" i="12"/>
  <c r="Q178" i="12" s="1"/>
  <c r="P139" i="12"/>
  <c r="O139" i="12"/>
  <c r="O178" i="12" s="1"/>
  <c r="N139" i="12"/>
  <c r="M139" i="12"/>
  <c r="L139" i="12"/>
  <c r="K139" i="12"/>
  <c r="J139" i="12"/>
  <c r="J178" i="12" s="1"/>
  <c r="I139" i="12"/>
  <c r="H139" i="12"/>
  <c r="G139" i="12"/>
  <c r="G178" i="12" s="1"/>
  <c r="F139" i="12"/>
  <c r="F178" i="12" s="1"/>
  <c r="E139" i="12"/>
  <c r="D139" i="12"/>
  <c r="V138" i="12"/>
  <c r="V177" i="12" s="1"/>
  <c r="U138" i="12"/>
  <c r="T138" i="12"/>
  <c r="T177" i="12" s="1"/>
  <c r="S138" i="12"/>
  <c r="R138" i="12"/>
  <c r="R177" i="12" s="1"/>
  <c r="Q138" i="12"/>
  <c r="P138" i="12"/>
  <c r="O138" i="12"/>
  <c r="O177" i="12" s="1"/>
  <c r="N138" i="12"/>
  <c r="M138" i="12"/>
  <c r="M177" i="12" s="1"/>
  <c r="L138" i="12"/>
  <c r="K138" i="12"/>
  <c r="J138" i="12"/>
  <c r="J177" i="12" s="1"/>
  <c r="I138" i="12"/>
  <c r="I177" i="12" s="1"/>
  <c r="H138" i="12"/>
  <c r="G138" i="12"/>
  <c r="F138" i="12"/>
  <c r="F177" i="12" s="1"/>
  <c r="E138" i="12"/>
  <c r="D138" i="12"/>
  <c r="D177" i="12" s="1"/>
  <c r="V137" i="12"/>
  <c r="U137" i="12"/>
  <c r="U176" i="12" s="1"/>
  <c r="T137" i="12"/>
  <c r="S137" i="12"/>
  <c r="R137" i="12"/>
  <c r="Q137" i="12"/>
  <c r="P137" i="12"/>
  <c r="P176" i="12" s="1"/>
  <c r="O137" i="12"/>
  <c r="N137" i="12"/>
  <c r="M137" i="12"/>
  <c r="M176" i="12" s="1"/>
  <c r="L137" i="12"/>
  <c r="L176" i="12" s="1"/>
  <c r="K137" i="12"/>
  <c r="J137" i="12"/>
  <c r="I137" i="12"/>
  <c r="I176" i="12" s="1"/>
  <c r="H137" i="12"/>
  <c r="G137" i="12"/>
  <c r="G176" i="12" s="1"/>
  <c r="F137" i="12"/>
  <c r="E137" i="12"/>
  <c r="E176" i="12" s="1"/>
  <c r="D137" i="12"/>
  <c r="V136" i="12"/>
  <c r="U136" i="12"/>
  <c r="U175" i="12" s="1"/>
  <c r="T136" i="12"/>
  <c r="S136" i="12"/>
  <c r="S175" i="12" s="1"/>
  <c r="R136" i="12"/>
  <c r="Q136" i="12"/>
  <c r="P136" i="12"/>
  <c r="P175" i="12" s="1"/>
  <c r="O136" i="12"/>
  <c r="O175" i="12" s="1"/>
  <c r="N136" i="12"/>
  <c r="M136" i="12"/>
  <c r="L136" i="12"/>
  <c r="L175" i="12" s="1"/>
  <c r="K136" i="12"/>
  <c r="J136" i="12"/>
  <c r="J175" i="12" s="1"/>
  <c r="I136" i="12"/>
  <c r="H136" i="12"/>
  <c r="H175" i="12" s="1"/>
  <c r="G136" i="12"/>
  <c r="G175" i="12" s="1"/>
  <c r="F136" i="12"/>
  <c r="E136" i="12"/>
  <c r="E175" i="12" s="1"/>
  <c r="D136" i="12"/>
  <c r="V135" i="12"/>
  <c r="V174" i="12" s="1"/>
  <c r="U135" i="12"/>
  <c r="T135" i="12"/>
  <c r="S135" i="12"/>
  <c r="S174" i="12" s="1"/>
  <c r="R135" i="12"/>
  <c r="Q135" i="12"/>
  <c r="P135" i="12"/>
  <c r="O135" i="12"/>
  <c r="O174" i="12" s="1"/>
  <c r="N135" i="12"/>
  <c r="M135" i="12"/>
  <c r="M174" i="12" s="1"/>
  <c r="L135" i="12"/>
  <c r="K135" i="12"/>
  <c r="K174" i="12" s="1"/>
  <c r="J135" i="12"/>
  <c r="J174" i="12" s="1"/>
  <c r="I135" i="12"/>
  <c r="H135" i="12"/>
  <c r="H174" i="12" s="1"/>
  <c r="G135" i="12"/>
  <c r="F135" i="12"/>
  <c r="F174" i="12" s="1"/>
  <c r="E135" i="12"/>
  <c r="D135" i="12"/>
  <c r="V134" i="12"/>
  <c r="U134" i="12"/>
  <c r="U173" i="12" s="1"/>
  <c r="T134" i="12"/>
  <c r="S134" i="12"/>
  <c r="R134" i="12"/>
  <c r="R173" i="12" s="1"/>
  <c r="Q134" i="12"/>
  <c r="P134" i="12"/>
  <c r="P173" i="12" s="1"/>
  <c r="O134" i="12"/>
  <c r="N134" i="12"/>
  <c r="N173" i="12" s="1"/>
  <c r="M134" i="12"/>
  <c r="M173" i="12" s="1"/>
  <c r="L134" i="12"/>
  <c r="K134" i="12"/>
  <c r="K173" i="12" s="1"/>
  <c r="J134" i="12"/>
  <c r="I134" i="12"/>
  <c r="I173" i="12" s="1"/>
  <c r="H134" i="12"/>
  <c r="G134" i="12"/>
  <c r="F134" i="12"/>
  <c r="F173" i="12" s="1"/>
  <c r="E134" i="12"/>
  <c r="E173" i="12" s="1"/>
  <c r="D134" i="12"/>
  <c r="V133" i="12"/>
  <c r="U133" i="12"/>
  <c r="U172" i="12" s="1"/>
  <c r="T133" i="12"/>
  <c r="S133" i="12"/>
  <c r="S172" i="12" s="1"/>
  <c r="R133" i="12"/>
  <c r="Q133" i="12"/>
  <c r="Q172" i="12" s="1"/>
  <c r="P133" i="12"/>
  <c r="P172" i="12" s="1"/>
  <c r="O133" i="12"/>
  <c r="N133" i="12"/>
  <c r="N172" i="12" s="1"/>
  <c r="M133" i="12"/>
  <c r="L133" i="12"/>
  <c r="K133" i="12"/>
  <c r="J133" i="12"/>
  <c r="I133" i="12"/>
  <c r="H133" i="12"/>
  <c r="G133" i="12"/>
  <c r="F133" i="12"/>
  <c r="E133" i="12"/>
  <c r="E172" i="12" s="1"/>
  <c r="D133" i="12"/>
  <c r="V132" i="12"/>
  <c r="V171" i="12" s="1"/>
  <c r="U132" i="12"/>
  <c r="T132" i="12"/>
  <c r="T171" i="12" s="1"/>
  <c r="S132" i="12"/>
  <c r="S171" i="12" s="1"/>
  <c r="R132" i="12"/>
  <c r="Q132" i="12"/>
  <c r="Q171" i="12" s="1"/>
  <c r="P132" i="12"/>
  <c r="O132" i="12"/>
  <c r="O171" i="12" s="1"/>
  <c r="N132" i="12"/>
  <c r="M132" i="12"/>
  <c r="L132" i="12"/>
  <c r="L171" i="12" s="1"/>
  <c r="K132" i="12"/>
  <c r="K171" i="12" s="1"/>
  <c r="J132" i="12"/>
  <c r="I132" i="12"/>
  <c r="H132" i="12"/>
  <c r="H171" i="12" s="1"/>
  <c r="G132" i="12"/>
  <c r="F132" i="12"/>
  <c r="F171" i="12" s="1"/>
  <c r="E132" i="12"/>
  <c r="D132" i="12"/>
  <c r="D171" i="12" s="1"/>
  <c r="V131" i="12"/>
  <c r="V170" i="12" s="1"/>
  <c r="U131" i="12"/>
  <c r="T131" i="12"/>
  <c r="S131" i="12"/>
  <c r="R131" i="12"/>
  <c r="R170" i="12" s="1"/>
  <c r="Q131" i="12"/>
  <c r="P131" i="12"/>
  <c r="O131" i="12"/>
  <c r="O170" i="12" s="1"/>
  <c r="N131" i="12"/>
  <c r="N170" i="12" s="1"/>
  <c r="M131" i="12"/>
  <c r="L131" i="12"/>
  <c r="K131" i="12"/>
  <c r="K170" i="12" s="1"/>
  <c r="J131" i="12"/>
  <c r="I131" i="12"/>
  <c r="I170" i="12" s="1"/>
  <c r="H131" i="12"/>
  <c r="G131" i="12"/>
  <c r="G170" i="12" s="1"/>
  <c r="F131" i="12"/>
  <c r="F170" i="12" s="1"/>
  <c r="E131" i="12"/>
  <c r="D131" i="12"/>
  <c r="D170" i="12" s="1"/>
  <c r="V130" i="12"/>
  <c r="U130" i="12"/>
  <c r="U159" i="12" s="1"/>
  <c r="T130" i="12"/>
  <c r="S130" i="12"/>
  <c r="R130" i="12"/>
  <c r="R169" i="12" s="1"/>
  <c r="Q130" i="12"/>
  <c r="P130" i="12"/>
  <c r="O130" i="12"/>
  <c r="N130" i="12"/>
  <c r="M130" i="12"/>
  <c r="L130" i="12"/>
  <c r="K130" i="12"/>
  <c r="J130" i="12"/>
  <c r="J169" i="12" s="1"/>
  <c r="I130" i="12"/>
  <c r="H130" i="12"/>
  <c r="G130" i="12"/>
  <c r="G169" i="12" s="1"/>
  <c r="F130" i="12"/>
  <c r="E130" i="12"/>
  <c r="E159" i="12" s="1"/>
  <c r="D130" i="12"/>
  <c r="J119" i="12"/>
  <c r="G119" i="12"/>
  <c r="G118" i="12"/>
  <c r="V117" i="12"/>
  <c r="D117" i="12"/>
  <c r="N116" i="12"/>
  <c r="K116" i="12"/>
  <c r="H116" i="12"/>
  <c r="V115" i="12"/>
  <c r="S115" i="12"/>
  <c r="S114" i="12"/>
  <c r="O114" i="12"/>
  <c r="O112" i="12"/>
  <c r="L112" i="12"/>
  <c r="L111" i="12"/>
  <c r="J111" i="12"/>
  <c r="I111" i="12"/>
  <c r="O110" i="12"/>
  <c r="M110" i="12"/>
  <c r="L110" i="12"/>
  <c r="R109" i="12"/>
  <c r="P109" i="12"/>
  <c r="O109" i="12"/>
  <c r="U108" i="12"/>
  <c r="S108" i="12"/>
  <c r="R108" i="12"/>
  <c r="E108" i="12"/>
  <c r="V107" i="12"/>
  <c r="U107" i="12"/>
  <c r="H107" i="12"/>
  <c r="F107" i="12"/>
  <c r="E107" i="12"/>
  <c r="K106" i="12"/>
  <c r="I106" i="12"/>
  <c r="H106" i="12"/>
  <c r="N105" i="12"/>
  <c r="L105" i="12"/>
  <c r="K105" i="12"/>
  <c r="Q104" i="12"/>
  <c r="O104" i="12"/>
  <c r="N104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T102" i="12"/>
  <c r="G102" i="12"/>
  <c r="E102" i="12"/>
  <c r="D102" i="12"/>
  <c r="J101" i="12"/>
  <c r="G101" i="12"/>
  <c r="M100" i="12"/>
  <c r="J100" i="12"/>
  <c r="P99" i="12"/>
  <c r="M99" i="12"/>
  <c r="S98" i="12"/>
  <c r="P98" i="12"/>
  <c r="V97" i="12"/>
  <c r="S97" i="12"/>
  <c r="F97" i="12"/>
  <c r="V96" i="12"/>
  <c r="I96" i="12"/>
  <c r="F96" i="12"/>
  <c r="L95" i="12"/>
  <c r="I95" i="12"/>
  <c r="O94" i="12"/>
  <c r="L94" i="12"/>
  <c r="R93" i="12"/>
  <c r="O93" i="12"/>
  <c r="U92" i="12"/>
  <c r="R92" i="12"/>
  <c r="E92" i="12"/>
  <c r="U91" i="12"/>
  <c r="H91" i="12"/>
  <c r="E91" i="12"/>
  <c r="V80" i="12"/>
  <c r="V119" i="12" s="1"/>
  <c r="U80" i="12"/>
  <c r="T80" i="12"/>
  <c r="T119" i="12" s="1"/>
  <c r="S80" i="12"/>
  <c r="R80" i="12"/>
  <c r="Q80" i="12"/>
  <c r="P80" i="12"/>
  <c r="P119" i="12" s="1"/>
  <c r="O80" i="12"/>
  <c r="N80" i="12"/>
  <c r="N119" i="12" s="1"/>
  <c r="M80" i="12"/>
  <c r="M119" i="12" s="1"/>
  <c r="L80" i="12"/>
  <c r="L119" i="12" s="1"/>
  <c r="K80" i="12"/>
  <c r="K119" i="12" s="1"/>
  <c r="J80" i="12"/>
  <c r="I80" i="12"/>
  <c r="I119" i="12" s="1"/>
  <c r="H80" i="12"/>
  <c r="H119" i="12" s="1"/>
  <c r="G80" i="12"/>
  <c r="F80" i="12"/>
  <c r="F119" i="12" s="1"/>
  <c r="E80" i="12"/>
  <c r="D80" i="12"/>
  <c r="D119" i="12" s="1"/>
  <c r="V79" i="12"/>
  <c r="U79" i="12"/>
  <c r="T79" i="12"/>
  <c r="S79" i="12"/>
  <c r="S118" i="12" s="1"/>
  <c r="R79" i="12"/>
  <c r="Q79" i="12"/>
  <c r="Q118" i="12" s="1"/>
  <c r="P79" i="12"/>
  <c r="O79" i="12"/>
  <c r="O118" i="12" s="1"/>
  <c r="N79" i="12"/>
  <c r="N118" i="12" s="1"/>
  <c r="M79" i="12"/>
  <c r="M118" i="12" s="1"/>
  <c r="L79" i="12"/>
  <c r="L118" i="12" s="1"/>
  <c r="K79" i="12"/>
  <c r="K118" i="12" s="1"/>
  <c r="J79" i="12"/>
  <c r="J118" i="12" s="1"/>
  <c r="I79" i="12"/>
  <c r="I118" i="12" s="1"/>
  <c r="H79" i="12"/>
  <c r="G79" i="12"/>
  <c r="F79" i="12"/>
  <c r="E79" i="12"/>
  <c r="E118" i="12" s="1"/>
  <c r="D79" i="12"/>
  <c r="V78" i="12"/>
  <c r="U78" i="12"/>
  <c r="T78" i="12"/>
  <c r="T117" i="12" s="1"/>
  <c r="S78" i="12"/>
  <c r="R78" i="12"/>
  <c r="R117" i="12" s="1"/>
  <c r="Q78" i="12"/>
  <c r="Q117" i="12" s="1"/>
  <c r="P78" i="12"/>
  <c r="O78" i="12"/>
  <c r="O117" i="12" s="1"/>
  <c r="N78" i="12"/>
  <c r="N117" i="12" s="1"/>
  <c r="M78" i="12"/>
  <c r="M117" i="12" s="1"/>
  <c r="L78" i="12"/>
  <c r="L117" i="12" s="1"/>
  <c r="K78" i="12"/>
  <c r="J78" i="12"/>
  <c r="J117" i="12" s="1"/>
  <c r="I78" i="12"/>
  <c r="H78" i="12"/>
  <c r="H117" i="12" s="1"/>
  <c r="G78" i="12"/>
  <c r="F78" i="12"/>
  <c r="F117" i="12" s="1"/>
  <c r="E78" i="12"/>
  <c r="E117" i="12" s="1"/>
  <c r="D78" i="12"/>
  <c r="V77" i="12"/>
  <c r="V116" i="12" s="1"/>
  <c r="U77" i="12"/>
  <c r="U116" i="12" s="1"/>
  <c r="T77" i="12"/>
  <c r="T116" i="12" s="1"/>
  <c r="S77" i="12"/>
  <c r="S116" i="12" s="1"/>
  <c r="R77" i="12"/>
  <c r="R116" i="12" s="1"/>
  <c r="Q77" i="12"/>
  <c r="Q116" i="12" s="1"/>
  <c r="P77" i="12"/>
  <c r="P116" i="12" s="1"/>
  <c r="O77" i="12"/>
  <c r="O116" i="12" s="1"/>
  <c r="N77" i="12"/>
  <c r="M77" i="12"/>
  <c r="M116" i="12" s="1"/>
  <c r="L77" i="12"/>
  <c r="L116" i="12" s="1"/>
  <c r="K77" i="12"/>
  <c r="J77" i="12"/>
  <c r="J116" i="12" s="1"/>
  <c r="I77" i="12"/>
  <c r="I116" i="12" s="1"/>
  <c r="H77" i="12"/>
  <c r="G77" i="12"/>
  <c r="G116" i="12" s="1"/>
  <c r="F77" i="12"/>
  <c r="F116" i="12" s="1"/>
  <c r="E77" i="12"/>
  <c r="E116" i="12" s="1"/>
  <c r="D77" i="12"/>
  <c r="D116" i="12" s="1"/>
  <c r="V76" i="12"/>
  <c r="U76" i="12"/>
  <c r="U115" i="12" s="1"/>
  <c r="T76" i="12"/>
  <c r="T115" i="12" s="1"/>
  <c r="S76" i="12"/>
  <c r="R76" i="12"/>
  <c r="R115" i="12" s="1"/>
  <c r="Q76" i="12"/>
  <c r="P76" i="12"/>
  <c r="P115" i="12" s="1"/>
  <c r="O76" i="12"/>
  <c r="N76" i="12"/>
  <c r="M76" i="12"/>
  <c r="L76" i="12"/>
  <c r="L115" i="12" s="1"/>
  <c r="K76" i="12"/>
  <c r="J76" i="12"/>
  <c r="J115" i="12" s="1"/>
  <c r="I76" i="12"/>
  <c r="H76" i="12"/>
  <c r="H115" i="12" s="1"/>
  <c r="G76" i="12"/>
  <c r="G115" i="12" s="1"/>
  <c r="F76" i="12"/>
  <c r="F115" i="12" s="1"/>
  <c r="E76" i="12"/>
  <c r="E115" i="12" s="1"/>
  <c r="D76" i="12"/>
  <c r="D115" i="12" s="1"/>
  <c r="V75" i="12"/>
  <c r="V114" i="12" s="1"/>
  <c r="U75" i="12"/>
  <c r="U114" i="12" s="1"/>
  <c r="T75" i="12"/>
  <c r="S75" i="12"/>
  <c r="R75" i="12"/>
  <c r="Q75" i="12"/>
  <c r="Q114" i="12" s="1"/>
  <c r="P75" i="12"/>
  <c r="O75" i="12"/>
  <c r="N75" i="12"/>
  <c r="M75" i="12"/>
  <c r="M114" i="12" s="1"/>
  <c r="L75" i="12"/>
  <c r="K75" i="12"/>
  <c r="K114" i="12" s="1"/>
  <c r="J75" i="12"/>
  <c r="J114" i="12" s="1"/>
  <c r="I75" i="12"/>
  <c r="H75" i="12"/>
  <c r="H114" i="12" s="1"/>
  <c r="G75" i="12"/>
  <c r="G114" i="12" s="1"/>
  <c r="F75" i="12"/>
  <c r="F114" i="12" s="1"/>
  <c r="E75" i="12"/>
  <c r="E114" i="12" s="1"/>
  <c r="D75" i="12"/>
  <c r="V74" i="12"/>
  <c r="V113" i="12" s="1"/>
  <c r="U74" i="12"/>
  <c r="T74" i="12"/>
  <c r="T113" i="12" s="1"/>
  <c r="S74" i="12"/>
  <c r="R74" i="12"/>
  <c r="R113" i="12" s="1"/>
  <c r="Q74" i="12"/>
  <c r="Q113" i="12" s="1"/>
  <c r="P74" i="12"/>
  <c r="P113" i="12" s="1"/>
  <c r="O74" i="12"/>
  <c r="O113" i="12" s="1"/>
  <c r="N74" i="12"/>
  <c r="N113" i="12" s="1"/>
  <c r="M74" i="12"/>
  <c r="M113" i="12" s="1"/>
  <c r="L74" i="12"/>
  <c r="L113" i="12" s="1"/>
  <c r="K74" i="12"/>
  <c r="K113" i="12" s="1"/>
  <c r="J74" i="12"/>
  <c r="J113" i="12" s="1"/>
  <c r="I74" i="12"/>
  <c r="I113" i="12" s="1"/>
  <c r="H74" i="12"/>
  <c r="H113" i="12" s="1"/>
  <c r="G74" i="12"/>
  <c r="F74" i="12"/>
  <c r="F113" i="12" s="1"/>
  <c r="E74" i="12"/>
  <c r="D74" i="12"/>
  <c r="V73" i="12"/>
  <c r="U73" i="12"/>
  <c r="U112" i="12" s="1"/>
  <c r="T73" i="12"/>
  <c r="T112" i="12" s="1"/>
  <c r="S73" i="12"/>
  <c r="S112" i="12" s="1"/>
  <c r="R73" i="12"/>
  <c r="R112" i="12" s="1"/>
  <c r="Q73" i="12"/>
  <c r="Q112" i="12" s="1"/>
  <c r="P73" i="12"/>
  <c r="P112" i="12" s="1"/>
  <c r="O73" i="12"/>
  <c r="N73" i="12"/>
  <c r="N112" i="12" s="1"/>
  <c r="M73" i="12"/>
  <c r="M112" i="12" s="1"/>
  <c r="L73" i="12"/>
  <c r="K73" i="12"/>
  <c r="K112" i="12" s="1"/>
  <c r="J73" i="12"/>
  <c r="I73" i="12"/>
  <c r="I112" i="12" s="1"/>
  <c r="H73" i="12"/>
  <c r="G73" i="12"/>
  <c r="F73" i="12"/>
  <c r="E73" i="12"/>
  <c r="E112" i="12" s="1"/>
  <c r="D73" i="12"/>
  <c r="V72" i="12"/>
  <c r="V111" i="12" s="1"/>
  <c r="U72" i="12"/>
  <c r="T72" i="12"/>
  <c r="T111" i="12" s="1"/>
  <c r="S72" i="12"/>
  <c r="S111" i="12" s="1"/>
  <c r="R72" i="12"/>
  <c r="R111" i="12" s="1"/>
  <c r="Q72" i="12"/>
  <c r="Q111" i="12" s="1"/>
  <c r="P72" i="12"/>
  <c r="P111" i="12" s="1"/>
  <c r="O72" i="12"/>
  <c r="O111" i="12" s="1"/>
  <c r="N72" i="12"/>
  <c r="N111" i="12" s="1"/>
  <c r="M72" i="12"/>
  <c r="L72" i="12"/>
  <c r="K72" i="12"/>
  <c r="K111" i="12" s="1"/>
  <c r="J72" i="12"/>
  <c r="I72" i="12"/>
  <c r="H72" i="12"/>
  <c r="H111" i="12" s="1"/>
  <c r="G72" i="12"/>
  <c r="F72" i="12"/>
  <c r="F111" i="12" s="1"/>
  <c r="E72" i="12"/>
  <c r="D72" i="12"/>
  <c r="D111" i="12" s="1"/>
  <c r="V71" i="12"/>
  <c r="V110" i="12" s="1"/>
  <c r="U71" i="12"/>
  <c r="T71" i="12"/>
  <c r="T110" i="12" s="1"/>
  <c r="S71" i="12"/>
  <c r="S110" i="12" s="1"/>
  <c r="R71" i="12"/>
  <c r="R110" i="12" s="1"/>
  <c r="Q71" i="12"/>
  <c r="Q110" i="12" s="1"/>
  <c r="P71" i="12"/>
  <c r="O71" i="12"/>
  <c r="N71" i="12"/>
  <c r="N110" i="12" s="1"/>
  <c r="M71" i="12"/>
  <c r="L71" i="12"/>
  <c r="K71" i="12"/>
  <c r="K110" i="12" s="1"/>
  <c r="J71" i="12"/>
  <c r="I71" i="12"/>
  <c r="I110" i="12" s="1"/>
  <c r="H71" i="12"/>
  <c r="G71" i="12"/>
  <c r="G110" i="12" s="1"/>
  <c r="F71" i="12"/>
  <c r="F110" i="12" s="1"/>
  <c r="E71" i="12"/>
  <c r="D71" i="12"/>
  <c r="D110" i="12" s="1"/>
  <c r="V70" i="12"/>
  <c r="V109" i="12" s="1"/>
  <c r="U70" i="12"/>
  <c r="U109" i="12" s="1"/>
  <c r="T70" i="12"/>
  <c r="T109" i="12" s="1"/>
  <c r="S70" i="12"/>
  <c r="R70" i="12"/>
  <c r="Q70" i="12"/>
  <c r="Q109" i="12" s="1"/>
  <c r="P70" i="12"/>
  <c r="O70" i="12"/>
  <c r="N70" i="12"/>
  <c r="N109" i="12" s="1"/>
  <c r="M70" i="12"/>
  <c r="L70" i="12"/>
  <c r="L109" i="12" s="1"/>
  <c r="K70" i="12"/>
  <c r="J70" i="12"/>
  <c r="J109" i="12" s="1"/>
  <c r="I70" i="12"/>
  <c r="I109" i="12" s="1"/>
  <c r="H70" i="12"/>
  <c r="G70" i="12"/>
  <c r="G109" i="12" s="1"/>
  <c r="F70" i="12"/>
  <c r="F109" i="12" s="1"/>
  <c r="E70" i="12"/>
  <c r="E109" i="12" s="1"/>
  <c r="D70" i="12"/>
  <c r="D109" i="12" s="1"/>
  <c r="V69" i="12"/>
  <c r="U69" i="12"/>
  <c r="T69" i="12"/>
  <c r="T108" i="12" s="1"/>
  <c r="S69" i="12"/>
  <c r="R69" i="12"/>
  <c r="Q69" i="12"/>
  <c r="Q108" i="12" s="1"/>
  <c r="P69" i="12"/>
  <c r="O69" i="12"/>
  <c r="O108" i="12" s="1"/>
  <c r="N69" i="12"/>
  <c r="M69" i="12"/>
  <c r="M108" i="12" s="1"/>
  <c r="L69" i="12"/>
  <c r="L108" i="12" s="1"/>
  <c r="K69" i="12"/>
  <c r="J69" i="12"/>
  <c r="J108" i="12" s="1"/>
  <c r="I69" i="12"/>
  <c r="I108" i="12" s="1"/>
  <c r="H69" i="12"/>
  <c r="H108" i="12" s="1"/>
  <c r="G69" i="12"/>
  <c r="G108" i="12" s="1"/>
  <c r="F69" i="12"/>
  <c r="E69" i="12"/>
  <c r="D69" i="12"/>
  <c r="D108" i="12" s="1"/>
  <c r="V68" i="12"/>
  <c r="U68" i="12"/>
  <c r="T68" i="12"/>
  <c r="T107" i="12" s="1"/>
  <c r="S68" i="12"/>
  <c r="R68" i="12"/>
  <c r="R107" i="12" s="1"/>
  <c r="Q68" i="12"/>
  <c r="P68" i="12"/>
  <c r="P107" i="12" s="1"/>
  <c r="O68" i="12"/>
  <c r="O107" i="12" s="1"/>
  <c r="N68" i="12"/>
  <c r="M68" i="12"/>
  <c r="M107" i="12" s="1"/>
  <c r="L68" i="12"/>
  <c r="L107" i="12" s="1"/>
  <c r="K68" i="12"/>
  <c r="K107" i="12" s="1"/>
  <c r="J68" i="12"/>
  <c r="J107" i="12" s="1"/>
  <c r="I68" i="12"/>
  <c r="H68" i="12"/>
  <c r="G68" i="12"/>
  <c r="G107" i="12" s="1"/>
  <c r="F68" i="12"/>
  <c r="E68" i="12"/>
  <c r="D68" i="12"/>
  <c r="D107" i="12" s="1"/>
  <c r="V67" i="12"/>
  <c r="U67" i="12"/>
  <c r="U106" i="12" s="1"/>
  <c r="T67" i="12"/>
  <c r="S67" i="12"/>
  <c r="S106" i="12" s="1"/>
  <c r="R67" i="12"/>
  <c r="R106" i="12" s="1"/>
  <c r="Q67" i="12"/>
  <c r="P67" i="12"/>
  <c r="P106" i="12" s="1"/>
  <c r="O67" i="12"/>
  <c r="O106" i="12" s="1"/>
  <c r="N67" i="12"/>
  <c r="N106" i="12" s="1"/>
  <c r="M67" i="12"/>
  <c r="M106" i="12" s="1"/>
  <c r="L67" i="12"/>
  <c r="K67" i="12"/>
  <c r="J67" i="12"/>
  <c r="J106" i="12" s="1"/>
  <c r="I67" i="12"/>
  <c r="H67" i="12"/>
  <c r="G67" i="12"/>
  <c r="G106" i="12" s="1"/>
  <c r="F67" i="12"/>
  <c r="E67" i="12"/>
  <c r="E106" i="12" s="1"/>
  <c r="D67" i="12"/>
  <c r="V66" i="12"/>
  <c r="V105" i="12" s="1"/>
  <c r="U66" i="12"/>
  <c r="U105" i="12" s="1"/>
  <c r="T66" i="12"/>
  <c r="S66" i="12"/>
  <c r="S105" i="12" s="1"/>
  <c r="R66" i="12"/>
  <c r="R105" i="12" s="1"/>
  <c r="Q66" i="12"/>
  <c r="Q105" i="12" s="1"/>
  <c r="P66" i="12"/>
  <c r="P105" i="12" s="1"/>
  <c r="O66" i="12"/>
  <c r="N66" i="12"/>
  <c r="M66" i="12"/>
  <c r="M105" i="12" s="1"/>
  <c r="L66" i="12"/>
  <c r="K66" i="12"/>
  <c r="J66" i="12"/>
  <c r="J105" i="12" s="1"/>
  <c r="I66" i="12"/>
  <c r="H66" i="12"/>
  <c r="H105" i="12" s="1"/>
  <c r="G66" i="12"/>
  <c r="F66" i="12"/>
  <c r="F105" i="12" s="1"/>
  <c r="E66" i="12"/>
  <c r="E105" i="12" s="1"/>
  <c r="D66" i="12"/>
  <c r="V65" i="12"/>
  <c r="V104" i="12" s="1"/>
  <c r="U65" i="12"/>
  <c r="U104" i="12" s="1"/>
  <c r="T65" i="12"/>
  <c r="T104" i="12" s="1"/>
  <c r="S65" i="12"/>
  <c r="S104" i="12" s="1"/>
  <c r="R65" i="12"/>
  <c r="Q65" i="12"/>
  <c r="P65" i="12"/>
  <c r="P104" i="12" s="1"/>
  <c r="O65" i="12"/>
  <c r="N65" i="12"/>
  <c r="M65" i="12"/>
  <c r="M104" i="12" s="1"/>
  <c r="L65" i="12"/>
  <c r="K65" i="12"/>
  <c r="K104" i="12" s="1"/>
  <c r="J65" i="12"/>
  <c r="I65" i="12"/>
  <c r="I104" i="12" s="1"/>
  <c r="H65" i="12"/>
  <c r="H104" i="12" s="1"/>
  <c r="G65" i="12"/>
  <c r="F65" i="12"/>
  <c r="F104" i="12" s="1"/>
  <c r="E65" i="12"/>
  <c r="E104" i="12" s="1"/>
  <c r="D65" i="12"/>
  <c r="D104" i="12" s="1"/>
  <c r="V63" i="12"/>
  <c r="V102" i="12" s="1"/>
  <c r="U63" i="12"/>
  <c r="T63" i="12"/>
  <c r="S63" i="12"/>
  <c r="S102" i="12" s="1"/>
  <c r="R63" i="12"/>
  <c r="Q63" i="12"/>
  <c r="P63" i="12"/>
  <c r="P102" i="12" s="1"/>
  <c r="O63" i="12"/>
  <c r="N63" i="12"/>
  <c r="N102" i="12" s="1"/>
  <c r="M63" i="12"/>
  <c r="L63" i="12"/>
  <c r="L102" i="12" s="1"/>
  <c r="K63" i="12"/>
  <c r="K102" i="12" s="1"/>
  <c r="J63" i="12"/>
  <c r="J102" i="12" s="1"/>
  <c r="I63" i="12"/>
  <c r="I102" i="12" s="1"/>
  <c r="H63" i="12"/>
  <c r="H102" i="12" s="1"/>
  <c r="G63" i="12"/>
  <c r="F63" i="12"/>
  <c r="F102" i="12" s="1"/>
  <c r="E63" i="12"/>
  <c r="D63" i="12"/>
  <c r="V62" i="12"/>
  <c r="V101" i="12" s="1"/>
  <c r="U62" i="12"/>
  <c r="T62" i="12"/>
  <c r="S62" i="12"/>
  <c r="S101" i="12" s="1"/>
  <c r="R62" i="12"/>
  <c r="Q62" i="12"/>
  <c r="Q101" i="12" s="1"/>
  <c r="P62" i="12"/>
  <c r="O62" i="12"/>
  <c r="O101" i="12" s="1"/>
  <c r="N62" i="12"/>
  <c r="N101" i="12" s="1"/>
  <c r="M62" i="12"/>
  <c r="M101" i="12" s="1"/>
  <c r="L62" i="12"/>
  <c r="L101" i="12" s="1"/>
  <c r="K62" i="12"/>
  <c r="K101" i="12" s="1"/>
  <c r="J62" i="12"/>
  <c r="I62" i="12"/>
  <c r="I101" i="12" s="1"/>
  <c r="H62" i="12"/>
  <c r="G62" i="12"/>
  <c r="F62" i="12"/>
  <c r="F101" i="12" s="1"/>
  <c r="E62" i="12"/>
  <c r="D62" i="12"/>
  <c r="V61" i="12"/>
  <c r="V100" i="12" s="1"/>
  <c r="U61" i="12"/>
  <c r="T61" i="12"/>
  <c r="T100" i="12" s="1"/>
  <c r="S61" i="12"/>
  <c r="R61" i="12"/>
  <c r="R100" i="12" s="1"/>
  <c r="Q61" i="12"/>
  <c r="Q100" i="12" s="1"/>
  <c r="P61" i="12"/>
  <c r="P100" i="12" s="1"/>
  <c r="O61" i="12"/>
  <c r="O100" i="12" s="1"/>
  <c r="N61" i="12"/>
  <c r="N100" i="12" s="1"/>
  <c r="M61" i="12"/>
  <c r="L61" i="12"/>
  <c r="L100" i="12" s="1"/>
  <c r="K61" i="12"/>
  <c r="J61" i="12"/>
  <c r="I61" i="12"/>
  <c r="I100" i="12" s="1"/>
  <c r="H61" i="12"/>
  <c r="G61" i="12"/>
  <c r="F61" i="12"/>
  <c r="F100" i="12" s="1"/>
  <c r="E61" i="12"/>
  <c r="D61" i="12"/>
  <c r="D100" i="12" s="1"/>
  <c r="V60" i="12"/>
  <c r="U60" i="12"/>
  <c r="U99" i="12" s="1"/>
  <c r="T60" i="12"/>
  <c r="T99" i="12" s="1"/>
  <c r="S60" i="12"/>
  <c r="S99" i="12" s="1"/>
  <c r="R60" i="12"/>
  <c r="R99" i="12" s="1"/>
  <c r="Q60" i="12"/>
  <c r="Q99" i="12" s="1"/>
  <c r="P60" i="12"/>
  <c r="O60" i="12"/>
  <c r="O99" i="12" s="1"/>
  <c r="N60" i="12"/>
  <c r="M60" i="12"/>
  <c r="L60" i="12"/>
  <c r="L99" i="12" s="1"/>
  <c r="K60" i="12"/>
  <c r="J60" i="12"/>
  <c r="I60" i="12"/>
  <c r="I99" i="12" s="1"/>
  <c r="H60" i="12"/>
  <c r="G60" i="12"/>
  <c r="G99" i="12" s="1"/>
  <c r="F60" i="12"/>
  <c r="E60" i="12"/>
  <c r="E99" i="12" s="1"/>
  <c r="D60" i="12"/>
  <c r="D99" i="12" s="1"/>
  <c r="V59" i="12"/>
  <c r="V98" i="12" s="1"/>
  <c r="U59" i="12"/>
  <c r="U98" i="12" s="1"/>
  <c r="T59" i="12"/>
  <c r="T98" i="12" s="1"/>
  <c r="S59" i="12"/>
  <c r="R59" i="12"/>
  <c r="R98" i="12" s="1"/>
  <c r="Q59" i="12"/>
  <c r="P59" i="12"/>
  <c r="O59" i="12"/>
  <c r="O98" i="12" s="1"/>
  <c r="N59" i="12"/>
  <c r="M59" i="12"/>
  <c r="L59" i="12"/>
  <c r="L98" i="12" s="1"/>
  <c r="K59" i="12"/>
  <c r="J59" i="12"/>
  <c r="J98" i="12" s="1"/>
  <c r="I59" i="12"/>
  <c r="H59" i="12"/>
  <c r="H98" i="12" s="1"/>
  <c r="G59" i="12"/>
  <c r="G98" i="12" s="1"/>
  <c r="F59" i="12"/>
  <c r="F98" i="12" s="1"/>
  <c r="E59" i="12"/>
  <c r="E98" i="12" s="1"/>
  <c r="D59" i="12"/>
  <c r="D98" i="12" s="1"/>
  <c r="V58" i="12"/>
  <c r="U58" i="12"/>
  <c r="U97" i="12" s="1"/>
  <c r="T58" i="12"/>
  <c r="S58" i="12"/>
  <c r="R58" i="12"/>
  <c r="R97" i="12" s="1"/>
  <c r="Q58" i="12"/>
  <c r="P58" i="12"/>
  <c r="O58" i="12"/>
  <c r="O97" i="12" s="1"/>
  <c r="N58" i="12"/>
  <c r="M58" i="12"/>
  <c r="M97" i="12" s="1"/>
  <c r="L58" i="12"/>
  <c r="K58" i="12"/>
  <c r="K97" i="12" s="1"/>
  <c r="J58" i="12"/>
  <c r="J97" i="12" s="1"/>
  <c r="I58" i="12"/>
  <c r="I97" i="12" s="1"/>
  <c r="H58" i="12"/>
  <c r="H97" i="12" s="1"/>
  <c r="G58" i="12"/>
  <c r="G97" i="12" s="1"/>
  <c r="F58" i="12"/>
  <c r="E58" i="12"/>
  <c r="E97" i="12" s="1"/>
  <c r="D58" i="12"/>
  <c r="V57" i="12"/>
  <c r="U57" i="12"/>
  <c r="U96" i="12" s="1"/>
  <c r="T57" i="12"/>
  <c r="S57" i="12"/>
  <c r="R57" i="12"/>
  <c r="R96" i="12" s="1"/>
  <c r="Q57" i="12"/>
  <c r="P57" i="12"/>
  <c r="P96" i="12" s="1"/>
  <c r="O57" i="12"/>
  <c r="N57" i="12"/>
  <c r="N96" i="12" s="1"/>
  <c r="M57" i="12"/>
  <c r="M96" i="12" s="1"/>
  <c r="L57" i="12"/>
  <c r="L96" i="12" s="1"/>
  <c r="K57" i="12"/>
  <c r="K96" i="12" s="1"/>
  <c r="J57" i="12"/>
  <c r="J96" i="12" s="1"/>
  <c r="I57" i="12"/>
  <c r="H57" i="12"/>
  <c r="G57" i="12"/>
  <c r="F57" i="12"/>
  <c r="E57" i="12"/>
  <c r="E96" i="12" s="1"/>
  <c r="D57" i="12"/>
  <c r="V56" i="12"/>
  <c r="U56" i="12"/>
  <c r="U95" i="12" s="1"/>
  <c r="T56" i="12"/>
  <c r="S56" i="12"/>
  <c r="S95" i="12" s="1"/>
  <c r="R56" i="12"/>
  <c r="Q56" i="12"/>
  <c r="Q95" i="12" s="1"/>
  <c r="P56" i="12"/>
  <c r="P95" i="12" s="1"/>
  <c r="O56" i="12"/>
  <c r="O95" i="12" s="1"/>
  <c r="N56" i="12"/>
  <c r="N95" i="12" s="1"/>
  <c r="M56" i="12"/>
  <c r="M95" i="12" s="1"/>
  <c r="L56" i="12"/>
  <c r="K56" i="12"/>
  <c r="K95" i="12" s="1"/>
  <c r="J56" i="12"/>
  <c r="I56" i="12"/>
  <c r="H56" i="12"/>
  <c r="H95" i="12" s="1"/>
  <c r="G56" i="12"/>
  <c r="F56" i="12"/>
  <c r="E56" i="12"/>
  <c r="E95" i="12" s="1"/>
  <c r="D56" i="12"/>
  <c r="V55" i="12"/>
  <c r="V94" i="12" s="1"/>
  <c r="U55" i="12"/>
  <c r="T55" i="12"/>
  <c r="T94" i="12" s="1"/>
  <c r="S55" i="12"/>
  <c r="S94" i="12" s="1"/>
  <c r="R55" i="12"/>
  <c r="R94" i="12" s="1"/>
  <c r="Q55" i="12"/>
  <c r="Q94" i="12" s="1"/>
  <c r="P55" i="12"/>
  <c r="P94" i="12" s="1"/>
  <c r="O55" i="12"/>
  <c r="N55" i="12"/>
  <c r="N94" i="12" s="1"/>
  <c r="M55" i="12"/>
  <c r="L55" i="12"/>
  <c r="K55" i="12"/>
  <c r="K94" i="12" s="1"/>
  <c r="J55" i="12"/>
  <c r="I55" i="12"/>
  <c r="H55" i="12"/>
  <c r="H94" i="12" s="1"/>
  <c r="G55" i="12"/>
  <c r="F55" i="12"/>
  <c r="F94" i="12" s="1"/>
  <c r="E55" i="12"/>
  <c r="D55" i="12"/>
  <c r="D94" i="12" s="1"/>
  <c r="V54" i="12"/>
  <c r="V93" i="12" s="1"/>
  <c r="U54" i="12"/>
  <c r="U93" i="12" s="1"/>
  <c r="T54" i="12"/>
  <c r="T93" i="12" s="1"/>
  <c r="S54" i="12"/>
  <c r="R54" i="12"/>
  <c r="Q54" i="12"/>
  <c r="Q93" i="12" s="1"/>
  <c r="P54" i="12"/>
  <c r="O54" i="12"/>
  <c r="N54" i="12"/>
  <c r="N93" i="12" s="1"/>
  <c r="M54" i="12"/>
  <c r="L54" i="12"/>
  <c r="K54" i="12"/>
  <c r="K93" i="12" s="1"/>
  <c r="J54" i="12"/>
  <c r="I54" i="12"/>
  <c r="I93" i="12" s="1"/>
  <c r="H54" i="12"/>
  <c r="G54" i="12"/>
  <c r="G93" i="12" s="1"/>
  <c r="F54" i="12"/>
  <c r="F93" i="12" s="1"/>
  <c r="E54" i="12"/>
  <c r="E93" i="12" s="1"/>
  <c r="D54" i="12"/>
  <c r="D93" i="12" s="1"/>
  <c r="V53" i="12"/>
  <c r="U53" i="12"/>
  <c r="T53" i="12"/>
  <c r="T92" i="12" s="1"/>
  <c r="S53" i="12"/>
  <c r="R53" i="12"/>
  <c r="Q53" i="12"/>
  <c r="Q92" i="12" s="1"/>
  <c r="P53" i="12"/>
  <c r="O53" i="12"/>
  <c r="N53" i="12"/>
  <c r="N92" i="12" s="1"/>
  <c r="M53" i="12"/>
  <c r="L53" i="12"/>
  <c r="L92" i="12" s="1"/>
  <c r="K53" i="12"/>
  <c r="J53" i="12"/>
  <c r="J92" i="12" s="1"/>
  <c r="I53" i="12"/>
  <c r="I92" i="12" s="1"/>
  <c r="H53" i="12"/>
  <c r="H92" i="12" s="1"/>
  <c r="G53" i="12"/>
  <c r="G92" i="12" s="1"/>
  <c r="F53" i="12"/>
  <c r="E53" i="12"/>
  <c r="D53" i="12"/>
  <c r="D92" i="12" s="1"/>
  <c r="V52" i="12"/>
  <c r="U52" i="12"/>
  <c r="T52" i="12"/>
  <c r="T91" i="12" s="1"/>
  <c r="S52" i="12"/>
  <c r="R52" i="12"/>
  <c r="R81" i="12" s="1"/>
  <c r="Q52" i="12"/>
  <c r="Q91" i="12" s="1"/>
  <c r="P52" i="12"/>
  <c r="P81" i="12" s="1"/>
  <c r="O52" i="12"/>
  <c r="N52" i="12"/>
  <c r="M52" i="12"/>
  <c r="L52" i="12"/>
  <c r="L91" i="12" s="1"/>
  <c r="K52" i="12"/>
  <c r="K91" i="12" s="1"/>
  <c r="J52" i="12"/>
  <c r="J91" i="12" s="1"/>
  <c r="I52" i="12"/>
  <c r="I91" i="12" s="1"/>
  <c r="H52" i="12"/>
  <c r="G52" i="12"/>
  <c r="F52" i="12"/>
  <c r="E52" i="12"/>
  <c r="D52" i="12"/>
  <c r="D91" i="12" s="1"/>
  <c r="V41" i="12"/>
  <c r="V275" i="12" s="1"/>
  <c r="U41" i="12"/>
  <c r="U119" i="12" s="1"/>
  <c r="T41" i="12"/>
  <c r="S41" i="12"/>
  <c r="R41" i="12"/>
  <c r="R119" i="12" s="1"/>
  <c r="Q41" i="12"/>
  <c r="P41" i="12"/>
  <c r="O41" i="12"/>
  <c r="O197" i="12" s="1"/>
  <c r="N41" i="12"/>
  <c r="N275" i="12" s="1"/>
  <c r="M41" i="12"/>
  <c r="M275" i="12" s="1"/>
  <c r="L41" i="12"/>
  <c r="L197" i="12" s="1"/>
  <c r="K41" i="12"/>
  <c r="K275" i="12" s="1"/>
  <c r="J41" i="12"/>
  <c r="J197" i="12" s="1"/>
  <c r="I41" i="12"/>
  <c r="I275" i="12" s="1"/>
  <c r="H41" i="12"/>
  <c r="G41" i="12"/>
  <c r="G197" i="12" s="1"/>
  <c r="F41" i="12"/>
  <c r="F275" i="12" s="1"/>
  <c r="E41" i="12"/>
  <c r="E119" i="12" s="1"/>
  <c r="D41" i="12"/>
  <c r="V40" i="12"/>
  <c r="U40" i="12"/>
  <c r="U118" i="12" s="1"/>
  <c r="T40" i="12"/>
  <c r="S40" i="12"/>
  <c r="R40" i="12"/>
  <c r="R196" i="12" s="1"/>
  <c r="Q40" i="12"/>
  <c r="Q274" i="12" s="1"/>
  <c r="P40" i="12"/>
  <c r="P274" i="12" s="1"/>
  <c r="O40" i="12"/>
  <c r="O196" i="12" s="1"/>
  <c r="N40" i="12"/>
  <c r="M40" i="12"/>
  <c r="M196" i="12" s="1"/>
  <c r="L40" i="12"/>
  <c r="L274" i="12" s="1"/>
  <c r="K40" i="12"/>
  <c r="J40" i="12"/>
  <c r="J196" i="12" s="1"/>
  <c r="I40" i="12"/>
  <c r="I274" i="12" s="1"/>
  <c r="H40" i="12"/>
  <c r="G40" i="12"/>
  <c r="F40" i="12"/>
  <c r="E40" i="12"/>
  <c r="E274" i="12" s="1"/>
  <c r="D40" i="12"/>
  <c r="V39" i="12"/>
  <c r="U39" i="12"/>
  <c r="U117" i="12" s="1"/>
  <c r="T39" i="12"/>
  <c r="T273" i="12" s="1"/>
  <c r="S39" i="12"/>
  <c r="S273" i="12" s="1"/>
  <c r="R39" i="12"/>
  <c r="R195" i="12" s="1"/>
  <c r="Q39" i="12"/>
  <c r="Q273" i="12" s="1"/>
  <c r="P39" i="12"/>
  <c r="P117" i="12" s="1"/>
  <c r="O39" i="12"/>
  <c r="O273" i="12" s="1"/>
  <c r="N39" i="12"/>
  <c r="M39" i="12"/>
  <c r="L39" i="12"/>
  <c r="L273" i="12" s="1"/>
  <c r="K39" i="12"/>
  <c r="J39" i="12"/>
  <c r="I39" i="12"/>
  <c r="H39" i="12"/>
  <c r="H273" i="12" s="1"/>
  <c r="G39" i="12"/>
  <c r="F39" i="12"/>
  <c r="E39" i="12"/>
  <c r="E195" i="12" s="1"/>
  <c r="D39" i="12"/>
  <c r="D273" i="12" s="1"/>
  <c r="V38" i="12"/>
  <c r="V272" i="12" s="1"/>
  <c r="U38" i="12"/>
  <c r="U194" i="12" s="1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V37" i="12"/>
  <c r="U37" i="12"/>
  <c r="U271" i="12" s="1"/>
  <c r="T37" i="12"/>
  <c r="S37" i="12"/>
  <c r="S193" i="12" s="1"/>
  <c r="R37" i="12"/>
  <c r="Q37" i="12"/>
  <c r="Q115" i="12" s="1"/>
  <c r="P37" i="12"/>
  <c r="O37" i="12"/>
  <c r="N37" i="12"/>
  <c r="N271" i="12" s="1"/>
  <c r="M37" i="12"/>
  <c r="L37" i="12"/>
  <c r="K37" i="12"/>
  <c r="K193" i="12" s="1"/>
  <c r="J37" i="12"/>
  <c r="J271" i="12" s="1"/>
  <c r="I37" i="12"/>
  <c r="I271" i="12" s="1"/>
  <c r="H37" i="12"/>
  <c r="H193" i="12" s="1"/>
  <c r="G37" i="12"/>
  <c r="G271" i="12" s="1"/>
  <c r="F37" i="12"/>
  <c r="F193" i="12" s="1"/>
  <c r="E37" i="12"/>
  <c r="E271" i="12" s="1"/>
  <c r="D37" i="12"/>
  <c r="V36" i="12"/>
  <c r="U36" i="12"/>
  <c r="U270" i="12" s="1"/>
  <c r="T36" i="12"/>
  <c r="S36" i="12"/>
  <c r="R36" i="12"/>
  <c r="Q36" i="12"/>
  <c r="Q270" i="12" s="1"/>
  <c r="P36" i="12"/>
  <c r="O36" i="12"/>
  <c r="N36" i="12"/>
  <c r="N114" i="12" s="1"/>
  <c r="M36" i="12"/>
  <c r="M270" i="12" s="1"/>
  <c r="L36" i="12"/>
  <c r="L270" i="12" s="1"/>
  <c r="K36" i="12"/>
  <c r="K192" i="12" s="1"/>
  <c r="J36" i="12"/>
  <c r="J270" i="12" s="1"/>
  <c r="I36" i="12"/>
  <c r="I192" i="12" s="1"/>
  <c r="H36" i="12"/>
  <c r="H270" i="12" s="1"/>
  <c r="G36" i="12"/>
  <c r="F36" i="12"/>
  <c r="F192" i="12" s="1"/>
  <c r="E36" i="12"/>
  <c r="D36" i="12"/>
  <c r="V35" i="12"/>
  <c r="U35" i="12"/>
  <c r="T35" i="12"/>
  <c r="T269" i="12" s="1"/>
  <c r="S35" i="12"/>
  <c r="R35" i="12"/>
  <c r="R269" i="12" s="1"/>
  <c r="Q35" i="12"/>
  <c r="Q191" i="12" s="1"/>
  <c r="P35" i="12"/>
  <c r="P191" i="12" s="1"/>
  <c r="O35" i="12"/>
  <c r="O269" i="12" s="1"/>
  <c r="N35" i="12"/>
  <c r="N191" i="12" s="1"/>
  <c r="M35" i="12"/>
  <c r="L35" i="12"/>
  <c r="L191" i="12" s="1"/>
  <c r="K35" i="12"/>
  <c r="K269" i="12" s="1"/>
  <c r="J35" i="12"/>
  <c r="I35" i="12"/>
  <c r="I191" i="12" s="1"/>
  <c r="H35" i="12"/>
  <c r="G35" i="12"/>
  <c r="G113" i="12" s="1"/>
  <c r="F35" i="12"/>
  <c r="E35" i="12"/>
  <c r="E191" i="12" s="1"/>
  <c r="D35" i="12"/>
  <c r="D113" i="12" s="1"/>
  <c r="V34" i="12"/>
  <c r="U34" i="12"/>
  <c r="T34" i="12"/>
  <c r="S34" i="12"/>
  <c r="S190" i="12" s="1"/>
  <c r="R34" i="12"/>
  <c r="R268" i="12" s="1"/>
  <c r="Q34" i="12"/>
  <c r="Q190" i="12" s="1"/>
  <c r="P34" i="12"/>
  <c r="P268" i="12" s="1"/>
  <c r="O34" i="12"/>
  <c r="O190" i="12" s="1"/>
  <c r="N34" i="12"/>
  <c r="N268" i="12" s="1"/>
  <c r="M34" i="12"/>
  <c r="L34" i="12"/>
  <c r="L190" i="12" s="1"/>
  <c r="K34" i="12"/>
  <c r="K268" i="12" s="1"/>
  <c r="J34" i="12"/>
  <c r="J112" i="12" s="1"/>
  <c r="I34" i="12"/>
  <c r="H34" i="12"/>
  <c r="G34" i="12"/>
  <c r="G112" i="12" s="1"/>
  <c r="F34" i="12"/>
  <c r="E34" i="12"/>
  <c r="D34" i="12"/>
  <c r="D112" i="12" s="1"/>
  <c r="V33" i="12"/>
  <c r="V267" i="12" s="1"/>
  <c r="U33" i="12"/>
  <c r="U267" i="12" s="1"/>
  <c r="T33" i="12"/>
  <c r="T189" i="12" s="1"/>
  <c r="S33" i="12"/>
  <c r="S267" i="12" s="1"/>
  <c r="R33" i="12"/>
  <c r="R189" i="12" s="1"/>
  <c r="Q33" i="12"/>
  <c r="Q267" i="12" s="1"/>
  <c r="P33" i="12"/>
  <c r="O33" i="12"/>
  <c r="N33" i="12"/>
  <c r="M33" i="12"/>
  <c r="L33" i="12"/>
  <c r="K33" i="12"/>
  <c r="K189" i="12" s="1"/>
  <c r="J33" i="12"/>
  <c r="J267" i="12" s="1"/>
  <c r="I33" i="12"/>
  <c r="H33" i="12"/>
  <c r="G33" i="12"/>
  <c r="G189" i="12" s="1"/>
  <c r="F33" i="12"/>
  <c r="F189" i="12" s="1"/>
  <c r="E33" i="12"/>
  <c r="E267" i="12" s="1"/>
  <c r="D33" i="12"/>
  <c r="D189" i="12" s="1"/>
  <c r="V32" i="12"/>
  <c r="V266" i="12" s="1"/>
  <c r="U32" i="12"/>
  <c r="U188" i="12" s="1"/>
  <c r="T32" i="12"/>
  <c r="T266" i="12" s="1"/>
  <c r="S32" i="12"/>
  <c r="R32" i="12"/>
  <c r="Q32" i="12"/>
  <c r="P32" i="12"/>
  <c r="O32" i="12"/>
  <c r="N32" i="12"/>
  <c r="M32" i="12"/>
  <c r="M266" i="12" s="1"/>
  <c r="L32" i="12"/>
  <c r="K32" i="12"/>
  <c r="J32" i="12"/>
  <c r="J110" i="12" s="1"/>
  <c r="I32" i="12"/>
  <c r="I266" i="12" s="1"/>
  <c r="H32" i="12"/>
  <c r="H266" i="12" s="1"/>
  <c r="G32" i="12"/>
  <c r="F32" i="12"/>
  <c r="F266" i="12" s="1"/>
  <c r="E32" i="12"/>
  <c r="E110" i="12" s="1"/>
  <c r="D32" i="12"/>
  <c r="D266" i="12" s="1"/>
  <c r="V31" i="12"/>
  <c r="U31" i="12"/>
  <c r="T31" i="12"/>
  <c r="S31" i="12"/>
  <c r="R31" i="12"/>
  <c r="Q31" i="12"/>
  <c r="P31" i="12"/>
  <c r="P265" i="12" s="1"/>
  <c r="O31" i="12"/>
  <c r="N31" i="12"/>
  <c r="M31" i="12"/>
  <c r="M109" i="12" s="1"/>
  <c r="L31" i="12"/>
  <c r="L187" i="12" s="1"/>
  <c r="K31" i="12"/>
  <c r="K265" i="12" s="1"/>
  <c r="J31" i="12"/>
  <c r="J187" i="12" s="1"/>
  <c r="I31" i="12"/>
  <c r="I265" i="12" s="1"/>
  <c r="H31" i="12"/>
  <c r="H187" i="12" s="1"/>
  <c r="G31" i="12"/>
  <c r="G265" i="12" s="1"/>
  <c r="F31" i="12"/>
  <c r="E31" i="12"/>
  <c r="D31" i="12"/>
  <c r="D265" i="12" s="1"/>
  <c r="V30" i="12"/>
  <c r="U30" i="12"/>
  <c r="T30" i="12"/>
  <c r="S30" i="12"/>
  <c r="S264" i="12" s="1"/>
  <c r="R30" i="12"/>
  <c r="Q30" i="12"/>
  <c r="P30" i="12"/>
  <c r="P108" i="12" s="1"/>
  <c r="O30" i="12"/>
  <c r="O264" i="12" s="1"/>
  <c r="N30" i="12"/>
  <c r="N264" i="12" s="1"/>
  <c r="M30" i="12"/>
  <c r="L30" i="12"/>
  <c r="L264" i="12" s="1"/>
  <c r="K30" i="12"/>
  <c r="K186" i="12" s="1"/>
  <c r="J30" i="12"/>
  <c r="J264" i="12" s="1"/>
  <c r="I30" i="12"/>
  <c r="H30" i="12"/>
  <c r="G30" i="12"/>
  <c r="F30" i="12"/>
  <c r="E30" i="12"/>
  <c r="D30" i="12"/>
  <c r="V29" i="12"/>
  <c r="U29" i="12"/>
  <c r="T29" i="12"/>
  <c r="S29" i="12"/>
  <c r="S107" i="12" s="1"/>
  <c r="R29" i="12"/>
  <c r="R185" i="12" s="1"/>
  <c r="Q29" i="12"/>
  <c r="Q263" i="12" s="1"/>
  <c r="P29" i="12"/>
  <c r="P185" i="12" s="1"/>
  <c r="O29" i="12"/>
  <c r="O263" i="12" s="1"/>
  <c r="N29" i="12"/>
  <c r="N107" i="12" s="1"/>
  <c r="M29" i="12"/>
  <c r="M263" i="12" s="1"/>
  <c r="L29" i="12"/>
  <c r="K29" i="12"/>
  <c r="J29" i="12"/>
  <c r="I29" i="12"/>
  <c r="H29" i="12"/>
  <c r="G29" i="12"/>
  <c r="F29" i="12"/>
  <c r="F263" i="12" s="1"/>
  <c r="E29" i="12"/>
  <c r="D29" i="12"/>
  <c r="D263" i="12" s="1"/>
  <c r="V28" i="12"/>
  <c r="V106" i="12" s="1"/>
  <c r="U28" i="12"/>
  <c r="U262" i="12" s="1"/>
  <c r="T28" i="12"/>
  <c r="T262" i="12" s="1"/>
  <c r="S28" i="12"/>
  <c r="S184" i="12" s="1"/>
  <c r="R28" i="12"/>
  <c r="R262" i="12" s="1"/>
  <c r="Q28" i="12"/>
  <c r="Q184" i="12" s="1"/>
  <c r="P28" i="12"/>
  <c r="P262" i="12" s="1"/>
  <c r="O28" i="12"/>
  <c r="N28" i="12"/>
  <c r="N184" i="12" s="1"/>
  <c r="M28" i="12"/>
  <c r="L28" i="12"/>
  <c r="K28" i="12"/>
  <c r="J28" i="12"/>
  <c r="I28" i="12"/>
  <c r="I262" i="12" s="1"/>
  <c r="H28" i="12"/>
  <c r="G28" i="12"/>
  <c r="F28" i="12"/>
  <c r="F106" i="12" s="1"/>
  <c r="E28" i="12"/>
  <c r="E184" i="12" s="1"/>
  <c r="D28" i="12"/>
  <c r="D262" i="12" s="1"/>
  <c r="V27" i="12"/>
  <c r="V183" i="12" s="1"/>
  <c r="U27" i="12"/>
  <c r="U261" i="12" s="1"/>
  <c r="T27" i="12"/>
  <c r="T105" i="12" s="1"/>
  <c r="S27" i="12"/>
  <c r="S261" i="12" s="1"/>
  <c r="R27" i="12"/>
  <c r="Q27" i="12"/>
  <c r="Q183" i="12" s="1"/>
  <c r="P27" i="12"/>
  <c r="P261" i="12" s="1"/>
  <c r="O27" i="12"/>
  <c r="N27" i="12"/>
  <c r="M27" i="12"/>
  <c r="L27" i="12"/>
  <c r="L261" i="12" s="1"/>
  <c r="K27" i="12"/>
  <c r="J27" i="12"/>
  <c r="I27" i="12"/>
  <c r="I183" i="12" s="1"/>
  <c r="H27" i="12"/>
  <c r="H183" i="12" s="1"/>
  <c r="G27" i="12"/>
  <c r="G261" i="12" s="1"/>
  <c r="F27" i="12"/>
  <c r="F183" i="12" s="1"/>
  <c r="E27" i="12"/>
  <c r="D27" i="12"/>
  <c r="D183" i="12" s="1"/>
  <c r="V26" i="12"/>
  <c r="V260" i="12" s="1"/>
  <c r="U26" i="12"/>
  <c r="T26" i="12"/>
  <c r="T182" i="12" s="1"/>
  <c r="S26" i="12"/>
  <c r="R26" i="12"/>
  <c r="Q26" i="12"/>
  <c r="P26" i="12"/>
  <c r="O26" i="12"/>
  <c r="O260" i="12" s="1"/>
  <c r="N26" i="12"/>
  <c r="M26" i="12"/>
  <c r="L26" i="12"/>
  <c r="L104" i="12" s="1"/>
  <c r="K26" i="12"/>
  <c r="K260" i="12" s="1"/>
  <c r="J26" i="12"/>
  <c r="J260" i="12" s="1"/>
  <c r="I26" i="12"/>
  <c r="I182" i="12" s="1"/>
  <c r="H26" i="12"/>
  <c r="H260" i="12" s="1"/>
  <c r="G26" i="12"/>
  <c r="G104" i="12" s="1"/>
  <c r="F26" i="12"/>
  <c r="F260" i="12" s="1"/>
  <c r="E26" i="12"/>
  <c r="D26" i="12"/>
  <c r="V24" i="12"/>
  <c r="U24" i="12"/>
  <c r="U102" i="12" s="1"/>
  <c r="T24" i="12"/>
  <c r="S24" i="12"/>
  <c r="R24" i="12"/>
  <c r="R102" i="12" s="1"/>
  <c r="Q24" i="12"/>
  <c r="Q102" i="12" s="1"/>
  <c r="P24" i="12"/>
  <c r="P258" i="12" s="1"/>
  <c r="O24" i="12"/>
  <c r="O102" i="12" s="1"/>
  <c r="N24" i="12"/>
  <c r="N258" i="12" s="1"/>
  <c r="M24" i="12"/>
  <c r="M102" i="12" s="1"/>
  <c r="L24" i="12"/>
  <c r="L180" i="12" s="1"/>
  <c r="K24" i="12"/>
  <c r="J24" i="12"/>
  <c r="J180" i="12" s="1"/>
  <c r="I24" i="12"/>
  <c r="H24" i="12"/>
  <c r="G24" i="12"/>
  <c r="F24" i="12"/>
  <c r="E24" i="12"/>
  <c r="D24" i="12"/>
  <c r="V23" i="12"/>
  <c r="V257" i="12" s="1"/>
  <c r="U23" i="12"/>
  <c r="U101" i="12" s="1"/>
  <c r="T23" i="12"/>
  <c r="T257" i="12" s="1"/>
  <c r="S23" i="12"/>
  <c r="R23" i="12"/>
  <c r="R179" i="12" s="1"/>
  <c r="Q23" i="12"/>
  <c r="Q257" i="12" s="1"/>
  <c r="P23" i="12"/>
  <c r="P101" i="12" s="1"/>
  <c r="O23" i="12"/>
  <c r="O179" i="12" s="1"/>
  <c r="N23" i="12"/>
  <c r="M23" i="12"/>
  <c r="M179" i="12" s="1"/>
  <c r="L23" i="12"/>
  <c r="L257" i="12" s="1"/>
  <c r="K23" i="12"/>
  <c r="J23" i="12"/>
  <c r="I23" i="12"/>
  <c r="H23" i="12"/>
  <c r="H101" i="12" s="1"/>
  <c r="G23" i="12"/>
  <c r="F23" i="12"/>
  <c r="F257" i="12" s="1"/>
  <c r="E23" i="12"/>
  <c r="E101" i="12" s="1"/>
  <c r="D23" i="12"/>
  <c r="D101" i="12" s="1"/>
  <c r="V22" i="12"/>
  <c r="U22" i="12"/>
  <c r="U100" i="12" s="1"/>
  <c r="T22" i="12"/>
  <c r="T256" i="12" s="1"/>
  <c r="S22" i="12"/>
  <c r="S100" i="12" s="1"/>
  <c r="R22" i="12"/>
  <c r="R178" i="12" s="1"/>
  <c r="Q22" i="12"/>
  <c r="P22" i="12"/>
  <c r="P178" i="12" s="1"/>
  <c r="O22" i="12"/>
  <c r="O256" i="12" s="1"/>
  <c r="N22" i="12"/>
  <c r="M22" i="12"/>
  <c r="L22" i="12"/>
  <c r="K22" i="12"/>
  <c r="K100" i="12" s="1"/>
  <c r="J22" i="12"/>
  <c r="I22" i="12"/>
  <c r="I256" i="12" s="1"/>
  <c r="H22" i="12"/>
  <c r="H100" i="12" s="1"/>
  <c r="G22" i="12"/>
  <c r="G100" i="12" s="1"/>
  <c r="F22" i="12"/>
  <c r="E22" i="12"/>
  <c r="E178" i="12" s="1"/>
  <c r="D22" i="12"/>
  <c r="D256" i="12" s="1"/>
  <c r="V21" i="12"/>
  <c r="V99" i="12" s="1"/>
  <c r="U21" i="12"/>
  <c r="U177" i="12" s="1"/>
  <c r="T21" i="12"/>
  <c r="S21" i="12"/>
  <c r="S177" i="12" s="1"/>
  <c r="R21" i="12"/>
  <c r="Q21" i="12"/>
  <c r="P21" i="12"/>
  <c r="O21" i="12"/>
  <c r="N21" i="12"/>
  <c r="N99" i="12" s="1"/>
  <c r="M21" i="12"/>
  <c r="L21" i="12"/>
  <c r="K21" i="12"/>
  <c r="K99" i="12" s="1"/>
  <c r="J21" i="12"/>
  <c r="J255" i="12" s="1"/>
  <c r="I21" i="12"/>
  <c r="I255" i="12" s="1"/>
  <c r="H21" i="12"/>
  <c r="H99" i="12" s="1"/>
  <c r="G21" i="12"/>
  <c r="G255" i="12" s="1"/>
  <c r="F21" i="12"/>
  <c r="F99" i="12" s="1"/>
  <c r="E21" i="12"/>
  <c r="E177" i="12" s="1"/>
  <c r="D21" i="12"/>
  <c r="V20" i="12"/>
  <c r="U20" i="12"/>
  <c r="U254" i="12" s="1"/>
  <c r="T20" i="12"/>
  <c r="S20" i="12"/>
  <c r="R20" i="12"/>
  <c r="Q20" i="12"/>
  <c r="Q98" i="12" s="1"/>
  <c r="P20" i="12"/>
  <c r="O20" i="12"/>
  <c r="O254" i="12" s="1"/>
  <c r="N20" i="12"/>
  <c r="N176" i="12" s="1"/>
  <c r="M20" i="12"/>
  <c r="M98" i="12" s="1"/>
  <c r="L20" i="12"/>
  <c r="K20" i="12"/>
  <c r="K176" i="12" s="1"/>
  <c r="J20" i="12"/>
  <c r="J254" i="12" s="1"/>
  <c r="I20" i="12"/>
  <c r="I98" i="12" s="1"/>
  <c r="H20" i="12"/>
  <c r="H176" i="12" s="1"/>
  <c r="G20" i="12"/>
  <c r="F20" i="12"/>
  <c r="F176" i="12" s="1"/>
  <c r="E20" i="12"/>
  <c r="E254" i="12" s="1"/>
  <c r="D20" i="12"/>
  <c r="V19" i="12"/>
  <c r="U19" i="12"/>
  <c r="T19" i="12"/>
  <c r="T97" i="12" s="1"/>
  <c r="S19" i="12"/>
  <c r="R19" i="12"/>
  <c r="R253" i="12" s="1"/>
  <c r="Q19" i="12"/>
  <c r="Q97" i="12" s="1"/>
  <c r="P19" i="12"/>
  <c r="P97" i="12" s="1"/>
  <c r="O19" i="12"/>
  <c r="N19" i="12"/>
  <c r="N97" i="12" s="1"/>
  <c r="M19" i="12"/>
  <c r="M253" i="12" s="1"/>
  <c r="L19" i="12"/>
  <c r="L97" i="12" s="1"/>
  <c r="K19" i="12"/>
  <c r="K175" i="12" s="1"/>
  <c r="J19" i="12"/>
  <c r="I19" i="12"/>
  <c r="H19" i="12"/>
  <c r="H253" i="12" s="1"/>
  <c r="G19" i="12"/>
  <c r="F19" i="12"/>
  <c r="E19" i="12"/>
  <c r="D19" i="12"/>
  <c r="D97" i="12" s="1"/>
  <c r="V18" i="12"/>
  <c r="U18" i="12"/>
  <c r="U252" i="12" s="1"/>
  <c r="T18" i="12"/>
  <c r="T96" i="12" s="1"/>
  <c r="S18" i="12"/>
  <c r="S96" i="12" s="1"/>
  <c r="R18" i="12"/>
  <c r="R174" i="12" s="1"/>
  <c r="Q18" i="12"/>
  <c r="Q96" i="12" s="1"/>
  <c r="P18" i="12"/>
  <c r="P252" i="12" s="1"/>
  <c r="O18" i="12"/>
  <c r="N18" i="12"/>
  <c r="N174" i="12" s="1"/>
  <c r="M18" i="12"/>
  <c r="L18" i="12"/>
  <c r="L174" i="12" s="1"/>
  <c r="K18" i="12"/>
  <c r="K252" i="12" s="1"/>
  <c r="J18" i="12"/>
  <c r="I18" i="12"/>
  <c r="H18" i="12"/>
  <c r="G18" i="12"/>
  <c r="G96" i="12" s="1"/>
  <c r="F18" i="12"/>
  <c r="E18" i="12"/>
  <c r="D18" i="12"/>
  <c r="D96" i="12" s="1"/>
  <c r="V17" i="12"/>
  <c r="V95" i="12" s="1"/>
  <c r="U17" i="12"/>
  <c r="U251" i="12" s="1"/>
  <c r="T17" i="12"/>
  <c r="T95" i="12" s="1"/>
  <c r="S17" i="12"/>
  <c r="S251" i="12" s="1"/>
  <c r="R17" i="12"/>
  <c r="R95" i="12" s="1"/>
  <c r="Q17" i="12"/>
  <c r="Q173" i="12" s="1"/>
  <c r="P17" i="12"/>
  <c r="O17" i="12"/>
  <c r="O173" i="12" s="1"/>
  <c r="N17" i="12"/>
  <c r="M17" i="12"/>
  <c r="L17" i="12"/>
  <c r="K17" i="12"/>
  <c r="J17" i="12"/>
  <c r="J95" i="12" s="1"/>
  <c r="I17" i="12"/>
  <c r="H17" i="12"/>
  <c r="H251" i="12" s="1"/>
  <c r="G17" i="12"/>
  <c r="G95" i="12" s="1"/>
  <c r="F17" i="12"/>
  <c r="F251" i="12" s="1"/>
  <c r="E17" i="12"/>
  <c r="D17" i="12"/>
  <c r="D95" i="12" s="1"/>
  <c r="V16" i="12"/>
  <c r="V250" i="12" s="1"/>
  <c r="U16" i="12"/>
  <c r="U94" i="12" s="1"/>
  <c r="T16" i="12"/>
  <c r="T172" i="12" s="1"/>
  <c r="S16" i="12"/>
  <c r="R16" i="12"/>
  <c r="R172" i="12" s="1"/>
  <c r="Q16" i="12"/>
  <c r="Q250" i="12" s="1"/>
  <c r="P16" i="12"/>
  <c r="O16" i="12"/>
  <c r="N16" i="12"/>
  <c r="M16" i="12"/>
  <c r="M94" i="12" s="1"/>
  <c r="L16" i="12"/>
  <c r="K16" i="12"/>
  <c r="K250" i="12" s="1"/>
  <c r="J16" i="12"/>
  <c r="J94" i="12" s="1"/>
  <c r="I16" i="12"/>
  <c r="I94" i="12" s="1"/>
  <c r="H16" i="12"/>
  <c r="H172" i="12" s="1"/>
  <c r="G16" i="12"/>
  <c r="G172" i="12" s="1"/>
  <c r="F16" i="12"/>
  <c r="F250" i="12" s="1"/>
  <c r="E16" i="12"/>
  <c r="E94" i="12" s="1"/>
  <c r="D16" i="12"/>
  <c r="D172" i="12" s="1"/>
  <c r="V15" i="12"/>
  <c r="U15" i="12"/>
  <c r="U171" i="12" s="1"/>
  <c r="T15" i="12"/>
  <c r="T249" i="12" s="1"/>
  <c r="S15" i="12"/>
  <c r="R15" i="12"/>
  <c r="Q15" i="12"/>
  <c r="P15" i="12"/>
  <c r="P93" i="12" s="1"/>
  <c r="O15" i="12"/>
  <c r="N15" i="12"/>
  <c r="N249" i="12" s="1"/>
  <c r="M15" i="12"/>
  <c r="M93" i="12" s="1"/>
  <c r="L15" i="12"/>
  <c r="L93" i="12" s="1"/>
  <c r="K15" i="12"/>
  <c r="J15" i="12"/>
  <c r="J93" i="12" s="1"/>
  <c r="I15" i="12"/>
  <c r="I249" i="12" s="1"/>
  <c r="H15" i="12"/>
  <c r="H93" i="12" s="1"/>
  <c r="G15" i="12"/>
  <c r="G171" i="12" s="1"/>
  <c r="F15" i="12"/>
  <c r="E15" i="12"/>
  <c r="D15" i="12"/>
  <c r="V14" i="12"/>
  <c r="U14" i="12"/>
  <c r="T14" i="12"/>
  <c r="S14" i="12"/>
  <c r="S92" i="12" s="1"/>
  <c r="R14" i="12"/>
  <c r="Q14" i="12"/>
  <c r="P14" i="12"/>
  <c r="P170" i="12" s="1"/>
  <c r="O14" i="12"/>
  <c r="O248" i="12" s="1"/>
  <c r="N14" i="12"/>
  <c r="N248" i="12" s="1"/>
  <c r="M14" i="12"/>
  <c r="L14" i="12"/>
  <c r="L248" i="12" s="1"/>
  <c r="K14" i="12"/>
  <c r="K92" i="12" s="1"/>
  <c r="J14" i="12"/>
  <c r="J170" i="12" s="1"/>
  <c r="I14" i="12"/>
  <c r="H14" i="12"/>
  <c r="H170" i="12" s="1"/>
  <c r="G14" i="12"/>
  <c r="G248" i="12" s="1"/>
  <c r="F14" i="12"/>
  <c r="E14" i="12"/>
  <c r="D14" i="12"/>
  <c r="V13" i="12"/>
  <c r="U13" i="12"/>
  <c r="T13" i="12"/>
  <c r="S13" i="12"/>
  <c r="S91" i="12" s="1"/>
  <c r="R13" i="12"/>
  <c r="R91" i="12" s="1"/>
  <c r="Q13" i="12"/>
  <c r="P13" i="12"/>
  <c r="P91" i="12" s="1"/>
  <c r="O13" i="12"/>
  <c r="O247" i="12" s="1"/>
  <c r="N13" i="12"/>
  <c r="M13" i="12"/>
  <c r="M169" i="12" s="1"/>
  <c r="L13" i="12"/>
  <c r="K13" i="12"/>
  <c r="K169" i="12" s="1"/>
  <c r="J13" i="12"/>
  <c r="J247" i="12" s="1"/>
  <c r="I13" i="12"/>
  <c r="H13" i="12"/>
  <c r="G13" i="12"/>
  <c r="F13" i="12"/>
  <c r="E13" i="12"/>
  <c r="D13" i="12"/>
  <c r="D247" i="12" s="1"/>
  <c r="C297" i="11"/>
  <c r="I294" i="11"/>
  <c r="I292" i="11"/>
  <c r="I290" i="11"/>
  <c r="E289" i="11"/>
  <c r="I288" i="11"/>
  <c r="G287" i="11"/>
  <c r="I286" i="11"/>
  <c r="I284" i="11"/>
  <c r="I282" i="11"/>
  <c r="I280" i="11"/>
  <c r="I278" i="11"/>
  <c r="G277" i="11"/>
  <c r="E277" i="11"/>
  <c r="D277" i="11"/>
  <c r="I276" i="11"/>
  <c r="I274" i="11"/>
  <c r="I272" i="11"/>
  <c r="I270" i="11"/>
  <c r="I268" i="11"/>
  <c r="E267" i="11"/>
  <c r="I266" i="11"/>
  <c r="C255" i="11"/>
  <c r="K253" i="11"/>
  <c r="J253" i="11"/>
  <c r="I253" i="11"/>
  <c r="I295" i="11" s="1"/>
  <c r="H253" i="11"/>
  <c r="G253" i="11"/>
  <c r="F253" i="11"/>
  <c r="E253" i="11"/>
  <c r="D253" i="11"/>
  <c r="K252" i="11"/>
  <c r="J252" i="11"/>
  <c r="I252" i="11"/>
  <c r="H252" i="11"/>
  <c r="H294" i="11" s="1"/>
  <c r="G252" i="11"/>
  <c r="F252" i="11"/>
  <c r="F294" i="11" s="1"/>
  <c r="E252" i="11"/>
  <c r="D252" i="11"/>
  <c r="D294" i="11" s="1"/>
  <c r="K251" i="11"/>
  <c r="J251" i="11"/>
  <c r="I251" i="11"/>
  <c r="I293" i="11" s="1"/>
  <c r="H251" i="11"/>
  <c r="G251" i="11"/>
  <c r="F251" i="11"/>
  <c r="E251" i="11"/>
  <c r="D251" i="11"/>
  <c r="K250" i="11"/>
  <c r="J250" i="11"/>
  <c r="J292" i="11" s="1"/>
  <c r="I250" i="11"/>
  <c r="H250" i="11"/>
  <c r="H292" i="11" s="1"/>
  <c r="G250" i="11"/>
  <c r="F250" i="11"/>
  <c r="F292" i="11" s="1"/>
  <c r="E250" i="11"/>
  <c r="D250" i="11"/>
  <c r="D292" i="11" s="1"/>
  <c r="K249" i="11"/>
  <c r="J249" i="11"/>
  <c r="I249" i="11"/>
  <c r="I291" i="11" s="1"/>
  <c r="H249" i="11"/>
  <c r="G249" i="11"/>
  <c r="F249" i="11"/>
  <c r="E249" i="11"/>
  <c r="D249" i="11"/>
  <c r="K248" i="11"/>
  <c r="J248" i="11"/>
  <c r="J290" i="11" s="1"/>
  <c r="I248" i="11"/>
  <c r="H248" i="11"/>
  <c r="H290" i="11" s="1"/>
  <c r="G248" i="11"/>
  <c r="F248" i="11"/>
  <c r="F290" i="11" s="1"/>
  <c r="E248" i="11"/>
  <c r="D248" i="11"/>
  <c r="D290" i="11" s="1"/>
  <c r="K247" i="11"/>
  <c r="J247" i="11"/>
  <c r="I247" i="11"/>
  <c r="I289" i="11" s="1"/>
  <c r="H247" i="11"/>
  <c r="G247" i="11"/>
  <c r="F247" i="11"/>
  <c r="E247" i="11"/>
  <c r="D247" i="11"/>
  <c r="K246" i="11"/>
  <c r="J246" i="11"/>
  <c r="J288" i="11" s="1"/>
  <c r="I246" i="11"/>
  <c r="H246" i="11"/>
  <c r="H288" i="11" s="1"/>
  <c r="G246" i="11"/>
  <c r="F246" i="11"/>
  <c r="F288" i="11" s="1"/>
  <c r="E246" i="11"/>
  <c r="D246" i="11"/>
  <c r="D288" i="11" s="1"/>
  <c r="K245" i="11"/>
  <c r="J245" i="11"/>
  <c r="I245" i="11"/>
  <c r="I287" i="11" s="1"/>
  <c r="H245" i="11"/>
  <c r="G245" i="11"/>
  <c r="F245" i="11"/>
  <c r="E245" i="11"/>
  <c r="D245" i="11"/>
  <c r="K244" i="11"/>
  <c r="J244" i="11"/>
  <c r="J286" i="11" s="1"/>
  <c r="I244" i="11"/>
  <c r="H244" i="11"/>
  <c r="H286" i="11" s="1"/>
  <c r="G244" i="11"/>
  <c r="F244" i="11"/>
  <c r="F286" i="11" s="1"/>
  <c r="E244" i="11"/>
  <c r="D244" i="11"/>
  <c r="D286" i="11" s="1"/>
  <c r="K243" i="11"/>
  <c r="J243" i="11"/>
  <c r="I243" i="11"/>
  <c r="I285" i="11" s="1"/>
  <c r="H243" i="11"/>
  <c r="G243" i="11"/>
  <c r="F243" i="11"/>
  <c r="E243" i="11"/>
  <c r="D243" i="11"/>
  <c r="K242" i="11"/>
  <c r="J242" i="11"/>
  <c r="J284" i="11" s="1"/>
  <c r="I242" i="11"/>
  <c r="H242" i="11"/>
  <c r="H284" i="11" s="1"/>
  <c r="G242" i="11"/>
  <c r="F242" i="11"/>
  <c r="F284" i="11" s="1"/>
  <c r="E242" i="11"/>
  <c r="D242" i="11"/>
  <c r="D284" i="11" s="1"/>
  <c r="K241" i="11"/>
  <c r="J241" i="11"/>
  <c r="I241" i="11"/>
  <c r="H241" i="11"/>
  <c r="G241" i="11"/>
  <c r="F241" i="11"/>
  <c r="E241" i="11"/>
  <c r="D241" i="11"/>
  <c r="K240" i="11"/>
  <c r="J240" i="11"/>
  <c r="J282" i="11" s="1"/>
  <c r="I240" i="11"/>
  <c r="H240" i="11"/>
  <c r="H282" i="11" s="1"/>
  <c r="G240" i="11"/>
  <c r="F240" i="11"/>
  <c r="F282" i="11" s="1"/>
  <c r="E240" i="11"/>
  <c r="D240" i="11"/>
  <c r="D282" i="11" s="1"/>
  <c r="K239" i="11"/>
  <c r="J239" i="11"/>
  <c r="I239" i="11"/>
  <c r="H239" i="11"/>
  <c r="G239" i="11"/>
  <c r="F239" i="11"/>
  <c r="E239" i="11"/>
  <c r="D239" i="11"/>
  <c r="K238" i="11"/>
  <c r="J238" i="11"/>
  <c r="J280" i="11" s="1"/>
  <c r="I238" i="11"/>
  <c r="H238" i="11"/>
  <c r="H280" i="11" s="1"/>
  <c r="G238" i="11"/>
  <c r="F238" i="11"/>
  <c r="F280" i="11" s="1"/>
  <c r="E238" i="11"/>
  <c r="D238" i="11"/>
  <c r="D280" i="11" s="1"/>
  <c r="K237" i="11"/>
  <c r="J237" i="11"/>
  <c r="I237" i="11"/>
  <c r="H237" i="11"/>
  <c r="G237" i="11"/>
  <c r="F237" i="11"/>
  <c r="E237" i="11"/>
  <c r="D237" i="11"/>
  <c r="K236" i="11"/>
  <c r="J236" i="11"/>
  <c r="J278" i="11" s="1"/>
  <c r="I236" i="11"/>
  <c r="H236" i="11"/>
  <c r="H278" i="11" s="1"/>
  <c r="G236" i="11"/>
  <c r="F236" i="11"/>
  <c r="F278" i="11" s="1"/>
  <c r="E236" i="11"/>
  <c r="D236" i="11"/>
  <c r="D278" i="11" s="1"/>
  <c r="K235" i="11"/>
  <c r="J235" i="11"/>
  <c r="I235" i="11"/>
  <c r="H235" i="11"/>
  <c r="G235" i="11"/>
  <c r="F235" i="11"/>
  <c r="F277" i="11" s="1"/>
  <c r="E235" i="11"/>
  <c r="D235" i="11"/>
  <c r="K234" i="11"/>
  <c r="J234" i="11"/>
  <c r="J276" i="11" s="1"/>
  <c r="I234" i="11"/>
  <c r="H234" i="11"/>
  <c r="H276" i="11" s="1"/>
  <c r="G234" i="11"/>
  <c r="F234" i="11"/>
  <c r="F276" i="11" s="1"/>
  <c r="E234" i="11"/>
  <c r="D234" i="11"/>
  <c r="D276" i="11" s="1"/>
  <c r="K233" i="11"/>
  <c r="J233" i="11"/>
  <c r="I233" i="11"/>
  <c r="H233" i="11"/>
  <c r="G233" i="11"/>
  <c r="F233" i="11"/>
  <c r="E233" i="11"/>
  <c r="D233" i="11"/>
  <c r="K232" i="11"/>
  <c r="J232" i="11"/>
  <c r="J274" i="11" s="1"/>
  <c r="I232" i="11"/>
  <c r="H232" i="11"/>
  <c r="H274" i="11" s="1"/>
  <c r="G232" i="11"/>
  <c r="F232" i="11"/>
  <c r="F274" i="11" s="1"/>
  <c r="E232" i="11"/>
  <c r="D232" i="11"/>
  <c r="D274" i="11" s="1"/>
  <c r="K231" i="11"/>
  <c r="J231" i="11"/>
  <c r="I231" i="11"/>
  <c r="H231" i="11"/>
  <c r="G231" i="11"/>
  <c r="F231" i="11"/>
  <c r="E231" i="11"/>
  <c r="D231" i="11"/>
  <c r="K230" i="11"/>
  <c r="J230" i="11"/>
  <c r="J272" i="11" s="1"/>
  <c r="I230" i="11"/>
  <c r="H230" i="11"/>
  <c r="H272" i="11" s="1"/>
  <c r="G230" i="11"/>
  <c r="F230" i="11"/>
  <c r="F272" i="11" s="1"/>
  <c r="E230" i="11"/>
  <c r="D230" i="11"/>
  <c r="D272" i="11" s="1"/>
  <c r="K229" i="11"/>
  <c r="J229" i="11"/>
  <c r="I229" i="11"/>
  <c r="H229" i="11"/>
  <c r="G229" i="11"/>
  <c r="F229" i="11"/>
  <c r="E229" i="11"/>
  <c r="D229" i="11"/>
  <c r="K228" i="11"/>
  <c r="J228" i="11"/>
  <c r="J270" i="11" s="1"/>
  <c r="I228" i="11"/>
  <c r="H228" i="11"/>
  <c r="H270" i="11" s="1"/>
  <c r="G228" i="11"/>
  <c r="F228" i="11"/>
  <c r="F270" i="11" s="1"/>
  <c r="E228" i="11"/>
  <c r="D228" i="11"/>
  <c r="D270" i="11" s="1"/>
  <c r="K227" i="11"/>
  <c r="J227" i="11"/>
  <c r="I227" i="11"/>
  <c r="H227" i="11"/>
  <c r="G227" i="11"/>
  <c r="F227" i="11"/>
  <c r="E227" i="11"/>
  <c r="D227" i="11"/>
  <c r="K226" i="11"/>
  <c r="J226" i="11"/>
  <c r="J268" i="11" s="1"/>
  <c r="I226" i="11"/>
  <c r="H226" i="11"/>
  <c r="H268" i="11" s="1"/>
  <c r="G226" i="11"/>
  <c r="F226" i="11"/>
  <c r="F268" i="11" s="1"/>
  <c r="E226" i="11"/>
  <c r="D226" i="11"/>
  <c r="D268" i="11" s="1"/>
  <c r="K225" i="11"/>
  <c r="J225" i="11"/>
  <c r="I225" i="11"/>
  <c r="H225" i="11"/>
  <c r="G225" i="11"/>
  <c r="F225" i="11"/>
  <c r="E225" i="11"/>
  <c r="D225" i="11"/>
  <c r="K224" i="11"/>
  <c r="J224" i="11"/>
  <c r="J266" i="11" s="1"/>
  <c r="I224" i="11"/>
  <c r="H224" i="11"/>
  <c r="H266" i="11" s="1"/>
  <c r="G224" i="11"/>
  <c r="F224" i="11"/>
  <c r="F266" i="11" s="1"/>
  <c r="E224" i="11"/>
  <c r="E254" i="11" s="1"/>
  <c r="D224" i="11"/>
  <c r="D254" i="11" s="1"/>
  <c r="K223" i="11"/>
  <c r="J223" i="11"/>
  <c r="I223" i="11"/>
  <c r="H223" i="11"/>
  <c r="G223" i="11"/>
  <c r="G254" i="11" s="1"/>
  <c r="F223" i="11"/>
  <c r="E223" i="11"/>
  <c r="D223" i="11"/>
  <c r="C214" i="11"/>
  <c r="I213" i="11"/>
  <c r="I212" i="11"/>
  <c r="I211" i="11"/>
  <c r="F211" i="11"/>
  <c r="D211" i="11"/>
  <c r="I210" i="11"/>
  <c r="I209" i="11"/>
  <c r="F209" i="11"/>
  <c r="D209" i="11"/>
  <c r="I208" i="11"/>
  <c r="I207" i="11"/>
  <c r="G207" i="11"/>
  <c r="F207" i="11"/>
  <c r="D207" i="11"/>
  <c r="I206" i="11"/>
  <c r="I205" i="11"/>
  <c r="F205" i="11"/>
  <c r="D205" i="11"/>
  <c r="I204" i="11"/>
  <c r="I203" i="11"/>
  <c r="F203" i="11"/>
  <c r="D203" i="11"/>
  <c r="I202" i="11"/>
  <c r="I201" i="11"/>
  <c r="F201" i="11"/>
  <c r="D201" i="11"/>
  <c r="I200" i="11"/>
  <c r="I199" i="11"/>
  <c r="F199" i="11"/>
  <c r="D199" i="11"/>
  <c r="I197" i="11"/>
  <c r="F197" i="11"/>
  <c r="D197" i="11"/>
  <c r="I195" i="11"/>
  <c r="F195" i="11"/>
  <c r="D195" i="11"/>
  <c r="I193" i="11"/>
  <c r="F193" i="11"/>
  <c r="D193" i="11"/>
  <c r="I191" i="11"/>
  <c r="F191" i="11"/>
  <c r="D191" i="11"/>
  <c r="I189" i="11"/>
  <c r="F189" i="11"/>
  <c r="D189" i="11"/>
  <c r="I188" i="11"/>
  <c r="I187" i="11"/>
  <c r="G187" i="11"/>
  <c r="F187" i="11"/>
  <c r="D187" i="11"/>
  <c r="I186" i="11"/>
  <c r="I185" i="11"/>
  <c r="F185" i="11"/>
  <c r="D185" i="11"/>
  <c r="I183" i="11"/>
  <c r="F183" i="11"/>
  <c r="D183" i="11"/>
  <c r="C172" i="11"/>
  <c r="K170" i="11"/>
  <c r="J170" i="11"/>
  <c r="I170" i="11"/>
  <c r="H170" i="11"/>
  <c r="G170" i="11"/>
  <c r="F170" i="11"/>
  <c r="F212" i="11" s="1"/>
  <c r="E170" i="11"/>
  <c r="D170" i="11"/>
  <c r="D212" i="11" s="1"/>
  <c r="K169" i="11"/>
  <c r="J169" i="11"/>
  <c r="J211" i="11" s="1"/>
  <c r="I169" i="11"/>
  <c r="H169" i="11"/>
  <c r="H211" i="11" s="1"/>
  <c r="G169" i="11"/>
  <c r="F169" i="11"/>
  <c r="E169" i="11"/>
  <c r="D169" i="11"/>
  <c r="K168" i="11"/>
  <c r="J168" i="11"/>
  <c r="I168" i="11"/>
  <c r="H168" i="11"/>
  <c r="G168" i="11"/>
  <c r="F168" i="11"/>
  <c r="F210" i="11" s="1"/>
  <c r="E168" i="11"/>
  <c r="D168" i="11"/>
  <c r="D210" i="11" s="1"/>
  <c r="K167" i="11"/>
  <c r="J167" i="11"/>
  <c r="J209" i="11" s="1"/>
  <c r="I167" i="11"/>
  <c r="H167" i="11"/>
  <c r="H209" i="11" s="1"/>
  <c r="G167" i="11"/>
  <c r="F167" i="11"/>
  <c r="E167" i="11"/>
  <c r="D167" i="11"/>
  <c r="K166" i="11"/>
  <c r="J166" i="11"/>
  <c r="I166" i="11"/>
  <c r="H166" i="11"/>
  <c r="G166" i="11"/>
  <c r="F166" i="11"/>
  <c r="F208" i="11" s="1"/>
  <c r="E166" i="11"/>
  <c r="D166" i="11"/>
  <c r="D208" i="11" s="1"/>
  <c r="K165" i="11"/>
  <c r="J165" i="11"/>
  <c r="J207" i="11" s="1"/>
  <c r="I165" i="11"/>
  <c r="H165" i="11"/>
  <c r="H207" i="11" s="1"/>
  <c r="G165" i="11"/>
  <c r="F165" i="11"/>
  <c r="E165" i="11"/>
  <c r="D165" i="11"/>
  <c r="K164" i="11"/>
  <c r="J164" i="11"/>
  <c r="I164" i="11"/>
  <c r="H164" i="11"/>
  <c r="G164" i="11"/>
  <c r="F164" i="11"/>
  <c r="F206" i="11" s="1"/>
  <c r="E164" i="11"/>
  <c r="D164" i="11"/>
  <c r="D206" i="11" s="1"/>
  <c r="K163" i="11"/>
  <c r="J163" i="11"/>
  <c r="J205" i="11" s="1"/>
  <c r="I163" i="11"/>
  <c r="H163" i="11"/>
  <c r="H205" i="11" s="1"/>
  <c r="G163" i="11"/>
  <c r="F163" i="11"/>
  <c r="E163" i="11"/>
  <c r="D163" i="11"/>
  <c r="K162" i="11"/>
  <c r="J162" i="11"/>
  <c r="I162" i="11"/>
  <c r="H162" i="11"/>
  <c r="G162" i="11"/>
  <c r="F162" i="11"/>
  <c r="F204" i="11" s="1"/>
  <c r="E162" i="11"/>
  <c r="D162" i="11"/>
  <c r="D204" i="11" s="1"/>
  <c r="K161" i="11"/>
  <c r="J161" i="11"/>
  <c r="J203" i="11" s="1"/>
  <c r="I161" i="11"/>
  <c r="H161" i="11"/>
  <c r="H203" i="11" s="1"/>
  <c r="G161" i="11"/>
  <c r="F161" i="11"/>
  <c r="E161" i="11"/>
  <c r="D161" i="11"/>
  <c r="K160" i="11"/>
  <c r="J160" i="11"/>
  <c r="I160" i="11"/>
  <c r="H160" i="11"/>
  <c r="G160" i="11"/>
  <c r="F160" i="11"/>
  <c r="F202" i="11" s="1"/>
  <c r="E160" i="11"/>
  <c r="D160" i="11"/>
  <c r="D202" i="11" s="1"/>
  <c r="K159" i="11"/>
  <c r="J159" i="11"/>
  <c r="J201" i="11" s="1"/>
  <c r="I159" i="11"/>
  <c r="H159" i="11"/>
  <c r="H201" i="11" s="1"/>
  <c r="G159" i="11"/>
  <c r="F159" i="11"/>
  <c r="E159" i="11"/>
  <c r="D159" i="11"/>
  <c r="K158" i="11"/>
  <c r="J158" i="11"/>
  <c r="I158" i="11"/>
  <c r="H158" i="11"/>
  <c r="G158" i="11"/>
  <c r="F158" i="11"/>
  <c r="F200" i="11" s="1"/>
  <c r="E158" i="11"/>
  <c r="D158" i="11"/>
  <c r="D200" i="11" s="1"/>
  <c r="K157" i="11"/>
  <c r="J157" i="11"/>
  <c r="J199" i="11" s="1"/>
  <c r="I157" i="11"/>
  <c r="H157" i="11"/>
  <c r="H199" i="11" s="1"/>
  <c r="G157" i="11"/>
  <c r="F157" i="11"/>
  <c r="E157" i="11"/>
  <c r="D157" i="11"/>
  <c r="K156" i="11"/>
  <c r="J156" i="11"/>
  <c r="I156" i="11"/>
  <c r="H156" i="11"/>
  <c r="G156" i="11"/>
  <c r="F156" i="11"/>
  <c r="F198" i="11" s="1"/>
  <c r="E156" i="11"/>
  <c r="D156" i="11"/>
  <c r="D198" i="11" s="1"/>
  <c r="K155" i="11"/>
  <c r="J155" i="11"/>
  <c r="J197" i="11" s="1"/>
  <c r="I155" i="11"/>
  <c r="H155" i="11"/>
  <c r="H197" i="11" s="1"/>
  <c r="G155" i="11"/>
  <c r="F155" i="11"/>
  <c r="E155" i="11"/>
  <c r="D155" i="11"/>
  <c r="K154" i="11"/>
  <c r="J154" i="11"/>
  <c r="I154" i="11"/>
  <c r="H154" i="11"/>
  <c r="G154" i="11"/>
  <c r="F154" i="11"/>
  <c r="F196" i="11" s="1"/>
  <c r="E154" i="11"/>
  <c r="D154" i="11"/>
  <c r="D196" i="11" s="1"/>
  <c r="K153" i="11"/>
  <c r="J153" i="11"/>
  <c r="J195" i="11" s="1"/>
  <c r="I153" i="11"/>
  <c r="H153" i="11"/>
  <c r="H195" i="11" s="1"/>
  <c r="G153" i="11"/>
  <c r="F153" i="11"/>
  <c r="E153" i="11"/>
  <c r="D153" i="11"/>
  <c r="K152" i="11"/>
  <c r="J152" i="11"/>
  <c r="I152" i="11"/>
  <c r="H152" i="11"/>
  <c r="G152" i="11"/>
  <c r="G194" i="11" s="1"/>
  <c r="F152" i="11"/>
  <c r="F194" i="11" s="1"/>
  <c r="E152" i="11"/>
  <c r="E194" i="11" s="1"/>
  <c r="D152" i="11"/>
  <c r="D194" i="11" s="1"/>
  <c r="K151" i="11"/>
  <c r="J151" i="11"/>
  <c r="J193" i="11" s="1"/>
  <c r="I151" i="11"/>
  <c r="H151" i="11"/>
  <c r="H193" i="11" s="1"/>
  <c r="G151" i="11"/>
  <c r="F151" i="11"/>
  <c r="E151" i="11"/>
  <c r="D151" i="11"/>
  <c r="K150" i="11"/>
  <c r="J150" i="11"/>
  <c r="I150" i="11"/>
  <c r="H150" i="11"/>
  <c r="G150" i="11"/>
  <c r="F150" i="11"/>
  <c r="F192" i="11" s="1"/>
  <c r="E150" i="11"/>
  <c r="D150" i="11"/>
  <c r="D192" i="11" s="1"/>
  <c r="K149" i="11"/>
  <c r="J149" i="11"/>
  <c r="J191" i="11" s="1"/>
  <c r="I149" i="11"/>
  <c r="H149" i="11"/>
  <c r="H191" i="11" s="1"/>
  <c r="G149" i="11"/>
  <c r="F149" i="11"/>
  <c r="E149" i="11"/>
  <c r="D149" i="11"/>
  <c r="K148" i="11"/>
  <c r="J148" i="11"/>
  <c r="I148" i="11"/>
  <c r="H148" i="11"/>
  <c r="G148" i="11"/>
  <c r="F148" i="11"/>
  <c r="F190" i="11" s="1"/>
  <c r="E148" i="11"/>
  <c r="D148" i="11"/>
  <c r="D190" i="11" s="1"/>
  <c r="K147" i="11"/>
  <c r="J147" i="11"/>
  <c r="J189" i="11" s="1"/>
  <c r="I147" i="11"/>
  <c r="H147" i="11"/>
  <c r="H189" i="11" s="1"/>
  <c r="G147" i="11"/>
  <c r="F147" i="11"/>
  <c r="E147" i="11"/>
  <c r="D147" i="11"/>
  <c r="K146" i="11"/>
  <c r="J146" i="11"/>
  <c r="I146" i="11"/>
  <c r="H146" i="11"/>
  <c r="G146" i="11"/>
  <c r="F146" i="11"/>
  <c r="F188" i="11" s="1"/>
  <c r="E146" i="11"/>
  <c r="D146" i="11"/>
  <c r="D188" i="11" s="1"/>
  <c r="K145" i="11"/>
  <c r="J145" i="11"/>
  <c r="J187" i="11" s="1"/>
  <c r="I145" i="11"/>
  <c r="H145" i="11"/>
  <c r="H187" i="11" s="1"/>
  <c r="G145" i="11"/>
  <c r="F145" i="11"/>
  <c r="E145" i="11"/>
  <c r="D145" i="11"/>
  <c r="K144" i="11"/>
  <c r="J144" i="11"/>
  <c r="I144" i="11"/>
  <c r="H144" i="11"/>
  <c r="G144" i="11"/>
  <c r="F144" i="11"/>
  <c r="F186" i="11" s="1"/>
  <c r="E144" i="11"/>
  <c r="D144" i="11"/>
  <c r="D186" i="11" s="1"/>
  <c r="K143" i="11"/>
  <c r="J143" i="11"/>
  <c r="I143" i="11"/>
  <c r="H143" i="11"/>
  <c r="H185" i="11" s="1"/>
  <c r="G143" i="11"/>
  <c r="F143" i="11"/>
  <c r="E143" i="11"/>
  <c r="D143" i="11"/>
  <c r="K142" i="11"/>
  <c r="J142" i="11"/>
  <c r="I142" i="11"/>
  <c r="H142" i="11"/>
  <c r="G142" i="11"/>
  <c r="F142" i="11"/>
  <c r="F184" i="11" s="1"/>
  <c r="E142" i="11"/>
  <c r="D142" i="11"/>
  <c r="K141" i="11"/>
  <c r="K171" i="11" s="1"/>
  <c r="J141" i="11"/>
  <c r="I141" i="11"/>
  <c r="I171" i="11" s="1"/>
  <c r="H141" i="11"/>
  <c r="H183" i="11" s="1"/>
  <c r="G141" i="11"/>
  <c r="F141" i="11"/>
  <c r="E141" i="11"/>
  <c r="D141" i="11"/>
  <c r="K140" i="11"/>
  <c r="J140" i="11"/>
  <c r="I140" i="11"/>
  <c r="H140" i="11"/>
  <c r="G140" i="11"/>
  <c r="F140" i="11"/>
  <c r="F182" i="11" s="1"/>
  <c r="E140" i="11"/>
  <c r="D140" i="11"/>
  <c r="C130" i="11"/>
  <c r="I128" i="11"/>
  <c r="F128" i="11"/>
  <c r="I126" i="11"/>
  <c r="I124" i="11"/>
  <c r="K123" i="11"/>
  <c r="I122" i="11"/>
  <c r="I120" i="11"/>
  <c r="I118" i="11"/>
  <c r="F118" i="11"/>
  <c r="K117" i="11"/>
  <c r="I114" i="11"/>
  <c r="H112" i="11"/>
  <c r="I110" i="11"/>
  <c r="G110" i="11"/>
  <c r="E110" i="11"/>
  <c r="I108" i="11"/>
  <c r="F108" i="11"/>
  <c r="I104" i="11"/>
  <c r="F104" i="11"/>
  <c r="K103" i="11"/>
  <c r="I102" i="11"/>
  <c r="K99" i="11"/>
  <c r="K98" i="11"/>
  <c r="I98" i="11"/>
  <c r="C89" i="11"/>
  <c r="K87" i="11"/>
  <c r="J87" i="11"/>
  <c r="I87" i="11"/>
  <c r="H87" i="11"/>
  <c r="G87" i="11"/>
  <c r="F87" i="11"/>
  <c r="E87" i="11"/>
  <c r="D87" i="11"/>
  <c r="D128" i="11" s="1"/>
  <c r="K86" i="11"/>
  <c r="J86" i="11"/>
  <c r="J127" i="11" s="1"/>
  <c r="I86" i="11"/>
  <c r="I127" i="11" s="1"/>
  <c r="H86" i="11"/>
  <c r="H127" i="11" s="1"/>
  <c r="G86" i="11"/>
  <c r="F86" i="11"/>
  <c r="F127" i="11" s="1"/>
  <c r="E86" i="11"/>
  <c r="D86" i="11"/>
  <c r="D127" i="11" s="1"/>
  <c r="K85" i="11"/>
  <c r="J85" i="11"/>
  <c r="I85" i="11"/>
  <c r="H85" i="11"/>
  <c r="G85" i="11"/>
  <c r="F85" i="11"/>
  <c r="F126" i="11" s="1"/>
  <c r="E85" i="11"/>
  <c r="D85" i="11"/>
  <c r="D126" i="11" s="1"/>
  <c r="K84" i="11"/>
  <c r="J84" i="11"/>
  <c r="J125" i="11" s="1"/>
  <c r="I84" i="11"/>
  <c r="I125" i="11" s="1"/>
  <c r="H84" i="11"/>
  <c r="H125" i="11" s="1"/>
  <c r="G84" i="11"/>
  <c r="F84" i="11"/>
  <c r="F125" i="11" s="1"/>
  <c r="E84" i="11"/>
  <c r="D84" i="11"/>
  <c r="D125" i="11" s="1"/>
  <c r="K83" i="11"/>
  <c r="J83" i="11"/>
  <c r="I83" i="11"/>
  <c r="H83" i="11"/>
  <c r="G83" i="11"/>
  <c r="F83" i="11"/>
  <c r="F124" i="11" s="1"/>
  <c r="E83" i="11"/>
  <c r="D83" i="11"/>
  <c r="D124" i="11" s="1"/>
  <c r="K82" i="11"/>
  <c r="J82" i="11"/>
  <c r="J123" i="11" s="1"/>
  <c r="I82" i="11"/>
  <c r="I123" i="11" s="1"/>
  <c r="H82" i="11"/>
  <c r="H123" i="11" s="1"/>
  <c r="G82" i="11"/>
  <c r="F82" i="11"/>
  <c r="F123" i="11" s="1"/>
  <c r="E82" i="11"/>
  <c r="D82" i="11"/>
  <c r="D123" i="11" s="1"/>
  <c r="K81" i="11"/>
  <c r="J81" i="11"/>
  <c r="I81" i="11"/>
  <c r="H81" i="11"/>
  <c r="G81" i="11"/>
  <c r="F81" i="11"/>
  <c r="F122" i="11" s="1"/>
  <c r="E81" i="11"/>
  <c r="D81" i="11"/>
  <c r="D122" i="11" s="1"/>
  <c r="K80" i="11"/>
  <c r="J80" i="11"/>
  <c r="J121" i="11" s="1"/>
  <c r="I80" i="11"/>
  <c r="I121" i="11" s="1"/>
  <c r="H80" i="11"/>
  <c r="H121" i="11" s="1"/>
  <c r="G80" i="11"/>
  <c r="F80" i="11"/>
  <c r="F121" i="11" s="1"/>
  <c r="E80" i="11"/>
  <c r="D80" i="11"/>
  <c r="D121" i="11" s="1"/>
  <c r="K79" i="11"/>
  <c r="J79" i="11"/>
  <c r="I79" i="11"/>
  <c r="H79" i="11"/>
  <c r="G79" i="11"/>
  <c r="F79" i="11"/>
  <c r="F120" i="11" s="1"/>
  <c r="E79" i="11"/>
  <c r="D79" i="11"/>
  <c r="D120" i="11" s="1"/>
  <c r="K78" i="11"/>
  <c r="J78" i="11"/>
  <c r="J119" i="11" s="1"/>
  <c r="I78" i="11"/>
  <c r="I119" i="11" s="1"/>
  <c r="H78" i="11"/>
  <c r="H119" i="11" s="1"/>
  <c r="G78" i="11"/>
  <c r="F78" i="11"/>
  <c r="F119" i="11" s="1"/>
  <c r="E78" i="11"/>
  <c r="D78" i="11"/>
  <c r="D119" i="11" s="1"/>
  <c r="K77" i="11"/>
  <c r="J77" i="11"/>
  <c r="I77" i="11"/>
  <c r="H77" i="11"/>
  <c r="G77" i="11"/>
  <c r="F77" i="11"/>
  <c r="E77" i="11"/>
  <c r="D77" i="11"/>
  <c r="D118" i="11" s="1"/>
  <c r="K76" i="11"/>
  <c r="J76" i="11"/>
  <c r="J117" i="11" s="1"/>
  <c r="I76" i="11"/>
  <c r="I117" i="11" s="1"/>
  <c r="H76" i="11"/>
  <c r="H117" i="11" s="1"/>
  <c r="G76" i="11"/>
  <c r="F76" i="11"/>
  <c r="F117" i="11" s="1"/>
  <c r="E76" i="11"/>
  <c r="D76" i="11"/>
  <c r="D117" i="11" s="1"/>
  <c r="K75" i="11"/>
  <c r="J75" i="11"/>
  <c r="I75" i="11"/>
  <c r="H75" i="11"/>
  <c r="G75" i="11"/>
  <c r="F75" i="11"/>
  <c r="F116" i="11" s="1"/>
  <c r="E75" i="11"/>
  <c r="D75" i="11"/>
  <c r="D116" i="11" s="1"/>
  <c r="K74" i="11"/>
  <c r="J74" i="11"/>
  <c r="J115" i="11" s="1"/>
  <c r="I74" i="11"/>
  <c r="I115" i="11" s="1"/>
  <c r="H74" i="11"/>
  <c r="H115" i="11" s="1"/>
  <c r="G74" i="11"/>
  <c r="F74" i="11"/>
  <c r="F115" i="11" s="1"/>
  <c r="E74" i="11"/>
  <c r="D74" i="11"/>
  <c r="D115" i="11" s="1"/>
  <c r="K73" i="11"/>
  <c r="J73" i="11"/>
  <c r="I73" i="11"/>
  <c r="H73" i="11"/>
  <c r="G73" i="11"/>
  <c r="F73" i="11"/>
  <c r="F114" i="11" s="1"/>
  <c r="E73" i="11"/>
  <c r="D73" i="11"/>
  <c r="D114" i="11" s="1"/>
  <c r="K72" i="11"/>
  <c r="J72" i="11"/>
  <c r="J113" i="11" s="1"/>
  <c r="I72" i="11"/>
  <c r="I113" i="11" s="1"/>
  <c r="H72" i="11"/>
  <c r="H113" i="11" s="1"/>
  <c r="G72" i="11"/>
  <c r="F72" i="11"/>
  <c r="F113" i="11" s="1"/>
  <c r="E72" i="11"/>
  <c r="D72" i="11"/>
  <c r="D113" i="11" s="1"/>
  <c r="K71" i="11"/>
  <c r="J71" i="11"/>
  <c r="I71" i="11"/>
  <c r="H71" i="11"/>
  <c r="G71" i="11"/>
  <c r="F71" i="11"/>
  <c r="F112" i="11" s="1"/>
  <c r="E71" i="11"/>
  <c r="D71" i="11"/>
  <c r="D112" i="11" s="1"/>
  <c r="K70" i="11"/>
  <c r="J70" i="11"/>
  <c r="J111" i="11" s="1"/>
  <c r="I70" i="11"/>
  <c r="I111" i="11" s="1"/>
  <c r="H70" i="11"/>
  <c r="H111" i="11" s="1"/>
  <c r="G70" i="11"/>
  <c r="F70" i="11"/>
  <c r="F111" i="11" s="1"/>
  <c r="E70" i="11"/>
  <c r="D70" i="11"/>
  <c r="D111" i="11" s="1"/>
  <c r="K69" i="11"/>
  <c r="J69" i="11"/>
  <c r="I69" i="11"/>
  <c r="H69" i="11"/>
  <c r="G69" i="11"/>
  <c r="F69" i="11"/>
  <c r="F110" i="11" s="1"/>
  <c r="E69" i="11"/>
  <c r="D69" i="11"/>
  <c r="D110" i="11" s="1"/>
  <c r="K68" i="11"/>
  <c r="J68" i="11"/>
  <c r="J109" i="11" s="1"/>
  <c r="I68" i="11"/>
  <c r="I109" i="11" s="1"/>
  <c r="H68" i="11"/>
  <c r="H109" i="11" s="1"/>
  <c r="G68" i="11"/>
  <c r="F68" i="11"/>
  <c r="F109" i="11" s="1"/>
  <c r="E68" i="11"/>
  <c r="D68" i="11"/>
  <c r="D109" i="11" s="1"/>
  <c r="K67" i="11"/>
  <c r="J67" i="11"/>
  <c r="I67" i="11"/>
  <c r="H67" i="11"/>
  <c r="G67" i="11"/>
  <c r="F67" i="11"/>
  <c r="E67" i="11"/>
  <c r="D67" i="11"/>
  <c r="D108" i="11" s="1"/>
  <c r="K66" i="11"/>
  <c r="J66" i="11"/>
  <c r="J107" i="11" s="1"/>
  <c r="I66" i="11"/>
  <c r="I107" i="11" s="1"/>
  <c r="H66" i="11"/>
  <c r="H107" i="11" s="1"/>
  <c r="G66" i="11"/>
  <c r="F66" i="11"/>
  <c r="F107" i="11" s="1"/>
  <c r="E66" i="11"/>
  <c r="D66" i="11"/>
  <c r="D107" i="11" s="1"/>
  <c r="K65" i="11"/>
  <c r="J65" i="11"/>
  <c r="I65" i="11"/>
  <c r="H65" i="11"/>
  <c r="G65" i="11"/>
  <c r="F65" i="11"/>
  <c r="F106" i="11" s="1"/>
  <c r="E65" i="11"/>
  <c r="D65" i="11"/>
  <c r="D106" i="11" s="1"/>
  <c r="K64" i="11"/>
  <c r="J64" i="11"/>
  <c r="J105" i="11" s="1"/>
  <c r="I64" i="11"/>
  <c r="I105" i="11" s="1"/>
  <c r="H64" i="11"/>
  <c r="H105" i="11" s="1"/>
  <c r="G64" i="11"/>
  <c r="F64" i="11"/>
  <c r="F105" i="11" s="1"/>
  <c r="E64" i="11"/>
  <c r="D64" i="11"/>
  <c r="D105" i="11" s="1"/>
  <c r="K63" i="11"/>
  <c r="J63" i="11"/>
  <c r="I63" i="11"/>
  <c r="H63" i="11"/>
  <c r="G63" i="11"/>
  <c r="F63" i="11"/>
  <c r="E63" i="11"/>
  <c r="D63" i="11"/>
  <c r="D104" i="11" s="1"/>
  <c r="K62" i="11"/>
  <c r="J62" i="11"/>
  <c r="J103" i="11" s="1"/>
  <c r="I62" i="11"/>
  <c r="I103" i="11" s="1"/>
  <c r="H62" i="11"/>
  <c r="H103" i="11" s="1"/>
  <c r="G62" i="11"/>
  <c r="F62" i="11"/>
  <c r="F103" i="11" s="1"/>
  <c r="E62" i="11"/>
  <c r="D62" i="11"/>
  <c r="D103" i="11" s="1"/>
  <c r="K61" i="11"/>
  <c r="J61" i="11"/>
  <c r="I61" i="11"/>
  <c r="H61" i="11"/>
  <c r="G61" i="11"/>
  <c r="F61" i="11"/>
  <c r="F102" i="11" s="1"/>
  <c r="E61" i="11"/>
  <c r="D61" i="11"/>
  <c r="D102" i="11" s="1"/>
  <c r="K60" i="11"/>
  <c r="J60" i="11"/>
  <c r="J101" i="11" s="1"/>
  <c r="I60" i="11"/>
  <c r="I101" i="11" s="1"/>
  <c r="H60" i="11"/>
  <c r="H101" i="11" s="1"/>
  <c r="G60" i="11"/>
  <c r="F60" i="11"/>
  <c r="F101" i="11" s="1"/>
  <c r="E60" i="11"/>
  <c r="D60" i="11"/>
  <c r="D101" i="11" s="1"/>
  <c r="K59" i="11"/>
  <c r="J59" i="11"/>
  <c r="I59" i="11"/>
  <c r="H59" i="11"/>
  <c r="G59" i="11"/>
  <c r="F59" i="11"/>
  <c r="F100" i="11" s="1"/>
  <c r="E59" i="11"/>
  <c r="D59" i="11"/>
  <c r="K58" i="11"/>
  <c r="J58" i="11"/>
  <c r="J99" i="11" s="1"/>
  <c r="I58" i="11"/>
  <c r="I88" i="11" s="1"/>
  <c r="H58" i="11"/>
  <c r="H88" i="11" s="1"/>
  <c r="G58" i="11"/>
  <c r="F58" i="11"/>
  <c r="F99" i="11" s="1"/>
  <c r="E58" i="11"/>
  <c r="D58" i="11"/>
  <c r="D99" i="11" s="1"/>
  <c r="K57" i="11"/>
  <c r="K88" i="11" s="1"/>
  <c r="J57" i="11"/>
  <c r="I57" i="11"/>
  <c r="H57" i="11"/>
  <c r="G57" i="11"/>
  <c r="F57" i="11"/>
  <c r="F98" i="11" s="1"/>
  <c r="E57" i="11"/>
  <c r="D57" i="11"/>
  <c r="D88" i="11" s="1"/>
  <c r="G46" i="11"/>
  <c r="K45" i="11"/>
  <c r="J45" i="11"/>
  <c r="I45" i="11"/>
  <c r="H45" i="11"/>
  <c r="H128" i="11" s="1"/>
  <c r="G45" i="11"/>
  <c r="G128" i="11" s="1"/>
  <c r="F45" i="11"/>
  <c r="E45" i="11"/>
  <c r="E128" i="11" s="1"/>
  <c r="D45" i="11"/>
  <c r="D295" i="11" s="1"/>
  <c r="K44" i="11"/>
  <c r="K294" i="11" s="1"/>
  <c r="J44" i="11"/>
  <c r="J294" i="11" s="1"/>
  <c r="I44" i="11"/>
  <c r="H44" i="11"/>
  <c r="G44" i="11"/>
  <c r="G294" i="11" s="1"/>
  <c r="F44" i="11"/>
  <c r="E44" i="11"/>
  <c r="E211" i="11" s="1"/>
  <c r="D44" i="11"/>
  <c r="K43" i="11"/>
  <c r="J43" i="11"/>
  <c r="I43" i="11"/>
  <c r="H43" i="11"/>
  <c r="H126" i="11" s="1"/>
  <c r="G43" i="11"/>
  <c r="G126" i="11" s="1"/>
  <c r="F43" i="11"/>
  <c r="E43" i="11"/>
  <c r="E126" i="11" s="1"/>
  <c r="D43" i="11"/>
  <c r="D293" i="11" s="1"/>
  <c r="K42" i="11"/>
  <c r="K292" i="11" s="1"/>
  <c r="J42" i="11"/>
  <c r="I42" i="11"/>
  <c r="H42" i="11"/>
  <c r="G42" i="11"/>
  <c r="G292" i="11" s="1"/>
  <c r="F42" i="11"/>
  <c r="E42" i="11"/>
  <c r="E209" i="11" s="1"/>
  <c r="D42" i="11"/>
  <c r="K41" i="11"/>
  <c r="J41" i="11"/>
  <c r="I41" i="11"/>
  <c r="H41" i="11"/>
  <c r="H124" i="11" s="1"/>
  <c r="G41" i="11"/>
  <c r="G124" i="11" s="1"/>
  <c r="F41" i="11"/>
  <c r="E41" i="11"/>
  <c r="E291" i="11" s="1"/>
  <c r="D41" i="11"/>
  <c r="D291" i="11" s="1"/>
  <c r="K40" i="11"/>
  <c r="K290" i="11" s="1"/>
  <c r="J40" i="11"/>
  <c r="I40" i="11"/>
  <c r="H40" i="11"/>
  <c r="G40" i="11"/>
  <c r="G290" i="11" s="1"/>
  <c r="F40" i="11"/>
  <c r="E40" i="11"/>
  <c r="E207" i="11" s="1"/>
  <c r="D40" i="11"/>
  <c r="K39" i="11"/>
  <c r="J39" i="11"/>
  <c r="I39" i="11"/>
  <c r="H39" i="11"/>
  <c r="H122" i="11" s="1"/>
  <c r="G39" i="11"/>
  <c r="G122" i="11" s="1"/>
  <c r="F39" i="11"/>
  <c r="E39" i="11"/>
  <c r="E122" i="11" s="1"/>
  <c r="D39" i="11"/>
  <c r="D289" i="11" s="1"/>
  <c r="K38" i="11"/>
  <c r="K288" i="11" s="1"/>
  <c r="J38" i="11"/>
  <c r="I38" i="11"/>
  <c r="H38" i="11"/>
  <c r="G38" i="11"/>
  <c r="G288" i="11" s="1"/>
  <c r="F38" i="11"/>
  <c r="E38" i="11"/>
  <c r="E205" i="11" s="1"/>
  <c r="D38" i="11"/>
  <c r="K37" i="11"/>
  <c r="J37" i="11"/>
  <c r="I37" i="11"/>
  <c r="H37" i="11"/>
  <c r="H120" i="11" s="1"/>
  <c r="G37" i="11"/>
  <c r="G120" i="11" s="1"/>
  <c r="F37" i="11"/>
  <c r="E37" i="11"/>
  <c r="E287" i="11" s="1"/>
  <c r="D37" i="11"/>
  <c r="D287" i="11" s="1"/>
  <c r="K36" i="11"/>
  <c r="K286" i="11" s="1"/>
  <c r="J36" i="11"/>
  <c r="I36" i="11"/>
  <c r="H36" i="11"/>
  <c r="G36" i="11"/>
  <c r="G286" i="11" s="1"/>
  <c r="F36" i="11"/>
  <c r="E36" i="11"/>
  <c r="E203" i="11" s="1"/>
  <c r="D36" i="11"/>
  <c r="K35" i="11"/>
  <c r="J35" i="11"/>
  <c r="I35" i="11"/>
  <c r="H35" i="11"/>
  <c r="H118" i="11" s="1"/>
  <c r="G35" i="11"/>
  <c r="G118" i="11" s="1"/>
  <c r="F35" i="11"/>
  <c r="E35" i="11"/>
  <c r="E285" i="11" s="1"/>
  <c r="D35" i="11"/>
  <c r="D285" i="11" s="1"/>
  <c r="K34" i="11"/>
  <c r="K284" i="11" s="1"/>
  <c r="J34" i="11"/>
  <c r="I34" i="11"/>
  <c r="H34" i="11"/>
  <c r="G34" i="11"/>
  <c r="G284" i="11" s="1"/>
  <c r="F34" i="11"/>
  <c r="E34" i="11"/>
  <c r="E201" i="11" s="1"/>
  <c r="D34" i="11"/>
  <c r="K33" i="11"/>
  <c r="J33" i="11"/>
  <c r="I33" i="11"/>
  <c r="I116" i="11" s="1"/>
  <c r="H33" i="11"/>
  <c r="H116" i="11" s="1"/>
  <c r="G33" i="11"/>
  <c r="G116" i="11" s="1"/>
  <c r="F33" i="11"/>
  <c r="E33" i="11"/>
  <c r="E116" i="11" s="1"/>
  <c r="D33" i="11"/>
  <c r="D283" i="11" s="1"/>
  <c r="K32" i="11"/>
  <c r="K282" i="11" s="1"/>
  <c r="J32" i="11"/>
  <c r="I32" i="11"/>
  <c r="H32" i="11"/>
  <c r="G32" i="11"/>
  <c r="G282" i="11" s="1"/>
  <c r="F32" i="11"/>
  <c r="E32" i="11"/>
  <c r="E199" i="11" s="1"/>
  <c r="D32" i="11"/>
  <c r="K31" i="11"/>
  <c r="J31" i="11"/>
  <c r="I31" i="11"/>
  <c r="I198" i="11" s="1"/>
  <c r="H31" i="11"/>
  <c r="H114" i="11" s="1"/>
  <c r="G31" i="11"/>
  <c r="G114" i="11" s="1"/>
  <c r="F31" i="11"/>
  <c r="E31" i="11"/>
  <c r="E281" i="11" s="1"/>
  <c r="D31" i="11"/>
  <c r="D281" i="11" s="1"/>
  <c r="K30" i="11"/>
  <c r="K280" i="11" s="1"/>
  <c r="J30" i="11"/>
  <c r="I30" i="11"/>
  <c r="H30" i="11"/>
  <c r="G30" i="11"/>
  <c r="G280" i="11" s="1"/>
  <c r="F30" i="11"/>
  <c r="E30" i="11"/>
  <c r="E197" i="11" s="1"/>
  <c r="D30" i="11"/>
  <c r="K29" i="11"/>
  <c r="K196" i="11" s="1"/>
  <c r="J29" i="11"/>
  <c r="I29" i="11"/>
  <c r="I196" i="11" s="1"/>
  <c r="H29" i="11"/>
  <c r="G29" i="11"/>
  <c r="G112" i="11" s="1"/>
  <c r="F29" i="11"/>
  <c r="E29" i="11"/>
  <c r="E112" i="11" s="1"/>
  <c r="D29" i="11"/>
  <c r="D279" i="11" s="1"/>
  <c r="K28" i="11"/>
  <c r="K278" i="11" s="1"/>
  <c r="J28" i="11"/>
  <c r="I28" i="11"/>
  <c r="H28" i="11"/>
  <c r="G28" i="11"/>
  <c r="G278" i="11" s="1"/>
  <c r="F28" i="11"/>
  <c r="E28" i="11"/>
  <c r="E195" i="11" s="1"/>
  <c r="D28" i="11"/>
  <c r="K27" i="11"/>
  <c r="J27" i="11"/>
  <c r="I27" i="11"/>
  <c r="I194" i="11" s="1"/>
  <c r="H27" i="11"/>
  <c r="H110" i="11" s="1"/>
  <c r="G27" i="11"/>
  <c r="F27" i="11"/>
  <c r="E27" i="11"/>
  <c r="D27" i="11"/>
  <c r="K26" i="11"/>
  <c r="K276" i="11" s="1"/>
  <c r="J26" i="11"/>
  <c r="I26" i="11"/>
  <c r="H26" i="11"/>
  <c r="G26" i="11"/>
  <c r="G276" i="11" s="1"/>
  <c r="F26" i="11"/>
  <c r="E26" i="11"/>
  <c r="E193" i="11" s="1"/>
  <c r="D26" i="11"/>
  <c r="K25" i="11"/>
  <c r="J25" i="11"/>
  <c r="I25" i="11"/>
  <c r="I192" i="11" s="1"/>
  <c r="H25" i="11"/>
  <c r="H108" i="11" s="1"/>
  <c r="G25" i="11"/>
  <c r="G108" i="11" s="1"/>
  <c r="F25" i="11"/>
  <c r="E25" i="11"/>
  <c r="E108" i="11" s="1"/>
  <c r="D25" i="11"/>
  <c r="D275" i="11" s="1"/>
  <c r="K24" i="11"/>
  <c r="K274" i="11" s="1"/>
  <c r="J24" i="11"/>
  <c r="I24" i="11"/>
  <c r="H24" i="11"/>
  <c r="G24" i="11"/>
  <c r="G274" i="11" s="1"/>
  <c r="F24" i="11"/>
  <c r="E24" i="11"/>
  <c r="E191" i="11" s="1"/>
  <c r="D24" i="11"/>
  <c r="K23" i="11"/>
  <c r="J23" i="11"/>
  <c r="I23" i="11"/>
  <c r="I106" i="11" s="1"/>
  <c r="H23" i="11"/>
  <c r="H106" i="11" s="1"/>
  <c r="G23" i="11"/>
  <c r="G106" i="11" s="1"/>
  <c r="F23" i="11"/>
  <c r="E23" i="11"/>
  <c r="E273" i="11" s="1"/>
  <c r="D23" i="11"/>
  <c r="D273" i="11" s="1"/>
  <c r="K22" i="11"/>
  <c r="K272" i="11" s="1"/>
  <c r="J22" i="11"/>
  <c r="I22" i="11"/>
  <c r="H22" i="11"/>
  <c r="G22" i="11"/>
  <c r="G272" i="11" s="1"/>
  <c r="F22" i="11"/>
  <c r="E22" i="11"/>
  <c r="E189" i="11" s="1"/>
  <c r="D22" i="11"/>
  <c r="K21" i="11"/>
  <c r="J21" i="11"/>
  <c r="I21" i="11"/>
  <c r="H21" i="11"/>
  <c r="H104" i="11" s="1"/>
  <c r="G21" i="11"/>
  <c r="G104" i="11" s="1"/>
  <c r="F21" i="11"/>
  <c r="E21" i="11"/>
  <c r="E271" i="11" s="1"/>
  <c r="D21" i="11"/>
  <c r="D271" i="11" s="1"/>
  <c r="K20" i="11"/>
  <c r="K270" i="11" s="1"/>
  <c r="J20" i="11"/>
  <c r="I20" i="11"/>
  <c r="H20" i="11"/>
  <c r="G20" i="11"/>
  <c r="G270" i="11" s="1"/>
  <c r="F20" i="11"/>
  <c r="E20" i="11"/>
  <c r="E187" i="11" s="1"/>
  <c r="D20" i="11"/>
  <c r="K19" i="11"/>
  <c r="J19" i="11"/>
  <c r="I19" i="11"/>
  <c r="H19" i="11"/>
  <c r="H102" i="11" s="1"/>
  <c r="G19" i="11"/>
  <c r="G102" i="11" s="1"/>
  <c r="F19" i="11"/>
  <c r="E19" i="11"/>
  <c r="E102" i="11" s="1"/>
  <c r="D19" i="11"/>
  <c r="D269" i="11" s="1"/>
  <c r="K18" i="11"/>
  <c r="K268" i="11" s="1"/>
  <c r="J18" i="11"/>
  <c r="I18" i="11"/>
  <c r="H18" i="11"/>
  <c r="G18" i="11"/>
  <c r="G268" i="11" s="1"/>
  <c r="F18" i="11"/>
  <c r="E18" i="11"/>
  <c r="E185" i="11" s="1"/>
  <c r="D18" i="11"/>
  <c r="K17" i="11"/>
  <c r="J17" i="11"/>
  <c r="I17" i="11"/>
  <c r="I184" i="11" s="1"/>
  <c r="H17" i="11"/>
  <c r="H100" i="11" s="1"/>
  <c r="G17" i="11"/>
  <c r="G100" i="11" s="1"/>
  <c r="F17" i="11"/>
  <c r="E17" i="11"/>
  <c r="E100" i="11" s="1"/>
  <c r="D17" i="11"/>
  <c r="D267" i="11" s="1"/>
  <c r="K16" i="11"/>
  <c r="K266" i="11" s="1"/>
  <c r="J16" i="11"/>
  <c r="I16" i="11"/>
  <c r="H16" i="11"/>
  <c r="G16" i="11"/>
  <c r="G266" i="11" s="1"/>
  <c r="F16" i="11"/>
  <c r="E16" i="11"/>
  <c r="E183" i="11" s="1"/>
  <c r="D16" i="11"/>
  <c r="K15" i="11"/>
  <c r="J15" i="11"/>
  <c r="J46" i="11" s="1"/>
  <c r="I15" i="11"/>
  <c r="I46" i="11" s="1"/>
  <c r="H15" i="11"/>
  <c r="H46" i="11" s="1"/>
  <c r="G15" i="11"/>
  <c r="G98" i="11" s="1"/>
  <c r="F15" i="11"/>
  <c r="F46" i="11" s="1"/>
  <c r="E15" i="11"/>
  <c r="E265" i="11" s="1"/>
  <c r="D15" i="11"/>
  <c r="H273" i="10"/>
  <c r="D273" i="10"/>
  <c r="E272" i="10"/>
  <c r="V271" i="10"/>
  <c r="S271" i="10"/>
  <c r="Q271" i="10"/>
  <c r="N271" i="10"/>
  <c r="J271" i="10"/>
  <c r="I271" i="10"/>
  <c r="F271" i="10"/>
  <c r="E271" i="10"/>
  <c r="D271" i="10"/>
  <c r="T269" i="10"/>
  <c r="P269" i="10"/>
  <c r="O268" i="10"/>
  <c r="Q267" i="10"/>
  <c r="O267" i="10"/>
  <c r="Q266" i="10"/>
  <c r="M266" i="10"/>
  <c r="O265" i="10"/>
  <c r="L265" i="10"/>
  <c r="N264" i="10"/>
  <c r="L264" i="10"/>
  <c r="N263" i="10"/>
  <c r="N262" i="10"/>
  <c r="L262" i="10"/>
  <c r="L261" i="10"/>
  <c r="J261" i="10"/>
  <c r="K260" i="10"/>
  <c r="K259" i="10"/>
  <c r="I259" i="10"/>
  <c r="V258" i="10"/>
  <c r="U258" i="10"/>
  <c r="T258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M257" i="10"/>
  <c r="O256" i="10"/>
  <c r="K256" i="10"/>
  <c r="L254" i="10"/>
  <c r="J254" i="10"/>
  <c r="L253" i="10"/>
  <c r="J253" i="10"/>
  <c r="L252" i="10"/>
  <c r="J251" i="10"/>
  <c r="H251" i="10"/>
  <c r="G250" i="10"/>
  <c r="I249" i="10"/>
  <c r="I248" i="10"/>
  <c r="G248" i="10"/>
  <c r="V235" i="10"/>
  <c r="U235" i="10"/>
  <c r="T235" i="10"/>
  <c r="S235" i="10"/>
  <c r="S274" i="10" s="1"/>
  <c r="R235" i="10"/>
  <c r="Q235" i="10"/>
  <c r="P235" i="10"/>
  <c r="O235" i="10"/>
  <c r="O274" i="10" s="1"/>
  <c r="N235" i="10"/>
  <c r="N274" i="10" s="1"/>
  <c r="M235" i="10"/>
  <c r="L235" i="10"/>
  <c r="K235" i="10"/>
  <c r="J235" i="10"/>
  <c r="I235" i="10"/>
  <c r="H235" i="10"/>
  <c r="G235" i="10"/>
  <c r="F235" i="10"/>
  <c r="E235" i="10"/>
  <c r="E274" i="10" s="1"/>
  <c r="D235" i="10"/>
  <c r="V234" i="10"/>
  <c r="V273" i="10" s="1"/>
  <c r="U234" i="10"/>
  <c r="T234" i="10"/>
  <c r="S234" i="10"/>
  <c r="R234" i="10"/>
  <c r="R273" i="10" s="1"/>
  <c r="Q234" i="10"/>
  <c r="P234" i="10"/>
  <c r="O234" i="10"/>
  <c r="N234" i="10"/>
  <c r="M234" i="10"/>
  <c r="L234" i="10"/>
  <c r="K234" i="10"/>
  <c r="K273" i="10" s="1"/>
  <c r="J234" i="10"/>
  <c r="I234" i="10"/>
  <c r="H234" i="10"/>
  <c r="G234" i="10"/>
  <c r="F234" i="10"/>
  <c r="F273" i="10" s="1"/>
  <c r="E234" i="10"/>
  <c r="D234" i="10"/>
  <c r="V233" i="10"/>
  <c r="U233" i="10"/>
  <c r="U272" i="10" s="1"/>
  <c r="T233" i="10"/>
  <c r="S233" i="10"/>
  <c r="R233" i="10"/>
  <c r="Q233" i="10"/>
  <c r="P233" i="10"/>
  <c r="O233" i="10"/>
  <c r="N233" i="10"/>
  <c r="M233" i="10"/>
  <c r="L233" i="10"/>
  <c r="K233" i="10"/>
  <c r="K272" i="10" s="1"/>
  <c r="J233" i="10"/>
  <c r="I233" i="10"/>
  <c r="I272" i="10" s="1"/>
  <c r="H233" i="10"/>
  <c r="G233" i="10"/>
  <c r="F233" i="10"/>
  <c r="E233" i="10"/>
  <c r="D233" i="10"/>
  <c r="D272" i="10" s="1"/>
  <c r="V232" i="10"/>
  <c r="U232" i="10"/>
  <c r="T232" i="10"/>
  <c r="T271" i="10" s="1"/>
  <c r="S232" i="10"/>
  <c r="R232" i="10"/>
  <c r="R271" i="10" s="1"/>
  <c r="Q232" i="10"/>
  <c r="P232" i="10"/>
  <c r="P271" i="10" s="1"/>
  <c r="O232" i="10"/>
  <c r="O271" i="10" s="1"/>
  <c r="N232" i="10"/>
  <c r="M232" i="10"/>
  <c r="M271" i="10" s="1"/>
  <c r="L232" i="10"/>
  <c r="L271" i="10" s="1"/>
  <c r="K232" i="10"/>
  <c r="K271" i="10" s="1"/>
  <c r="J232" i="10"/>
  <c r="I232" i="10"/>
  <c r="H232" i="10"/>
  <c r="H271" i="10" s="1"/>
  <c r="G232" i="10"/>
  <c r="G271" i="10" s="1"/>
  <c r="F232" i="10"/>
  <c r="E232" i="10"/>
  <c r="D232" i="10"/>
  <c r="V231" i="10"/>
  <c r="U231" i="10"/>
  <c r="U270" i="10" s="1"/>
  <c r="T231" i="10"/>
  <c r="S231" i="10"/>
  <c r="R231" i="10"/>
  <c r="Q231" i="10"/>
  <c r="Q270" i="10" s="1"/>
  <c r="P231" i="10"/>
  <c r="O231" i="10"/>
  <c r="O270" i="10" s="1"/>
  <c r="N231" i="10"/>
  <c r="M231" i="10"/>
  <c r="L231" i="10"/>
  <c r="K231" i="10"/>
  <c r="J231" i="10"/>
  <c r="I231" i="10"/>
  <c r="H231" i="10"/>
  <c r="G231" i="10"/>
  <c r="F231" i="10"/>
  <c r="E231" i="10"/>
  <c r="D231" i="10"/>
  <c r="D270" i="10" s="1"/>
  <c r="V230" i="10"/>
  <c r="U230" i="10"/>
  <c r="T230" i="10"/>
  <c r="S230" i="10"/>
  <c r="R230" i="10"/>
  <c r="R269" i="10" s="1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D269" i="10" s="1"/>
  <c r="V229" i="10"/>
  <c r="U229" i="10"/>
  <c r="U268" i="10" s="1"/>
  <c r="T229" i="10"/>
  <c r="S229" i="10"/>
  <c r="R229" i="10"/>
  <c r="Q229" i="10"/>
  <c r="P229" i="10"/>
  <c r="P268" i="10" s="1"/>
  <c r="O229" i="10"/>
  <c r="N229" i="10"/>
  <c r="M229" i="10"/>
  <c r="L229" i="10"/>
  <c r="K229" i="10"/>
  <c r="J229" i="10"/>
  <c r="I229" i="10"/>
  <c r="H229" i="10"/>
  <c r="G229" i="10"/>
  <c r="F229" i="10"/>
  <c r="F268" i="10" s="1"/>
  <c r="E229" i="10"/>
  <c r="E268" i="10" s="1"/>
  <c r="D229" i="10"/>
  <c r="V228" i="10"/>
  <c r="U228" i="10"/>
  <c r="T228" i="10"/>
  <c r="S228" i="10"/>
  <c r="R228" i="10"/>
  <c r="R267" i="10" s="1"/>
  <c r="Q228" i="10"/>
  <c r="P228" i="10"/>
  <c r="O228" i="10"/>
  <c r="N228" i="10"/>
  <c r="M228" i="10"/>
  <c r="M267" i="10" s="1"/>
  <c r="L228" i="10"/>
  <c r="K228" i="10"/>
  <c r="J228" i="10"/>
  <c r="I228" i="10"/>
  <c r="I267" i="10" s="1"/>
  <c r="H228" i="10"/>
  <c r="H267" i="10" s="1"/>
  <c r="G228" i="10"/>
  <c r="F228" i="10"/>
  <c r="E228" i="10"/>
  <c r="D228" i="10"/>
  <c r="V227" i="10"/>
  <c r="V266" i="10" s="1"/>
  <c r="U227" i="10"/>
  <c r="U266" i="10" s="1"/>
  <c r="T227" i="10"/>
  <c r="T266" i="10" s="1"/>
  <c r="S227" i="10"/>
  <c r="R227" i="10"/>
  <c r="R266" i="10" s="1"/>
  <c r="Q227" i="10"/>
  <c r="P227" i="10"/>
  <c r="P266" i="10" s="1"/>
  <c r="O227" i="10"/>
  <c r="N227" i="10"/>
  <c r="M227" i="10"/>
  <c r="L227" i="10"/>
  <c r="L266" i="10" s="1"/>
  <c r="K227" i="10"/>
  <c r="K266" i="10" s="1"/>
  <c r="J227" i="10"/>
  <c r="I227" i="10"/>
  <c r="H227" i="10"/>
  <c r="G227" i="10"/>
  <c r="F227" i="10"/>
  <c r="E227" i="10"/>
  <c r="D227" i="10"/>
  <c r="V226" i="10"/>
  <c r="U226" i="10"/>
  <c r="T226" i="10"/>
  <c r="S226" i="10"/>
  <c r="R226" i="10"/>
  <c r="Q226" i="10"/>
  <c r="P226" i="10"/>
  <c r="P265" i="10" s="1"/>
  <c r="O226" i="10"/>
  <c r="N226" i="10"/>
  <c r="N265" i="10" s="1"/>
  <c r="M226" i="10"/>
  <c r="L226" i="10"/>
  <c r="K226" i="10"/>
  <c r="J226" i="10"/>
  <c r="I226" i="10"/>
  <c r="H226" i="10"/>
  <c r="G226" i="10"/>
  <c r="G265" i="10" s="1"/>
  <c r="F226" i="10"/>
  <c r="E226" i="10"/>
  <c r="D226" i="10"/>
  <c r="V225" i="10"/>
  <c r="U225" i="10"/>
  <c r="T225" i="10"/>
  <c r="S225" i="10"/>
  <c r="S264" i="10" s="1"/>
  <c r="R225" i="10"/>
  <c r="R264" i="10" s="1"/>
  <c r="Q225" i="10"/>
  <c r="Q264" i="10" s="1"/>
  <c r="P225" i="10"/>
  <c r="O225" i="10"/>
  <c r="N225" i="10"/>
  <c r="M225" i="10"/>
  <c r="L225" i="10"/>
  <c r="K225" i="10"/>
  <c r="J225" i="10"/>
  <c r="J264" i="10" s="1"/>
  <c r="I225" i="10"/>
  <c r="H225" i="10"/>
  <c r="G225" i="10"/>
  <c r="F225" i="10"/>
  <c r="E225" i="10"/>
  <c r="D225" i="10"/>
  <c r="V224" i="10"/>
  <c r="U224" i="10"/>
  <c r="U263" i="10" s="1"/>
  <c r="T224" i="10"/>
  <c r="T263" i="10" s="1"/>
  <c r="S224" i="10"/>
  <c r="R224" i="10"/>
  <c r="Q224" i="10"/>
  <c r="P224" i="10"/>
  <c r="O224" i="10"/>
  <c r="O263" i="10" s="1"/>
  <c r="N224" i="10"/>
  <c r="M224" i="10"/>
  <c r="M263" i="10" s="1"/>
  <c r="L224" i="10"/>
  <c r="K224" i="10"/>
  <c r="J224" i="10"/>
  <c r="I224" i="10"/>
  <c r="H224" i="10"/>
  <c r="G224" i="10"/>
  <c r="F224" i="10"/>
  <c r="E224" i="10"/>
  <c r="E263" i="10" s="1"/>
  <c r="D224" i="10"/>
  <c r="D263" i="10" s="1"/>
  <c r="V223" i="10"/>
  <c r="U223" i="10"/>
  <c r="T223" i="10"/>
  <c r="S223" i="10"/>
  <c r="R223" i="10"/>
  <c r="R262" i="10" s="1"/>
  <c r="Q223" i="10"/>
  <c r="Q262" i="10" s="1"/>
  <c r="P223" i="10"/>
  <c r="O223" i="10"/>
  <c r="N223" i="10"/>
  <c r="M223" i="10"/>
  <c r="L223" i="10"/>
  <c r="K223" i="10"/>
  <c r="J223" i="10"/>
  <c r="I223" i="10"/>
  <c r="H223" i="10"/>
  <c r="G223" i="10"/>
  <c r="G262" i="10" s="1"/>
  <c r="F223" i="10"/>
  <c r="E223" i="10"/>
  <c r="D223" i="10"/>
  <c r="V222" i="10"/>
  <c r="U222" i="10"/>
  <c r="T222" i="10"/>
  <c r="S222" i="10"/>
  <c r="S261" i="10" s="1"/>
  <c r="R222" i="10"/>
  <c r="Q222" i="10"/>
  <c r="P222" i="10"/>
  <c r="O222" i="10"/>
  <c r="O261" i="10" s="1"/>
  <c r="N222" i="10"/>
  <c r="M222" i="10"/>
  <c r="L222" i="10"/>
  <c r="K222" i="10"/>
  <c r="J222" i="10"/>
  <c r="I222" i="10"/>
  <c r="H222" i="10"/>
  <c r="G222" i="10"/>
  <c r="F222" i="10"/>
  <c r="E222" i="10"/>
  <c r="D222" i="10"/>
  <c r="D261" i="10" s="1"/>
  <c r="V221" i="10"/>
  <c r="U221" i="10"/>
  <c r="T221" i="10"/>
  <c r="S221" i="10"/>
  <c r="R221" i="10"/>
  <c r="Q221" i="10"/>
  <c r="P221" i="10"/>
  <c r="O221" i="10"/>
  <c r="O260" i="10" s="1"/>
  <c r="N221" i="10"/>
  <c r="M221" i="10"/>
  <c r="M260" i="10" s="1"/>
  <c r="L221" i="10"/>
  <c r="K221" i="10"/>
  <c r="J221" i="10"/>
  <c r="I221" i="10"/>
  <c r="H221" i="10"/>
  <c r="H260" i="10" s="1"/>
  <c r="G221" i="10"/>
  <c r="G260" i="10" s="1"/>
  <c r="F221" i="10"/>
  <c r="E221" i="10"/>
  <c r="D221" i="10"/>
  <c r="V220" i="10"/>
  <c r="U220" i="10"/>
  <c r="T220" i="10"/>
  <c r="S220" i="10"/>
  <c r="R220" i="10"/>
  <c r="Q220" i="10"/>
  <c r="P220" i="10"/>
  <c r="P259" i="10" s="1"/>
  <c r="O220" i="10"/>
  <c r="N220" i="10"/>
  <c r="M220" i="10"/>
  <c r="L220" i="10"/>
  <c r="K220" i="10"/>
  <c r="J220" i="10"/>
  <c r="J259" i="10" s="1"/>
  <c r="I220" i="10"/>
  <c r="H220" i="10"/>
  <c r="G220" i="10"/>
  <c r="F220" i="10"/>
  <c r="E220" i="10"/>
  <c r="D220" i="10"/>
  <c r="V218" i="10"/>
  <c r="U218" i="10"/>
  <c r="T218" i="10"/>
  <c r="S218" i="10"/>
  <c r="S257" i="10" s="1"/>
  <c r="R218" i="10"/>
  <c r="R257" i="10" s="1"/>
  <c r="Q218" i="10"/>
  <c r="P218" i="10"/>
  <c r="O218" i="10"/>
  <c r="N218" i="10"/>
  <c r="N257" i="10" s="1"/>
  <c r="M218" i="10"/>
  <c r="L218" i="10"/>
  <c r="K218" i="10"/>
  <c r="J218" i="10"/>
  <c r="I218" i="10"/>
  <c r="H218" i="10"/>
  <c r="G218" i="10"/>
  <c r="F218" i="10"/>
  <c r="E218" i="10"/>
  <c r="D218" i="10"/>
  <c r="V217" i="10"/>
  <c r="V256" i="10" s="1"/>
  <c r="U217" i="10"/>
  <c r="T217" i="10"/>
  <c r="S217" i="10"/>
  <c r="R217" i="10"/>
  <c r="Q217" i="10"/>
  <c r="P217" i="10"/>
  <c r="P256" i="10" s="1"/>
  <c r="O217" i="10"/>
  <c r="N217" i="10"/>
  <c r="M217" i="10"/>
  <c r="L217" i="10"/>
  <c r="K217" i="10"/>
  <c r="J217" i="10"/>
  <c r="I217" i="10"/>
  <c r="H217" i="10"/>
  <c r="G217" i="10"/>
  <c r="F217" i="10"/>
  <c r="F256" i="10" s="1"/>
  <c r="E217" i="10"/>
  <c r="E256" i="10" s="1"/>
  <c r="D217" i="10"/>
  <c r="V216" i="10"/>
  <c r="U216" i="10"/>
  <c r="T216" i="10"/>
  <c r="T255" i="10" s="1"/>
  <c r="S216" i="10"/>
  <c r="S255" i="10" s="1"/>
  <c r="R216" i="10"/>
  <c r="R255" i="10" s="1"/>
  <c r="Q216" i="10"/>
  <c r="P216" i="10"/>
  <c r="O216" i="10"/>
  <c r="N216" i="10"/>
  <c r="N255" i="10" s="1"/>
  <c r="M216" i="10"/>
  <c r="M255" i="10" s="1"/>
  <c r="L216" i="10"/>
  <c r="K216" i="10"/>
  <c r="J216" i="10"/>
  <c r="I216" i="10"/>
  <c r="I255" i="10" s="1"/>
  <c r="H216" i="10"/>
  <c r="H255" i="10" s="1"/>
  <c r="G216" i="10"/>
  <c r="F216" i="10"/>
  <c r="E216" i="10"/>
  <c r="D216" i="10"/>
  <c r="D255" i="10" s="1"/>
  <c r="V215" i="10"/>
  <c r="U215" i="10"/>
  <c r="T215" i="10"/>
  <c r="S215" i="10"/>
  <c r="R215" i="10"/>
  <c r="Q215" i="10"/>
  <c r="P215" i="10"/>
  <c r="O215" i="10"/>
  <c r="N215" i="10"/>
  <c r="M215" i="10"/>
  <c r="L215" i="10"/>
  <c r="K215" i="10"/>
  <c r="K254" i="10" s="1"/>
  <c r="J215" i="10"/>
  <c r="I215" i="10"/>
  <c r="H215" i="10"/>
  <c r="G215" i="10"/>
  <c r="F215" i="10"/>
  <c r="E215" i="10"/>
  <c r="E254" i="10" s="1"/>
  <c r="D215" i="10"/>
  <c r="V214" i="10"/>
  <c r="U214" i="10"/>
  <c r="T214" i="10"/>
  <c r="S214" i="10"/>
  <c r="R214" i="10"/>
  <c r="Q214" i="10"/>
  <c r="P214" i="10"/>
  <c r="O214" i="10"/>
  <c r="O253" i="10" s="1"/>
  <c r="N214" i="10"/>
  <c r="M214" i="10"/>
  <c r="L214" i="10"/>
  <c r="K214" i="10"/>
  <c r="J214" i="10"/>
  <c r="I214" i="10"/>
  <c r="H214" i="10"/>
  <c r="H253" i="10" s="1"/>
  <c r="G214" i="10"/>
  <c r="F214" i="10"/>
  <c r="E214" i="10"/>
  <c r="D214" i="10"/>
  <c r="V213" i="10"/>
  <c r="U213" i="10"/>
  <c r="T213" i="10"/>
  <c r="S213" i="10"/>
  <c r="R213" i="10"/>
  <c r="R252" i="10" s="1"/>
  <c r="Q213" i="10"/>
  <c r="Q252" i="10" s="1"/>
  <c r="P213" i="10"/>
  <c r="O213" i="10"/>
  <c r="N213" i="10"/>
  <c r="M213" i="10"/>
  <c r="M252" i="10" s="1"/>
  <c r="L213" i="10"/>
  <c r="K213" i="10"/>
  <c r="K252" i="10" s="1"/>
  <c r="J213" i="10"/>
  <c r="I213" i="10"/>
  <c r="H213" i="10"/>
  <c r="G213" i="10"/>
  <c r="F213" i="10"/>
  <c r="E213" i="10"/>
  <c r="D213" i="10"/>
  <c r="V212" i="10"/>
  <c r="U212" i="10"/>
  <c r="U251" i="10" s="1"/>
  <c r="T212" i="10"/>
  <c r="T251" i="10" s="1"/>
  <c r="S212" i="10"/>
  <c r="R212" i="10"/>
  <c r="Q212" i="10"/>
  <c r="P212" i="10"/>
  <c r="P251" i="10" s="1"/>
  <c r="O212" i="10"/>
  <c r="O251" i="10" s="1"/>
  <c r="N212" i="10"/>
  <c r="M212" i="10"/>
  <c r="L212" i="10"/>
  <c r="K212" i="10"/>
  <c r="J212" i="10"/>
  <c r="I212" i="10"/>
  <c r="H212" i="10"/>
  <c r="G212" i="10"/>
  <c r="F212" i="10"/>
  <c r="E212" i="10"/>
  <c r="E251" i="10" s="1"/>
  <c r="D212" i="10"/>
  <c r="V211" i="10"/>
  <c r="U211" i="10"/>
  <c r="T211" i="10"/>
  <c r="S211" i="10"/>
  <c r="R211" i="10"/>
  <c r="Q211" i="10"/>
  <c r="Q250" i="10" s="1"/>
  <c r="P211" i="10"/>
  <c r="O211" i="10"/>
  <c r="N211" i="10"/>
  <c r="M211" i="10"/>
  <c r="L211" i="10"/>
  <c r="K211" i="10"/>
  <c r="J211" i="10"/>
  <c r="I211" i="10"/>
  <c r="H211" i="10"/>
  <c r="H250" i="10" s="1"/>
  <c r="G211" i="10"/>
  <c r="F211" i="10"/>
  <c r="E211" i="10"/>
  <c r="D211" i="10"/>
  <c r="V210" i="10"/>
  <c r="U210" i="10"/>
  <c r="U249" i="10" s="1"/>
  <c r="T210" i="10"/>
  <c r="S210" i="10"/>
  <c r="R210" i="10"/>
  <c r="Q210" i="10"/>
  <c r="P210" i="10"/>
  <c r="O210" i="10"/>
  <c r="N210" i="10"/>
  <c r="M210" i="10"/>
  <c r="L210" i="10"/>
  <c r="K210" i="10"/>
  <c r="K249" i="10" s="1"/>
  <c r="J210" i="10"/>
  <c r="J249" i="10" s="1"/>
  <c r="I210" i="10"/>
  <c r="H210" i="10"/>
  <c r="G210" i="10"/>
  <c r="F210" i="10"/>
  <c r="F249" i="10" s="1"/>
  <c r="E210" i="10"/>
  <c r="E249" i="10" s="1"/>
  <c r="D210" i="10"/>
  <c r="V209" i="10"/>
  <c r="U209" i="10"/>
  <c r="T209" i="10"/>
  <c r="S209" i="10"/>
  <c r="R209" i="10"/>
  <c r="Q209" i="10"/>
  <c r="P209" i="10"/>
  <c r="O209" i="10"/>
  <c r="N209" i="10"/>
  <c r="N248" i="10" s="1"/>
  <c r="M209" i="10"/>
  <c r="M248" i="10" s="1"/>
  <c r="L209" i="10"/>
  <c r="K209" i="10"/>
  <c r="J209" i="10"/>
  <c r="I209" i="10"/>
  <c r="H209" i="10"/>
  <c r="H248" i="10" s="1"/>
  <c r="G209" i="10"/>
  <c r="F209" i="10"/>
  <c r="E209" i="10"/>
  <c r="D209" i="10"/>
  <c r="D236" i="10" s="1"/>
  <c r="V208" i="10"/>
  <c r="V247" i="10" s="1"/>
  <c r="U208" i="10"/>
  <c r="T208" i="10"/>
  <c r="S208" i="10"/>
  <c r="R208" i="10"/>
  <c r="Q208" i="10"/>
  <c r="P208" i="10"/>
  <c r="O208" i="10"/>
  <c r="N208" i="10"/>
  <c r="M208" i="10"/>
  <c r="L208" i="10"/>
  <c r="L247" i="10" s="1"/>
  <c r="K208" i="10"/>
  <c r="J208" i="10"/>
  <c r="J247" i="10" s="1"/>
  <c r="I208" i="10"/>
  <c r="H208" i="10"/>
  <c r="G208" i="10"/>
  <c r="F208" i="10"/>
  <c r="F247" i="10" s="1"/>
  <c r="E208" i="10"/>
  <c r="E247" i="10" s="1"/>
  <c r="D208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L197" i="10"/>
  <c r="J197" i="10"/>
  <c r="M196" i="10"/>
  <c r="I196" i="10"/>
  <c r="P195" i="10"/>
  <c r="L195" i="10"/>
  <c r="J195" i="10"/>
  <c r="T194" i="10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T193" i="10"/>
  <c r="R193" i="10"/>
  <c r="P193" i="10"/>
  <c r="D193" i="10"/>
  <c r="U192" i="10"/>
  <c r="S192" i="10"/>
  <c r="G192" i="10"/>
  <c r="E192" i="10"/>
  <c r="V191" i="10"/>
  <c r="J191" i="10"/>
  <c r="H191" i="10"/>
  <c r="F191" i="10"/>
  <c r="M190" i="10"/>
  <c r="K190" i="10"/>
  <c r="I190" i="10"/>
  <c r="P189" i="10"/>
  <c r="N189" i="10"/>
  <c r="L189" i="10"/>
  <c r="S188" i="10"/>
  <c r="O188" i="10"/>
  <c r="V187" i="10"/>
  <c r="R187" i="10"/>
  <c r="F187" i="10"/>
  <c r="D187" i="10"/>
  <c r="U186" i="10"/>
  <c r="I186" i="10"/>
  <c r="E186" i="10"/>
  <c r="L185" i="10"/>
  <c r="O184" i="10"/>
  <c r="R183" i="10"/>
  <c r="P183" i="10"/>
  <c r="U182" i="10"/>
  <c r="Q182" i="10"/>
  <c r="E182" i="10"/>
  <c r="V181" i="10"/>
  <c r="U181" i="10"/>
  <c r="T181" i="10"/>
  <c r="S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U176" i="10"/>
  <c r="E176" i="10"/>
  <c r="H175" i="10"/>
  <c r="G170" i="10"/>
  <c r="J169" i="10"/>
  <c r="M159" i="10"/>
  <c r="V158" i="10"/>
  <c r="V197" i="10" s="1"/>
  <c r="U158" i="10"/>
  <c r="U197" i="10" s="1"/>
  <c r="T158" i="10"/>
  <c r="T197" i="10" s="1"/>
  <c r="S158" i="10"/>
  <c r="R158" i="10"/>
  <c r="R197" i="10" s="1"/>
  <c r="Q158" i="10"/>
  <c r="P158" i="10"/>
  <c r="P197" i="10" s="1"/>
  <c r="O158" i="10"/>
  <c r="N158" i="10"/>
  <c r="N197" i="10" s="1"/>
  <c r="M158" i="10"/>
  <c r="M197" i="10" s="1"/>
  <c r="L158" i="10"/>
  <c r="K158" i="10"/>
  <c r="J158" i="10"/>
  <c r="I158" i="10"/>
  <c r="H158" i="10"/>
  <c r="G158" i="10"/>
  <c r="F158" i="10"/>
  <c r="F197" i="10" s="1"/>
  <c r="E158" i="10"/>
  <c r="D158" i="10"/>
  <c r="V157" i="10"/>
  <c r="V196" i="10" s="1"/>
  <c r="U157" i="10"/>
  <c r="U196" i="10" s="1"/>
  <c r="T157" i="10"/>
  <c r="S157" i="10"/>
  <c r="S196" i="10" s="1"/>
  <c r="R157" i="10"/>
  <c r="Q157" i="10"/>
  <c r="Q196" i="10" s="1"/>
  <c r="P157" i="10"/>
  <c r="P196" i="10" s="1"/>
  <c r="O157" i="10"/>
  <c r="N157" i="10"/>
  <c r="M157" i="10"/>
  <c r="L157" i="10"/>
  <c r="K157" i="10"/>
  <c r="J157" i="10"/>
  <c r="I157" i="10"/>
  <c r="H157" i="10"/>
  <c r="G157" i="10"/>
  <c r="G196" i="10" s="1"/>
  <c r="F157" i="10"/>
  <c r="E157" i="10"/>
  <c r="E196" i="10" s="1"/>
  <c r="D157" i="10"/>
  <c r="V156" i="10"/>
  <c r="V195" i="10" s="1"/>
  <c r="U156" i="10"/>
  <c r="T156" i="10"/>
  <c r="T195" i="10" s="1"/>
  <c r="S156" i="10"/>
  <c r="S195" i="10" s="1"/>
  <c r="R156" i="10"/>
  <c r="R195" i="10" s="1"/>
  <c r="Q156" i="10"/>
  <c r="P156" i="10"/>
  <c r="O156" i="10"/>
  <c r="N156" i="10"/>
  <c r="M156" i="10"/>
  <c r="L156" i="10"/>
  <c r="K156" i="10"/>
  <c r="K195" i="10" s="1"/>
  <c r="J156" i="10"/>
  <c r="I156" i="10"/>
  <c r="H156" i="10"/>
  <c r="H195" i="10" s="1"/>
  <c r="G156" i="10"/>
  <c r="F156" i="10"/>
  <c r="F195" i="10" s="1"/>
  <c r="E156" i="10"/>
  <c r="D156" i="10"/>
  <c r="D195" i="10" s="1"/>
  <c r="V155" i="10"/>
  <c r="V194" i="10" s="1"/>
  <c r="U155" i="10"/>
  <c r="V154" i="10"/>
  <c r="V193" i="10" s="1"/>
  <c r="U154" i="10"/>
  <c r="U193" i="10" s="1"/>
  <c r="T154" i="10"/>
  <c r="S154" i="10"/>
  <c r="S193" i="10" s="1"/>
  <c r="R154" i="10"/>
  <c r="Q154" i="10"/>
  <c r="Q193" i="10" s="1"/>
  <c r="P154" i="10"/>
  <c r="O154" i="10"/>
  <c r="N154" i="10"/>
  <c r="N193" i="10" s="1"/>
  <c r="M154" i="10"/>
  <c r="M193" i="10" s="1"/>
  <c r="L154" i="10"/>
  <c r="K154" i="10"/>
  <c r="J154" i="10"/>
  <c r="I154" i="10"/>
  <c r="I193" i="10" s="1"/>
  <c r="H154" i="10"/>
  <c r="H193" i="10" s="1"/>
  <c r="G154" i="10"/>
  <c r="G193" i="10" s="1"/>
  <c r="F154" i="10"/>
  <c r="F193" i="10" s="1"/>
  <c r="E154" i="10"/>
  <c r="E193" i="10" s="1"/>
  <c r="D154" i="10"/>
  <c r="V153" i="10"/>
  <c r="V192" i="10" s="1"/>
  <c r="U153" i="10"/>
  <c r="T153" i="10"/>
  <c r="T192" i="10" s="1"/>
  <c r="S153" i="10"/>
  <c r="R153" i="10"/>
  <c r="Q153" i="10"/>
  <c r="Q192" i="10" s="1"/>
  <c r="P153" i="10"/>
  <c r="P192" i="10" s="1"/>
  <c r="O153" i="10"/>
  <c r="N153" i="10"/>
  <c r="M153" i="10"/>
  <c r="L153" i="10"/>
  <c r="L192" i="10" s="1"/>
  <c r="K153" i="10"/>
  <c r="K192" i="10" s="1"/>
  <c r="J153" i="10"/>
  <c r="J192" i="10" s="1"/>
  <c r="I153" i="10"/>
  <c r="I192" i="10" s="1"/>
  <c r="H153" i="10"/>
  <c r="H192" i="10" s="1"/>
  <c r="G153" i="10"/>
  <c r="F153" i="10"/>
  <c r="F192" i="10" s="1"/>
  <c r="E153" i="10"/>
  <c r="D153" i="10"/>
  <c r="D192" i="10" s="1"/>
  <c r="V152" i="10"/>
  <c r="U152" i="10"/>
  <c r="T152" i="10"/>
  <c r="T191" i="10" s="1"/>
  <c r="S152" i="10"/>
  <c r="S191" i="10" s="1"/>
  <c r="R152" i="10"/>
  <c r="Q152" i="10"/>
  <c r="P152" i="10"/>
  <c r="O152" i="10"/>
  <c r="O191" i="10" s="1"/>
  <c r="N152" i="10"/>
  <c r="N191" i="10" s="1"/>
  <c r="M152" i="10"/>
  <c r="M191" i="10" s="1"/>
  <c r="L152" i="10"/>
  <c r="L191" i="10" s="1"/>
  <c r="K152" i="10"/>
  <c r="K191" i="10" s="1"/>
  <c r="J152" i="10"/>
  <c r="I152" i="10"/>
  <c r="I191" i="10" s="1"/>
  <c r="H152" i="10"/>
  <c r="G152" i="10"/>
  <c r="G191" i="10" s="1"/>
  <c r="F152" i="10"/>
  <c r="E152" i="10"/>
  <c r="D152" i="10"/>
  <c r="D191" i="10" s="1"/>
  <c r="V151" i="10"/>
  <c r="V190" i="10" s="1"/>
  <c r="U151" i="10"/>
  <c r="T151" i="10"/>
  <c r="S151" i="10"/>
  <c r="R151" i="10"/>
  <c r="R190" i="10" s="1"/>
  <c r="Q151" i="10"/>
  <c r="Q190" i="10" s="1"/>
  <c r="P151" i="10"/>
  <c r="P190" i="10" s="1"/>
  <c r="O151" i="10"/>
  <c r="O190" i="10" s="1"/>
  <c r="N151" i="10"/>
  <c r="N190" i="10" s="1"/>
  <c r="M151" i="10"/>
  <c r="L151" i="10"/>
  <c r="L190" i="10" s="1"/>
  <c r="K151" i="10"/>
  <c r="J151" i="10"/>
  <c r="J190" i="10" s="1"/>
  <c r="I151" i="10"/>
  <c r="H151" i="10"/>
  <c r="G151" i="10"/>
  <c r="G190" i="10" s="1"/>
  <c r="F151" i="10"/>
  <c r="F190" i="10" s="1"/>
  <c r="E151" i="10"/>
  <c r="D151" i="10"/>
  <c r="V150" i="10"/>
  <c r="U150" i="10"/>
  <c r="U189" i="10" s="1"/>
  <c r="T150" i="10"/>
  <c r="T189" i="10" s="1"/>
  <c r="S150" i="10"/>
  <c r="S189" i="10" s="1"/>
  <c r="R150" i="10"/>
  <c r="R189" i="10" s="1"/>
  <c r="Q150" i="10"/>
  <c r="Q189" i="10" s="1"/>
  <c r="P150" i="10"/>
  <c r="O150" i="10"/>
  <c r="O189" i="10" s="1"/>
  <c r="N150" i="10"/>
  <c r="M150" i="10"/>
  <c r="M189" i="10" s="1"/>
  <c r="L150" i="10"/>
  <c r="K150" i="10"/>
  <c r="J150" i="10"/>
  <c r="J189" i="10" s="1"/>
  <c r="I150" i="10"/>
  <c r="I189" i="10" s="1"/>
  <c r="H150" i="10"/>
  <c r="G150" i="10"/>
  <c r="F150" i="10"/>
  <c r="E150" i="10"/>
  <c r="E189" i="10" s="1"/>
  <c r="D150" i="10"/>
  <c r="D189" i="10" s="1"/>
  <c r="V149" i="10"/>
  <c r="V188" i="10" s="1"/>
  <c r="U149" i="10"/>
  <c r="U188" i="10" s="1"/>
  <c r="T149" i="10"/>
  <c r="T188" i="10" s="1"/>
  <c r="S149" i="10"/>
  <c r="R149" i="10"/>
  <c r="R188" i="10" s="1"/>
  <c r="Q149" i="10"/>
  <c r="P149" i="10"/>
  <c r="P188" i="10" s="1"/>
  <c r="O149" i="10"/>
  <c r="N149" i="10"/>
  <c r="M149" i="10"/>
  <c r="M188" i="10" s="1"/>
  <c r="L149" i="10"/>
  <c r="L188" i="10" s="1"/>
  <c r="K149" i="10"/>
  <c r="J149" i="10"/>
  <c r="I149" i="10"/>
  <c r="H149" i="10"/>
  <c r="H188" i="10" s="1"/>
  <c r="G149" i="10"/>
  <c r="G188" i="10" s="1"/>
  <c r="F149" i="10"/>
  <c r="F188" i="10" s="1"/>
  <c r="E149" i="10"/>
  <c r="E188" i="10" s="1"/>
  <c r="D149" i="10"/>
  <c r="D188" i="10" s="1"/>
  <c r="V148" i="10"/>
  <c r="U148" i="10"/>
  <c r="U187" i="10" s="1"/>
  <c r="T148" i="10"/>
  <c r="S148" i="10"/>
  <c r="S187" i="10" s="1"/>
  <c r="R148" i="10"/>
  <c r="Q148" i="10"/>
  <c r="P148" i="10"/>
  <c r="P187" i="10" s="1"/>
  <c r="O148" i="10"/>
  <c r="O187" i="10" s="1"/>
  <c r="N148" i="10"/>
  <c r="M148" i="10"/>
  <c r="L148" i="10"/>
  <c r="K148" i="10"/>
  <c r="K187" i="10" s="1"/>
  <c r="J148" i="10"/>
  <c r="J187" i="10" s="1"/>
  <c r="I148" i="10"/>
  <c r="I187" i="10" s="1"/>
  <c r="H148" i="10"/>
  <c r="H187" i="10" s="1"/>
  <c r="G148" i="10"/>
  <c r="G187" i="10" s="1"/>
  <c r="F148" i="10"/>
  <c r="E148" i="10"/>
  <c r="E187" i="10" s="1"/>
  <c r="D148" i="10"/>
  <c r="V147" i="10"/>
  <c r="V186" i="10" s="1"/>
  <c r="U147" i="10"/>
  <c r="T147" i="10"/>
  <c r="S147" i="10"/>
  <c r="S186" i="10" s="1"/>
  <c r="R147" i="10"/>
  <c r="R186" i="10" s="1"/>
  <c r="Q147" i="10"/>
  <c r="P147" i="10"/>
  <c r="O147" i="10"/>
  <c r="N147" i="10"/>
  <c r="N186" i="10" s="1"/>
  <c r="M147" i="10"/>
  <c r="M186" i="10" s="1"/>
  <c r="L147" i="10"/>
  <c r="L186" i="10" s="1"/>
  <c r="K147" i="10"/>
  <c r="K186" i="10" s="1"/>
  <c r="J147" i="10"/>
  <c r="J186" i="10" s="1"/>
  <c r="I147" i="10"/>
  <c r="H147" i="10"/>
  <c r="H186" i="10" s="1"/>
  <c r="G147" i="10"/>
  <c r="F147" i="10"/>
  <c r="F186" i="10" s="1"/>
  <c r="E147" i="10"/>
  <c r="D147" i="10"/>
  <c r="V146" i="10"/>
  <c r="V185" i="10" s="1"/>
  <c r="U146" i="10"/>
  <c r="U185" i="10" s="1"/>
  <c r="T146" i="10"/>
  <c r="S146" i="10"/>
  <c r="R146" i="10"/>
  <c r="Q146" i="10"/>
  <c r="Q185" i="10" s="1"/>
  <c r="P146" i="10"/>
  <c r="P185" i="10" s="1"/>
  <c r="O146" i="10"/>
  <c r="O185" i="10" s="1"/>
  <c r="N146" i="10"/>
  <c r="N185" i="10" s="1"/>
  <c r="M146" i="10"/>
  <c r="M185" i="10" s="1"/>
  <c r="L146" i="10"/>
  <c r="K146" i="10"/>
  <c r="K185" i="10" s="1"/>
  <c r="J146" i="10"/>
  <c r="I146" i="10"/>
  <c r="I185" i="10" s="1"/>
  <c r="H146" i="10"/>
  <c r="G146" i="10"/>
  <c r="F146" i="10"/>
  <c r="F185" i="10" s="1"/>
  <c r="E146" i="10"/>
  <c r="E185" i="10" s="1"/>
  <c r="D146" i="10"/>
  <c r="V145" i="10"/>
  <c r="U145" i="10"/>
  <c r="T145" i="10"/>
  <c r="T184" i="10" s="1"/>
  <c r="S145" i="10"/>
  <c r="S184" i="10" s="1"/>
  <c r="R145" i="10"/>
  <c r="R184" i="10" s="1"/>
  <c r="Q145" i="10"/>
  <c r="Q184" i="10" s="1"/>
  <c r="P145" i="10"/>
  <c r="P184" i="10" s="1"/>
  <c r="O145" i="10"/>
  <c r="N145" i="10"/>
  <c r="N184" i="10" s="1"/>
  <c r="M145" i="10"/>
  <c r="L145" i="10"/>
  <c r="L184" i="10" s="1"/>
  <c r="K145" i="10"/>
  <c r="J145" i="10"/>
  <c r="I145" i="10"/>
  <c r="I184" i="10" s="1"/>
  <c r="H145" i="10"/>
  <c r="H184" i="10" s="1"/>
  <c r="G145" i="10"/>
  <c r="F145" i="10"/>
  <c r="E145" i="10"/>
  <c r="D145" i="10"/>
  <c r="D184" i="10" s="1"/>
  <c r="V144" i="10"/>
  <c r="V183" i="10" s="1"/>
  <c r="U144" i="10"/>
  <c r="U183" i="10" s="1"/>
  <c r="T144" i="10"/>
  <c r="T183" i="10" s="1"/>
  <c r="S144" i="10"/>
  <c r="S183" i="10" s="1"/>
  <c r="R144" i="10"/>
  <c r="Q144" i="10"/>
  <c r="Q183" i="10" s="1"/>
  <c r="P144" i="10"/>
  <c r="O144" i="10"/>
  <c r="O183" i="10" s="1"/>
  <c r="N144" i="10"/>
  <c r="M144" i="10"/>
  <c r="L144" i="10"/>
  <c r="L183" i="10" s="1"/>
  <c r="K144" i="10"/>
  <c r="K183" i="10" s="1"/>
  <c r="J144" i="10"/>
  <c r="I144" i="10"/>
  <c r="H144" i="10"/>
  <c r="G144" i="10"/>
  <c r="G183" i="10" s="1"/>
  <c r="F144" i="10"/>
  <c r="F183" i="10" s="1"/>
  <c r="E144" i="10"/>
  <c r="E183" i="10" s="1"/>
  <c r="D144" i="10"/>
  <c r="D183" i="10" s="1"/>
  <c r="V143" i="10"/>
  <c r="V182" i="10" s="1"/>
  <c r="U143" i="10"/>
  <c r="T143" i="10"/>
  <c r="T182" i="10" s="1"/>
  <c r="S143" i="10"/>
  <c r="R143" i="10"/>
  <c r="R182" i="10" s="1"/>
  <c r="Q143" i="10"/>
  <c r="P143" i="10"/>
  <c r="O143" i="10"/>
  <c r="O182" i="10" s="1"/>
  <c r="N143" i="10"/>
  <c r="N182" i="10" s="1"/>
  <c r="M143" i="10"/>
  <c r="L143" i="10"/>
  <c r="K143" i="10"/>
  <c r="J143" i="10"/>
  <c r="J182" i="10" s="1"/>
  <c r="I143" i="10"/>
  <c r="I182" i="10" s="1"/>
  <c r="H143" i="10"/>
  <c r="H182" i="10" s="1"/>
  <c r="G143" i="10"/>
  <c r="G182" i="10" s="1"/>
  <c r="F143" i="10"/>
  <c r="F182" i="10" s="1"/>
  <c r="E143" i="10"/>
  <c r="D143" i="10"/>
  <c r="D182" i="10" s="1"/>
  <c r="R142" i="10"/>
  <c r="R181" i="10" s="1"/>
  <c r="V141" i="10"/>
  <c r="U141" i="10"/>
  <c r="U180" i="10" s="1"/>
  <c r="T141" i="10"/>
  <c r="S141" i="10"/>
  <c r="R141" i="10"/>
  <c r="R180" i="10" s="1"/>
  <c r="Q141" i="10"/>
  <c r="P141" i="10"/>
  <c r="P180" i="10" s="1"/>
  <c r="O141" i="10"/>
  <c r="N141" i="10"/>
  <c r="N180" i="10" s="1"/>
  <c r="M141" i="10"/>
  <c r="M180" i="10" s="1"/>
  <c r="L141" i="10"/>
  <c r="L180" i="10" s="1"/>
  <c r="K141" i="10"/>
  <c r="J141" i="10"/>
  <c r="J180" i="10" s="1"/>
  <c r="I141" i="10"/>
  <c r="H141" i="10"/>
  <c r="H180" i="10" s="1"/>
  <c r="G141" i="10"/>
  <c r="F141" i="10"/>
  <c r="E141" i="10"/>
  <c r="E180" i="10" s="1"/>
  <c r="D141" i="10"/>
  <c r="V140" i="10"/>
  <c r="U140" i="10"/>
  <c r="U179" i="10" s="1"/>
  <c r="T140" i="10"/>
  <c r="S140" i="10"/>
  <c r="S179" i="10" s="1"/>
  <c r="R140" i="10"/>
  <c r="Q140" i="10"/>
  <c r="Q179" i="10" s="1"/>
  <c r="P140" i="10"/>
  <c r="P179" i="10" s="1"/>
  <c r="O140" i="10"/>
  <c r="O179" i="10" s="1"/>
  <c r="N140" i="10"/>
  <c r="M140" i="10"/>
  <c r="M179" i="10" s="1"/>
  <c r="L140" i="10"/>
  <c r="K140" i="10"/>
  <c r="K179" i="10" s="1"/>
  <c r="J140" i="10"/>
  <c r="I140" i="10"/>
  <c r="H140" i="10"/>
  <c r="H179" i="10" s="1"/>
  <c r="G140" i="10"/>
  <c r="F140" i="10"/>
  <c r="E140" i="10"/>
  <c r="E179" i="10" s="1"/>
  <c r="D140" i="10"/>
  <c r="V139" i="10"/>
  <c r="V178" i="10" s="1"/>
  <c r="U139" i="10"/>
  <c r="T139" i="10"/>
  <c r="T178" i="10" s="1"/>
  <c r="S139" i="10"/>
  <c r="S178" i="10" s="1"/>
  <c r="R139" i="10"/>
  <c r="R178" i="10" s="1"/>
  <c r="Q139" i="10"/>
  <c r="P139" i="10"/>
  <c r="P178" i="10" s="1"/>
  <c r="O139" i="10"/>
  <c r="N139" i="10"/>
  <c r="N178" i="10" s="1"/>
  <c r="M139" i="10"/>
  <c r="L139" i="10"/>
  <c r="K139" i="10"/>
  <c r="K178" i="10" s="1"/>
  <c r="J139" i="10"/>
  <c r="I139" i="10"/>
  <c r="H139" i="10"/>
  <c r="H178" i="10" s="1"/>
  <c r="G139" i="10"/>
  <c r="F139" i="10"/>
  <c r="F178" i="10" s="1"/>
  <c r="E139" i="10"/>
  <c r="D139" i="10"/>
  <c r="D178" i="10" s="1"/>
  <c r="V138" i="10"/>
  <c r="V177" i="10" s="1"/>
  <c r="U138" i="10"/>
  <c r="U177" i="10" s="1"/>
  <c r="T138" i="10"/>
  <c r="S138" i="10"/>
  <c r="S177" i="10" s="1"/>
  <c r="R138" i="10"/>
  <c r="Q138" i="10"/>
  <c r="Q177" i="10" s="1"/>
  <c r="P138" i="10"/>
  <c r="O138" i="10"/>
  <c r="N138" i="10"/>
  <c r="N177" i="10" s="1"/>
  <c r="M138" i="10"/>
  <c r="L138" i="10"/>
  <c r="K138" i="10"/>
  <c r="K177" i="10" s="1"/>
  <c r="J138" i="10"/>
  <c r="I138" i="10"/>
  <c r="I177" i="10" s="1"/>
  <c r="H138" i="10"/>
  <c r="G138" i="10"/>
  <c r="G177" i="10" s="1"/>
  <c r="F138" i="10"/>
  <c r="F177" i="10" s="1"/>
  <c r="E138" i="10"/>
  <c r="E177" i="10" s="1"/>
  <c r="D138" i="10"/>
  <c r="V137" i="10"/>
  <c r="V176" i="10" s="1"/>
  <c r="U137" i="10"/>
  <c r="T137" i="10"/>
  <c r="T176" i="10" s="1"/>
  <c r="S137" i="10"/>
  <c r="R137" i="10"/>
  <c r="Q137" i="10"/>
  <c r="Q176" i="10" s="1"/>
  <c r="P137" i="10"/>
  <c r="O137" i="10"/>
  <c r="N137" i="10"/>
  <c r="N176" i="10" s="1"/>
  <c r="M137" i="10"/>
  <c r="L137" i="10"/>
  <c r="L176" i="10" s="1"/>
  <c r="K137" i="10"/>
  <c r="J137" i="10"/>
  <c r="J176" i="10" s="1"/>
  <c r="I137" i="10"/>
  <c r="I176" i="10" s="1"/>
  <c r="H137" i="10"/>
  <c r="H176" i="10" s="1"/>
  <c r="G137" i="10"/>
  <c r="F137" i="10"/>
  <c r="F176" i="10" s="1"/>
  <c r="E137" i="10"/>
  <c r="D137" i="10"/>
  <c r="D176" i="10" s="1"/>
  <c r="V136" i="10"/>
  <c r="U136" i="10"/>
  <c r="T136" i="10"/>
  <c r="T175" i="10" s="1"/>
  <c r="S136" i="10"/>
  <c r="R136" i="10"/>
  <c r="Q136" i="10"/>
  <c r="Q175" i="10" s="1"/>
  <c r="P136" i="10"/>
  <c r="O136" i="10"/>
  <c r="O175" i="10" s="1"/>
  <c r="N136" i="10"/>
  <c r="M136" i="10"/>
  <c r="M175" i="10" s="1"/>
  <c r="L136" i="10"/>
  <c r="L175" i="10" s="1"/>
  <c r="K136" i="10"/>
  <c r="K175" i="10" s="1"/>
  <c r="J136" i="10"/>
  <c r="I136" i="10"/>
  <c r="I175" i="10" s="1"/>
  <c r="H136" i="10"/>
  <c r="G136" i="10"/>
  <c r="G175" i="10" s="1"/>
  <c r="F136" i="10"/>
  <c r="E136" i="10"/>
  <c r="D136" i="10"/>
  <c r="D175" i="10" s="1"/>
  <c r="V135" i="10"/>
  <c r="U135" i="10"/>
  <c r="T135" i="10"/>
  <c r="T174" i="10" s="1"/>
  <c r="S135" i="10"/>
  <c r="R135" i="10"/>
  <c r="R174" i="10" s="1"/>
  <c r="Q135" i="10"/>
  <c r="P135" i="10"/>
  <c r="P174" i="10" s="1"/>
  <c r="O135" i="10"/>
  <c r="O174" i="10" s="1"/>
  <c r="N135" i="10"/>
  <c r="N174" i="10" s="1"/>
  <c r="M135" i="10"/>
  <c r="L135" i="10"/>
  <c r="L174" i="10" s="1"/>
  <c r="K135" i="10"/>
  <c r="J135" i="10"/>
  <c r="J174" i="10" s="1"/>
  <c r="I135" i="10"/>
  <c r="H135" i="10"/>
  <c r="G135" i="10"/>
  <c r="G174" i="10" s="1"/>
  <c r="F135" i="10"/>
  <c r="E135" i="10"/>
  <c r="D135" i="10"/>
  <c r="D174" i="10" s="1"/>
  <c r="V134" i="10"/>
  <c r="U134" i="10"/>
  <c r="U173" i="10" s="1"/>
  <c r="T134" i="10"/>
  <c r="S134" i="10"/>
  <c r="S173" i="10" s="1"/>
  <c r="R134" i="10"/>
  <c r="R173" i="10" s="1"/>
  <c r="Q134" i="10"/>
  <c r="Q173" i="10" s="1"/>
  <c r="P134" i="10"/>
  <c r="O134" i="10"/>
  <c r="O173" i="10" s="1"/>
  <c r="N134" i="10"/>
  <c r="M134" i="10"/>
  <c r="M173" i="10" s="1"/>
  <c r="L134" i="10"/>
  <c r="K134" i="10"/>
  <c r="J134" i="10"/>
  <c r="J173" i="10" s="1"/>
  <c r="I134" i="10"/>
  <c r="H134" i="10"/>
  <c r="G134" i="10"/>
  <c r="G173" i="10" s="1"/>
  <c r="F134" i="10"/>
  <c r="E134" i="10"/>
  <c r="E173" i="10" s="1"/>
  <c r="D134" i="10"/>
  <c r="V133" i="10"/>
  <c r="V172" i="10" s="1"/>
  <c r="U133" i="10"/>
  <c r="U172" i="10" s="1"/>
  <c r="T133" i="10"/>
  <c r="T172" i="10" s="1"/>
  <c r="S133" i="10"/>
  <c r="R133" i="10"/>
  <c r="R172" i="10" s="1"/>
  <c r="Q133" i="10"/>
  <c r="P133" i="10"/>
  <c r="P172" i="10" s="1"/>
  <c r="O133" i="10"/>
  <c r="N133" i="10"/>
  <c r="M133" i="10"/>
  <c r="M172" i="10" s="1"/>
  <c r="L133" i="10"/>
  <c r="K133" i="10"/>
  <c r="J133" i="10"/>
  <c r="J159" i="10" s="1"/>
  <c r="I133" i="10"/>
  <c r="H133" i="10"/>
  <c r="H172" i="10" s="1"/>
  <c r="G133" i="10"/>
  <c r="F133" i="10"/>
  <c r="F172" i="10" s="1"/>
  <c r="E133" i="10"/>
  <c r="E172" i="10" s="1"/>
  <c r="D133" i="10"/>
  <c r="D172" i="10" s="1"/>
  <c r="V132" i="10"/>
  <c r="U132" i="10"/>
  <c r="U171" i="10" s="1"/>
  <c r="T132" i="10"/>
  <c r="S132" i="10"/>
  <c r="S171" i="10" s="1"/>
  <c r="R132" i="10"/>
  <c r="Q132" i="10"/>
  <c r="P132" i="10"/>
  <c r="P171" i="10" s="1"/>
  <c r="O132" i="10"/>
  <c r="N132" i="10"/>
  <c r="M132" i="10"/>
  <c r="M171" i="10" s="1"/>
  <c r="L132" i="10"/>
  <c r="K132" i="10"/>
  <c r="K171" i="10" s="1"/>
  <c r="J132" i="10"/>
  <c r="I132" i="10"/>
  <c r="I171" i="10" s="1"/>
  <c r="H132" i="10"/>
  <c r="H171" i="10" s="1"/>
  <c r="G132" i="10"/>
  <c r="G171" i="10" s="1"/>
  <c r="F132" i="10"/>
  <c r="E132" i="10"/>
  <c r="E171" i="10" s="1"/>
  <c r="D132" i="10"/>
  <c r="V131" i="10"/>
  <c r="V170" i="10" s="1"/>
  <c r="U131" i="10"/>
  <c r="T131" i="10"/>
  <c r="S131" i="10"/>
  <c r="S170" i="10" s="1"/>
  <c r="R131" i="10"/>
  <c r="Q131" i="10"/>
  <c r="P131" i="10"/>
  <c r="P170" i="10" s="1"/>
  <c r="O131" i="10"/>
  <c r="N131" i="10"/>
  <c r="N170" i="10" s="1"/>
  <c r="M131" i="10"/>
  <c r="L131" i="10"/>
  <c r="L170" i="10" s="1"/>
  <c r="K131" i="10"/>
  <c r="K170" i="10" s="1"/>
  <c r="J131" i="10"/>
  <c r="J170" i="10" s="1"/>
  <c r="I131" i="10"/>
  <c r="H131" i="10"/>
  <c r="H159" i="10" s="1"/>
  <c r="G131" i="10"/>
  <c r="F131" i="10"/>
  <c r="F170" i="10" s="1"/>
  <c r="E131" i="10"/>
  <c r="D131" i="10"/>
  <c r="V130" i="10"/>
  <c r="V169" i="10" s="1"/>
  <c r="U130" i="10"/>
  <c r="T130" i="10"/>
  <c r="S130" i="10"/>
  <c r="S169" i="10" s="1"/>
  <c r="R130" i="10"/>
  <c r="Q130" i="10"/>
  <c r="P130" i="10"/>
  <c r="O130" i="10"/>
  <c r="N130" i="10"/>
  <c r="N169" i="10" s="1"/>
  <c r="M130" i="10"/>
  <c r="M169" i="10" s="1"/>
  <c r="L130" i="10"/>
  <c r="K130" i="10"/>
  <c r="K169" i="10" s="1"/>
  <c r="J130" i="10"/>
  <c r="I130" i="10"/>
  <c r="I159" i="10" s="1"/>
  <c r="H130" i="10"/>
  <c r="G130" i="10"/>
  <c r="F130" i="10"/>
  <c r="F169" i="10" s="1"/>
  <c r="E130" i="10"/>
  <c r="D130" i="10"/>
  <c r="U119" i="10"/>
  <c r="M119" i="10"/>
  <c r="E119" i="10"/>
  <c r="P118" i="10"/>
  <c r="J118" i="10"/>
  <c r="H118" i="10"/>
  <c r="S117" i="10"/>
  <c r="K117" i="10"/>
  <c r="V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Q115" i="10"/>
  <c r="I115" i="10"/>
  <c r="T114" i="10"/>
  <c r="L114" i="10"/>
  <c r="D114" i="10"/>
  <c r="O113" i="10"/>
  <c r="I113" i="10"/>
  <c r="G113" i="10"/>
  <c r="R112" i="10"/>
  <c r="J112" i="10"/>
  <c r="U111" i="10"/>
  <c r="M111" i="10"/>
  <c r="E111" i="10"/>
  <c r="P110" i="10"/>
  <c r="H110" i="10"/>
  <c r="S109" i="10"/>
  <c r="K109" i="10"/>
  <c r="V108" i="10"/>
  <c r="N108" i="10"/>
  <c r="H108" i="10"/>
  <c r="F108" i="10"/>
  <c r="Q107" i="10"/>
  <c r="I107" i="10"/>
  <c r="T106" i="10"/>
  <c r="L106" i="10"/>
  <c r="D106" i="10"/>
  <c r="O105" i="10"/>
  <c r="G105" i="10"/>
  <c r="T104" i="10"/>
  <c r="R104" i="10"/>
  <c r="J104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L102" i="10"/>
  <c r="J102" i="10"/>
  <c r="H102" i="10"/>
  <c r="O101" i="10"/>
  <c r="M101" i="10"/>
  <c r="K101" i="10"/>
  <c r="R100" i="10"/>
  <c r="P100" i="10"/>
  <c r="N100" i="10"/>
  <c r="U99" i="10"/>
  <c r="S99" i="10"/>
  <c r="Q99" i="10"/>
  <c r="E99" i="10"/>
  <c r="V98" i="10"/>
  <c r="T98" i="10"/>
  <c r="H98" i="10"/>
  <c r="F98" i="10"/>
  <c r="D98" i="10"/>
  <c r="K97" i="10"/>
  <c r="I97" i="10"/>
  <c r="G97" i="10"/>
  <c r="N96" i="10"/>
  <c r="L96" i="10"/>
  <c r="J96" i="10"/>
  <c r="Q95" i="10"/>
  <c r="O95" i="10"/>
  <c r="M95" i="10"/>
  <c r="T94" i="10"/>
  <c r="R94" i="10"/>
  <c r="P94" i="10"/>
  <c r="D94" i="10"/>
  <c r="U93" i="10"/>
  <c r="S93" i="10"/>
  <c r="G93" i="10"/>
  <c r="E93" i="10"/>
  <c r="V92" i="10"/>
  <c r="J92" i="10"/>
  <c r="H92" i="10"/>
  <c r="F92" i="10"/>
  <c r="M91" i="10"/>
  <c r="K91" i="10"/>
  <c r="I91" i="10"/>
  <c r="L82" i="10"/>
  <c r="V81" i="10"/>
  <c r="V119" i="10" s="1"/>
  <c r="U81" i="10"/>
  <c r="T81" i="10"/>
  <c r="S81" i="10"/>
  <c r="S119" i="10" s="1"/>
  <c r="R81" i="10"/>
  <c r="Q81" i="10"/>
  <c r="Q119" i="10" s="1"/>
  <c r="P81" i="10"/>
  <c r="O81" i="10"/>
  <c r="O119" i="10" s="1"/>
  <c r="N81" i="10"/>
  <c r="N119" i="10" s="1"/>
  <c r="M81" i="10"/>
  <c r="L81" i="10"/>
  <c r="L119" i="10" s="1"/>
  <c r="K81" i="10"/>
  <c r="J81" i="10"/>
  <c r="J119" i="10" s="1"/>
  <c r="I81" i="10"/>
  <c r="H81" i="10"/>
  <c r="H119" i="10" s="1"/>
  <c r="G81" i="10"/>
  <c r="F81" i="10"/>
  <c r="F119" i="10" s="1"/>
  <c r="E81" i="10"/>
  <c r="D81" i="10"/>
  <c r="V80" i="10"/>
  <c r="V118" i="10" s="1"/>
  <c r="U80" i="10"/>
  <c r="T80" i="10"/>
  <c r="T118" i="10" s="1"/>
  <c r="S80" i="10"/>
  <c r="R80" i="10"/>
  <c r="R118" i="10" s="1"/>
  <c r="Q80" i="10"/>
  <c r="Q118" i="10" s="1"/>
  <c r="P80" i="10"/>
  <c r="O80" i="10"/>
  <c r="O118" i="10" s="1"/>
  <c r="N80" i="10"/>
  <c r="M80" i="10"/>
  <c r="M118" i="10" s="1"/>
  <c r="L80" i="10"/>
  <c r="K80" i="10"/>
  <c r="K118" i="10" s="1"/>
  <c r="J80" i="10"/>
  <c r="I80" i="10"/>
  <c r="I118" i="10" s="1"/>
  <c r="H80" i="10"/>
  <c r="G80" i="10"/>
  <c r="F80" i="10"/>
  <c r="F118" i="10" s="1"/>
  <c r="E80" i="10"/>
  <c r="D80" i="10"/>
  <c r="D118" i="10" s="1"/>
  <c r="V79" i="10"/>
  <c r="U79" i="10"/>
  <c r="U117" i="10" s="1"/>
  <c r="T79" i="10"/>
  <c r="T117" i="10" s="1"/>
  <c r="S79" i="10"/>
  <c r="R79" i="10"/>
  <c r="R117" i="10" s="1"/>
  <c r="Q79" i="10"/>
  <c r="P79" i="10"/>
  <c r="P117" i="10" s="1"/>
  <c r="O79" i="10"/>
  <c r="N79" i="10"/>
  <c r="N117" i="10" s="1"/>
  <c r="M79" i="10"/>
  <c r="L79" i="10"/>
  <c r="L117" i="10" s="1"/>
  <c r="K79" i="10"/>
  <c r="J79" i="10"/>
  <c r="I79" i="10"/>
  <c r="I117" i="10" s="1"/>
  <c r="H79" i="10"/>
  <c r="G79" i="10"/>
  <c r="G117" i="10" s="1"/>
  <c r="F79" i="10"/>
  <c r="E79" i="10"/>
  <c r="E117" i="10" s="1"/>
  <c r="D79" i="10"/>
  <c r="D117" i="10" s="1"/>
  <c r="V78" i="10"/>
  <c r="U78" i="10"/>
  <c r="U116" i="10" s="1"/>
  <c r="R78" i="10"/>
  <c r="V77" i="10"/>
  <c r="V115" i="10" s="1"/>
  <c r="U77" i="10"/>
  <c r="T77" i="10"/>
  <c r="T115" i="10" s="1"/>
  <c r="S77" i="10"/>
  <c r="R77" i="10"/>
  <c r="R115" i="10" s="1"/>
  <c r="Q77" i="10"/>
  <c r="P77" i="10"/>
  <c r="O77" i="10"/>
  <c r="O115" i="10" s="1"/>
  <c r="N77" i="10"/>
  <c r="M77" i="10"/>
  <c r="M115" i="10" s="1"/>
  <c r="L77" i="10"/>
  <c r="K77" i="10"/>
  <c r="J77" i="10"/>
  <c r="J115" i="10" s="1"/>
  <c r="I77" i="10"/>
  <c r="H77" i="10"/>
  <c r="H115" i="10" s="1"/>
  <c r="G77" i="10"/>
  <c r="F77" i="10"/>
  <c r="F115" i="10" s="1"/>
  <c r="E77" i="10"/>
  <c r="D77" i="10"/>
  <c r="D115" i="10" s="1"/>
  <c r="V76" i="10"/>
  <c r="U76" i="10"/>
  <c r="U114" i="10" s="1"/>
  <c r="T76" i="10"/>
  <c r="S76" i="10"/>
  <c r="R76" i="10"/>
  <c r="R114" i="10" s="1"/>
  <c r="Q76" i="10"/>
  <c r="P76" i="10"/>
  <c r="P114" i="10" s="1"/>
  <c r="O76" i="10"/>
  <c r="N76" i="10"/>
  <c r="M76" i="10"/>
  <c r="M114" i="10" s="1"/>
  <c r="L76" i="10"/>
  <c r="K76" i="10"/>
  <c r="K114" i="10" s="1"/>
  <c r="J76" i="10"/>
  <c r="I76" i="10"/>
  <c r="I114" i="10" s="1"/>
  <c r="H76" i="10"/>
  <c r="G76" i="10"/>
  <c r="G114" i="10" s="1"/>
  <c r="F76" i="10"/>
  <c r="E76" i="10"/>
  <c r="E114" i="10" s="1"/>
  <c r="D76" i="10"/>
  <c r="V75" i="10"/>
  <c r="U75" i="10"/>
  <c r="U113" i="10" s="1"/>
  <c r="T75" i="10"/>
  <c r="S75" i="10"/>
  <c r="S113" i="10" s="1"/>
  <c r="R75" i="10"/>
  <c r="Q75" i="10"/>
  <c r="P75" i="10"/>
  <c r="P113" i="10" s="1"/>
  <c r="O75" i="10"/>
  <c r="N75" i="10"/>
  <c r="N113" i="10" s="1"/>
  <c r="M75" i="10"/>
  <c r="L75" i="10"/>
  <c r="L113" i="10" s="1"/>
  <c r="K75" i="10"/>
  <c r="J75" i="10"/>
  <c r="J113" i="10" s="1"/>
  <c r="I75" i="10"/>
  <c r="H75" i="10"/>
  <c r="H113" i="10" s="1"/>
  <c r="G75" i="10"/>
  <c r="F75" i="10"/>
  <c r="E75" i="10"/>
  <c r="E113" i="10" s="1"/>
  <c r="D75" i="10"/>
  <c r="V74" i="10"/>
  <c r="V112" i="10" s="1"/>
  <c r="U74" i="10"/>
  <c r="T74" i="10"/>
  <c r="S74" i="10"/>
  <c r="S112" i="10" s="1"/>
  <c r="R74" i="10"/>
  <c r="Q74" i="10"/>
  <c r="Q112" i="10" s="1"/>
  <c r="P74" i="10"/>
  <c r="O74" i="10"/>
  <c r="O112" i="10" s="1"/>
  <c r="N74" i="10"/>
  <c r="M74" i="10"/>
  <c r="M112" i="10" s="1"/>
  <c r="L74" i="10"/>
  <c r="K74" i="10"/>
  <c r="K112" i="10" s="1"/>
  <c r="J74" i="10"/>
  <c r="I74" i="10"/>
  <c r="H74" i="10"/>
  <c r="H112" i="10" s="1"/>
  <c r="G74" i="10"/>
  <c r="F74" i="10"/>
  <c r="F112" i="10" s="1"/>
  <c r="E74" i="10"/>
  <c r="D74" i="10"/>
  <c r="V73" i="10"/>
  <c r="V111" i="10" s="1"/>
  <c r="U73" i="10"/>
  <c r="T73" i="10"/>
  <c r="T111" i="10" s="1"/>
  <c r="S73" i="10"/>
  <c r="R73" i="10"/>
  <c r="R111" i="10" s="1"/>
  <c r="Q73" i="10"/>
  <c r="P73" i="10"/>
  <c r="P111" i="10" s="1"/>
  <c r="O73" i="10"/>
  <c r="N73" i="10"/>
  <c r="N111" i="10" s="1"/>
  <c r="M73" i="10"/>
  <c r="L73" i="10"/>
  <c r="K73" i="10"/>
  <c r="K111" i="10" s="1"/>
  <c r="J73" i="10"/>
  <c r="I73" i="10"/>
  <c r="I111" i="10" s="1"/>
  <c r="H73" i="10"/>
  <c r="G73" i="10"/>
  <c r="F73" i="10"/>
  <c r="F111" i="10" s="1"/>
  <c r="E73" i="10"/>
  <c r="D73" i="10"/>
  <c r="D111" i="10" s="1"/>
  <c r="V72" i="10"/>
  <c r="U72" i="10"/>
  <c r="U110" i="10" s="1"/>
  <c r="T72" i="10"/>
  <c r="S72" i="10"/>
  <c r="S110" i="10" s="1"/>
  <c r="R72" i="10"/>
  <c r="Q72" i="10"/>
  <c r="P72" i="10"/>
  <c r="O72" i="10"/>
  <c r="N72" i="10"/>
  <c r="N110" i="10" s="1"/>
  <c r="M72" i="10"/>
  <c r="L72" i="10"/>
  <c r="L110" i="10" s="1"/>
  <c r="K72" i="10"/>
  <c r="J72" i="10"/>
  <c r="I72" i="10"/>
  <c r="I110" i="10" s="1"/>
  <c r="H72" i="10"/>
  <c r="G72" i="10"/>
  <c r="G110" i="10" s="1"/>
  <c r="F72" i="10"/>
  <c r="E72" i="10"/>
  <c r="E110" i="10" s="1"/>
  <c r="D72" i="10"/>
  <c r="V71" i="10"/>
  <c r="V109" i="10" s="1"/>
  <c r="U71" i="10"/>
  <c r="T71" i="10"/>
  <c r="S71" i="10"/>
  <c r="R71" i="10"/>
  <c r="Q71" i="10"/>
  <c r="Q109" i="10" s="1"/>
  <c r="P71" i="10"/>
  <c r="O71" i="10"/>
  <c r="O109" i="10" s="1"/>
  <c r="N71" i="10"/>
  <c r="M71" i="10"/>
  <c r="L71" i="10"/>
  <c r="L109" i="10" s="1"/>
  <c r="K71" i="10"/>
  <c r="J71" i="10"/>
  <c r="J109" i="10" s="1"/>
  <c r="I71" i="10"/>
  <c r="H71" i="10"/>
  <c r="H109" i="10" s="1"/>
  <c r="G71" i="10"/>
  <c r="F71" i="10"/>
  <c r="F109" i="10" s="1"/>
  <c r="E71" i="10"/>
  <c r="D71" i="10"/>
  <c r="V70" i="10"/>
  <c r="U70" i="10"/>
  <c r="T70" i="10"/>
  <c r="T108" i="10" s="1"/>
  <c r="S70" i="10"/>
  <c r="R70" i="10"/>
  <c r="R108" i="10" s="1"/>
  <c r="Q70" i="10"/>
  <c r="P70" i="10"/>
  <c r="O70" i="10"/>
  <c r="O108" i="10" s="1"/>
  <c r="N70" i="10"/>
  <c r="M70" i="10"/>
  <c r="M108" i="10" s="1"/>
  <c r="L70" i="10"/>
  <c r="K70" i="10"/>
  <c r="K108" i="10" s="1"/>
  <c r="J70" i="10"/>
  <c r="I70" i="10"/>
  <c r="I108" i="10" s="1"/>
  <c r="H70" i="10"/>
  <c r="G70" i="10"/>
  <c r="F70" i="10"/>
  <c r="E70" i="10"/>
  <c r="D70" i="10"/>
  <c r="D108" i="10" s="1"/>
  <c r="V69" i="10"/>
  <c r="U69" i="10"/>
  <c r="U107" i="10" s="1"/>
  <c r="T69" i="10"/>
  <c r="S69" i="10"/>
  <c r="R69" i="10"/>
  <c r="R107" i="10" s="1"/>
  <c r="Q69" i="10"/>
  <c r="P69" i="10"/>
  <c r="P107" i="10" s="1"/>
  <c r="O69" i="10"/>
  <c r="N69" i="10"/>
  <c r="N107" i="10" s="1"/>
  <c r="M69" i="10"/>
  <c r="L69" i="10"/>
  <c r="L107" i="10" s="1"/>
  <c r="K69" i="10"/>
  <c r="J69" i="10"/>
  <c r="I69" i="10"/>
  <c r="H69" i="10"/>
  <c r="G69" i="10"/>
  <c r="G107" i="10" s="1"/>
  <c r="F69" i="10"/>
  <c r="E69" i="10"/>
  <c r="E107" i="10" s="1"/>
  <c r="D69" i="10"/>
  <c r="V68" i="10"/>
  <c r="U68" i="10"/>
  <c r="U106" i="10" s="1"/>
  <c r="T68" i="10"/>
  <c r="S68" i="10"/>
  <c r="S106" i="10" s="1"/>
  <c r="R68" i="10"/>
  <c r="Q68" i="10"/>
  <c r="Q106" i="10" s="1"/>
  <c r="P68" i="10"/>
  <c r="O68" i="10"/>
  <c r="O106" i="10" s="1"/>
  <c r="N68" i="10"/>
  <c r="M68" i="10"/>
  <c r="L68" i="10"/>
  <c r="K68" i="10"/>
  <c r="J68" i="10"/>
  <c r="J106" i="10" s="1"/>
  <c r="I68" i="10"/>
  <c r="H68" i="10"/>
  <c r="H106" i="10" s="1"/>
  <c r="G68" i="10"/>
  <c r="F68" i="10"/>
  <c r="E68" i="10"/>
  <c r="E106" i="10" s="1"/>
  <c r="D68" i="10"/>
  <c r="V67" i="10"/>
  <c r="V105" i="10" s="1"/>
  <c r="U67" i="10"/>
  <c r="T67" i="10"/>
  <c r="T105" i="10" s="1"/>
  <c r="S67" i="10"/>
  <c r="R67" i="10"/>
  <c r="R105" i="10" s="1"/>
  <c r="Q67" i="10"/>
  <c r="P67" i="10"/>
  <c r="O67" i="10"/>
  <c r="N67" i="10"/>
  <c r="M67" i="10"/>
  <c r="M105" i="10" s="1"/>
  <c r="L67" i="10"/>
  <c r="K67" i="10"/>
  <c r="K105" i="10" s="1"/>
  <c r="J67" i="10"/>
  <c r="I67" i="10"/>
  <c r="H67" i="10"/>
  <c r="H105" i="10" s="1"/>
  <c r="G67" i="10"/>
  <c r="F67" i="10"/>
  <c r="F105" i="10" s="1"/>
  <c r="E67" i="10"/>
  <c r="D67" i="10"/>
  <c r="D105" i="10" s="1"/>
  <c r="V66" i="10"/>
  <c r="U66" i="10"/>
  <c r="U104" i="10" s="1"/>
  <c r="T66" i="10"/>
  <c r="S66" i="10"/>
  <c r="R66" i="10"/>
  <c r="Q66" i="10"/>
  <c r="P66" i="10"/>
  <c r="P104" i="10" s="1"/>
  <c r="O66" i="10"/>
  <c r="N66" i="10"/>
  <c r="N104" i="10" s="1"/>
  <c r="M66" i="10"/>
  <c r="L66" i="10"/>
  <c r="K66" i="10"/>
  <c r="K104" i="10" s="1"/>
  <c r="J66" i="10"/>
  <c r="I66" i="10"/>
  <c r="I104" i="10" s="1"/>
  <c r="H66" i="10"/>
  <c r="G66" i="10"/>
  <c r="G104" i="10" s="1"/>
  <c r="F66" i="10"/>
  <c r="E66" i="10"/>
  <c r="E104" i="10" s="1"/>
  <c r="D66" i="10"/>
  <c r="R65" i="10"/>
  <c r="V64" i="10"/>
  <c r="U64" i="10"/>
  <c r="T64" i="10"/>
  <c r="S64" i="10"/>
  <c r="R64" i="10"/>
  <c r="R102" i="10" s="1"/>
  <c r="Q64" i="10"/>
  <c r="P64" i="10"/>
  <c r="P102" i="10" s="1"/>
  <c r="O64" i="10"/>
  <c r="N64" i="10"/>
  <c r="N102" i="10" s="1"/>
  <c r="M64" i="10"/>
  <c r="M102" i="10" s="1"/>
  <c r="L64" i="10"/>
  <c r="K64" i="10"/>
  <c r="J64" i="10"/>
  <c r="I64" i="10"/>
  <c r="H64" i="10"/>
  <c r="G64" i="10"/>
  <c r="F64" i="10"/>
  <c r="E64" i="10"/>
  <c r="D64" i="10"/>
  <c r="V63" i="10"/>
  <c r="U63" i="10"/>
  <c r="U101" i="10" s="1"/>
  <c r="T63" i="10"/>
  <c r="S63" i="10"/>
  <c r="S101" i="10" s="1"/>
  <c r="R63" i="10"/>
  <c r="Q63" i="10"/>
  <c r="Q101" i="10" s="1"/>
  <c r="P63" i="10"/>
  <c r="P101" i="10" s="1"/>
  <c r="O63" i="10"/>
  <c r="N63" i="10"/>
  <c r="M63" i="10"/>
  <c r="L63" i="10"/>
  <c r="K63" i="10"/>
  <c r="J63" i="10"/>
  <c r="I63" i="10"/>
  <c r="H63" i="10"/>
  <c r="G63" i="10"/>
  <c r="F63" i="10"/>
  <c r="E63" i="10"/>
  <c r="E101" i="10" s="1"/>
  <c r="D63" i="10"/>
  <c r="V62" i="10"/>
  <c r="V100" i="10" s="1"/>
  <c r="U62" i="10"/>
  <c r="T62" i="10"/>
  <c r="T100" i="10" s="1"/>
  <c r="S62" i="10"/>
  <c r="S100" i="10" s="1"/>
  <c r="R62" i="10"/>
  <c r="Q62" i="10"/>
  <c r="P62" i="10"/>
  <c r="O62" i="10"/>
  <c r="N62" i="10"/>
  <c r="M62" i="10"/>
  <c r="L62" i="10"/>
  <c r="K62" i="10"/>
  <c r="J62" i="10"/>
  <c r="I62" i="10"/>
  <c r="H62" i="10"/>
  <c r="H100" i="10" s="1"/>
  <c r="G62" i="10"/>
  <c r="F62" i="10"/>
  <c r="F100" i="10" s="1"/>
  <c r="E62" i="10"/>
  <c r="D62" i="10"/>
  <c r="D100" i="10" s="1"/>
  <c r="V61" i="10"/>
  <c r="V99" i="10" s="1"/>
  <c r="U61" i="10"/>
  <c r="T61" i="10"/>
  <c r="S61" i="10"/>
  <c r="R61" i="10"/>
  <c r="Q61" i="10"/>
  <c r="P61" i="10"/>
  <c r="O61" i="10"/>
  <c r="N61" i="10"/>
  <c r="M61" i="10"/>
  <c r="L61" i="10"/>
  <c r="K61" i="10"/>
  <c r="K99" i="10" s="1"/>
  <c r="J61" i="10"/>
  <c r="I61" i="10"/>
  <c r="I99" i="10" s="1"/>
  <c r="H61" i="10"/>
  <c r="G61" i="10"/>
  <c r="G99" i="10" s="1"/>
  <c r="F61" i="10"/>
  <c r="F99" i="10" s="1"/>
  <c r="E61" i="10"/>
  <c r="D61" i="10"/>
  <c r="V60" i="10"/>
  <c r="U60" i="10"/>
  <c r="T60" i="10"/>
  <c r="S60" i="10"/>
  <c r="R60" i="10"/>
  <c r="Q60" i="10"/>
  <c r="P60" i="10"/>
  <c r="O60" i="10"/>
  <c r="N60" i="10"/>
  <c r="N98" i="10" s="1"/>
  <c r="M60" i="10"/>
  <c r="L60" i="10"/>
  <c r="L98" i="10" s="1"/>
  <c r="K60" i="10"/>
  <c r="J60" i="10"/>
  <c r="J98" i="10" s="1"/>
  <c r="I60" i="10"/>
  <c r="I98" i="10" s="1"/>
  <c r="H60" i="10"/>
  <c r="G60" i="10"/>
  <c r="F60" i="10"/>
  <c r="E60" i="10"/>
  <c r="D60" i="10"/>
  <c r="V59" i="10"/>
  <c r="U59" i="10"/>
  <c r="T59" i="10"/>
  <c r="S59" i="10"/>
  <c r="R59" i="10"/>
  <c r="Q59" i="10"/>
  <c r="Q97" i="10" s="1"/>
  <c r="P59" i="10"/>
  <c r="O59" i="10"/>
  <c r="O97" i="10" s="1"/>
  <c r="N59" i="10"/>
  <c r="M59" i="10"/>
  <c r="M97" i="10" s="1"/>
  <c r="L59" i="10"/>
  <c r="L97" i="10" s="1"/>
  <c r="K59" i="10"/>
  <c r="J59" i="10"/>
  <c r="I59" i="10"/>
  <c r="H59" i="10"/>
  <c r="G59" i="10"/>
  <c r="F59" i="10"/>
  <c r="E59" i="10"/>
  <c r="D59" i="10"/>
  <c r="V58" i="10"/>
  <c r="U58" i="10"/>
  <c r="T58" i="10"/>
  <c r="T96" i="10" s="1"/>
  <c r="S58" i="10"/>
  <c r="R58" i="10"/>
  <c r="R96" i="10" s="1"/>
  <c r="Q58" i="10"/>
  <c r="P58" i="10"/>
  <c r="P96" i="10" s="1"/>
  <c r="O58" i="10"/>
  <c r="O96" i="10" s="1"/>
  <c r="N58" i="10"/>
  <c r="M58" i="10"/>
  <c r="L58" i="10"/>
  <c r="K58" i="10"/>
  <c r="J58" i="10"/>
  <c r="I58" i="10"/>
  <c r="H58" i="10"/>
  <c r="G58" i="10"/>
  <c r="F58" i="10"/>
  <c r="E58" i="10"/>
  <c r="D58" i="10"/>
  <c r="D96" i="10" s="1"/>
  <c r="V57" i="10"/>
  <c r="U57" i="10"/>
  <c r="U95" i="10" s="1"/>
  <c r="T57" i="10"/>
  <c r="S57" i="10"/>
  <c r="S95" i="10" s="1"/>
  <c r="R57" i="10"/>
  <c r="R95" i="10" s="1"/>
  <c r="Q57" i="10"/>
  <c r="P57" i="10"/>
  <c r="O57" i="10"/>
  <c r="N57" i="10"/>
  <c r="M57" i="10"/>
  <c r="L57" i="10"/>
  <c r="K57" i="10"/>
  <c r="J57" i="10"/>
  <c r="I57" i="10"/>
  <c r="H57" i="10"/>
  <c r="G57" i="10"/>
  <c r="G95" i="10" s="1"/>
  <c r="F57" i="10"/>
  <c r="E57" i="10"/>
  <c r="E95" i="10" s="1"/>
  <c r="D57" i="10"/>
  <c r="V56" i="10"/>
  <c r="V94" i="10" s="1"/>
  <c r="U56" i="10"/>
  <c r="U94" i="10" s="1"/>
  <c r="T56" i="10"/>
  <c r="S56" i="10"/>
  <c r="R56" i="10"/>
  <c r="Q56" i="10"/>
  <c r="P56" i="10"/>
  <c r="O56" i="10"/>
  <c r="N56" i="10"/>
  <c r="M56" i="10"/>
  <c r="L56" i="10"/>
  <c r="K56" i="10"/>
  <c r="J56" i="10"/>
  <c r="J94" i="10" s="1"/>
  <c r="I56" i="10"/>
  <c r="H56" i="10"/>
  <c r="H94" i="10" s="1"/>
  <c r="G56" i="10"/>
  <c r="F56" i="10"/>
  <c r="F94" i="10" s="1"/>
  <c r="E56" i="10"/>
  <c r="E94" i="10" s="1"/>
  <c r="D56" i="10"/>
  <c r="V55" i="10"/>
  <c r="U55" i="10"/>
  <c r="T55" i="10"/>
  <c r="S55" i="10"/>
  <c r="R55" i="10"/>
  <c r="Q55" i="10"/>
  <c r="P55" i="10"/>
  <c r="O55" i="10"/>
  <c r="N55" i="10"/>
  <c r="M55" i="10"/>
  <c r="M93" i="10" s="1"/>
  <c r="L55" i="10"/>
  <c r="K55" i="10"/>
  <c r="K93" i="10" s="1"/>
  <c r="J55" i="10"/>
  <c r="I55" i="10"/>
  <c r="I93" i="10" s="1"/>
  <c r="H55" i="10"/>
  <c r="H93" i="10" s="1"/>
  <c r="G55" i="10"/>
  <c r="F55" i="10"/>
  <c r="E55" i="10"/>
  <c r="D55" i="10"/>
  <c r="V54" i="10"/>
  <c r="U54" i="10"/>
  <c r="T54" i="10"/>
  <c r="S54" i="10"/>
  <c r="R54" i="10"/>
  <c r="Q54" i="10"/>
  <c r="P54" i="10"/>
  <c r="P92" i="10" s="1"/>
  <c r="O54" i="10"/>
  <c r="N54" i="10"/>
  <c r="N92" i="10" s="1"/>
  <c r="M54" i="10"/>
  <c r="L54" i="10"/>
  <c r="L92" i="10" s="1"/>
  <c r="K54" i="10"/>
  <c r="K92" i="10" s="1"/>
  <c r="J54" i="10"/>
  <c r="I54" i="10"/>
  <c r="H54" i="10"/>
  <c r="G54" i="10"/>
  <c r="F54" i="10"/>
  <c r="E54" i="10"/>
  <c r="D54" i="10"/>
  <c r="V53" i="10"/>
  <c r="U53" i="10"/>
  <c r="T53" i="10"/>
  <c r="S53" i="10"/>
  <c r="R53" i="10"/>
  <c r="Q53" i="10"/>
  <c r="P53" i="10"/>
  <c r="O53" i="10"/>
  <c r="O91" i="10" s="1"/>
  <c r="N53" i="10"/>
  <c r="N91" i="10" s="1"/>
  <c r="M53" i="10"/>
  <c r="L53" i="10"/>
  <c r="K53" i="10"/>
  <c r="K82" i="10" s="1"/>
  <c r="J53" i="10"/>
  <c r="I53" i="10"/>
  <c r="I82" i="10" s="1"/>
  <c r="H53" i="10"/>
  <c r="G53" i="10"/>
  <c r="F53" i="10"/>
  <c r="E53" i="10"/>
  <c r="D53" i="10"/>
  <c r="V42" i="10"/>
  <c r="U42" i="10"/>
  <c r="U274" i="10" s="1"/>
  <c r="T42" i="10"/>
  <c r="T119" i="10" s="1"/>
  <c r="S42" i="10"/>
  <c r="S197" i="10" s="1"/>
  <c r="R42" i="10"/>
  <c r="R119" i="10" s="1"/>
  <c r="Q42" i="10"/>
  <c r="Q274" i="10" s="1"/>
  <c r="P42" i="10"/>
  <c r="P119" i="10" s="1"/>
  <c r="O42" i="10"/>
  <c r="O197" i="10" s="1"/>
  <c r="N42" i="10"/>
  <c r="M42" i="10"/>
  <c r="M274" i="10" s="1"/>
  <c r="L42" i="10"/>
  <c r="L274" i="10" s="1"/>
  <c r="K42" i="10"/>
  <c r="K274" i="10" s="1"/>
  <c r="J42" i="10"/>
  <c r="J274" i="10" s="1"/>
  <c r="I42" i="10"/>
  <c r="I274" i="10" s="1"/>
  <c r="H42" i="10"/>
  <c r="H274" i="10" s="1"/>
  <c r="G42" i="10"/>
  <c r="G119" i="10" s="1"/>
  <c r="F42" i="10"/>
  <c r="E42" i="10"/>
  <c r="E197" i="10" s="1"/>
  <c r="D42" i="10"/>
  <c r="D119" i="10" s="1"/>
  <c r="V41" i="10"/>
  <c r="U41" i="10"/>
  <c r="U118" i="10" s="1"/>
  <c r="T41" i="10"/>
  <c r="T273" i="10" s="1"/>
  <c r="S41" i="10"/>
  <c r="S273" i="10" s="1"/>
  <c r="R41" i="10"/>
  <c r="R196" i="10" s="1"/>
  <c r="Q41" i="10"/>
  <c r="Q273" i="10" s="1"/>
  <c r="P41" i="10"/>
  <c r="P273" i="10" s="1"/>
  <c r="O41" i="10"/>
  <c r="O273" i="10" s="1"/>
  <c r="N41" i="10"/>
  <c r="M41" i="10"/>
  <c r="M273" i="10" s="1"/>
  <c r="L41" i="10"/>
  <c r="L118" i="10" s="1"/>
  <c r="K41" i="10"/>
  <c r="J41" i="10"/>
  <c r="I41" i="10"/>
  <c r="H41" i="10"/>
  <c r="H196" i="10" s="1"/>
  <c r="G41" i="10"/>
  <c r="G118" i="10" s="1"/>
  <c r="F41" i="10"/>
  <c r="F196" i="10" s="1"/>
  <c r="E41" i="10"/>
  <c r="E118" i="10" s="1"/>
  <c r="D41" i="10"/>
  <c r="D196" i="10" s="1"/>
  <c r="V40" i="10"/>
  <c r="V272" i="10" s="1"/>
  <c r="U40" i="10"/>
  <c r="U195" i="10" s="1"/>
  <c r="T40" i="10"/>
  <c r="T272" i="10" s="1"/>
  <c r="S40" i="10"/>
  <c r="S272" i="10" s="1"/>
  <c r="R40" i="10"/>
  <c r="R272" i="10" s="1"/>
  <c r="Q40" i="10"/>
  <c r="P40" i="10"/>
  <c r="P272" i="10" s="1"/>
  <c r="O40" i="10"/>
  <c r="O117" i="10" s="1"/>
  <c r="N40" i="10"/>
  <c r="N272" i="10" s="1"/>
  <c r="M40" i="10"/>
  <c r="M117" i="10" s="1"/>
  <c r="L40" i="10"/>
  <c r="K40" i="10"/>
  <c r="J40" i="10"/>
  <c r="J117" i="10" s="1"/>
  <c r="I40" i="10"/>
  <c r="I195" i="10" s="1"/>
  <c r="H40" i="10"/>
  <c r="H117" i="10" s="1"/>
  <c r="G40" i="10"/>
  <c r="G195" i="10" s="1"/>
  <c r="F40" i="10"/>
  <c r="F117" i="10" s="1"/>
  <c r="E40" i="10"/>
  <c r="E195" i="10" s="1"/>
  <c r="D40" i="10"/>
  <c r="V39" i="10"/>
  <c r="U39" i="10"/>
  <c r="U271" i="10" s="1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V38" i="10"/>
  <c r="V270" i="10" s="1"/>
  <c r="U38" i="10"/>
  <c r="U115" i="10" s="1"/>
  <c r="T38" i="10"/>
  <c r="T270" i="10" s="1"/>
  <c r="S38" i="10"/>
  <c r="S115" i="10" s="1"/>
  <c r="R38" i="10"/>
  <c r="Q38" i="10"/>
  <c r="P38" i="10"/>
  <c r="P115" i="10" s="1"/>
  <c r="O38" i="10"/>
  <c r="O193" i="10" s="1"/>
  <c r="N38" i="10"/>
  <c r="N115" i="10" s="1"/>
  <c r="M38" i="10"/>
  <c r="M270" i="10" s="1"/>
  <c r="L38" i="10"/>
  <c r="L193" i="10" s="1"/>
  <c r="K38" i="10"/>
  <c r="J38" i="10"/>
  <c r="J193" i="10" s="1"/>
  <c r="I38" i="10"/>
  <c r="I270" i="10" s="1"/>
  <c r="H38" i="10"/>
  <c r="H270" i="10" s="1"/>
  <c r="G38" i="10"/>
  <c r="F38" i="10"/>
  <c r="F270" i="10" s="1"/>
  <c r="E38" i="10"/>
  <c r="E115" i="10" s="1"/>
  <c r="D38" i="10"/>
  <c r="V37" i="10"/>
  <c r="V114" i="10" s="1"/>
  <c r="U37" i="10"/>
  <c r="T37" i="10"/>
  <c r="S37" i="10"/>
  <c r="S114" i="10" s="1"/>
  <c r="R37" i="10"/>
  <c r="R192" i="10" s="1"/>
  <c r="Q37" i="10"/>
  <c r="Q114" i="10" s="1"/>
  <c r="P37" i="10"/>
  <c r="O37" i="10"/>
  <c r="O269" i="10" s="1"/>
  <c r="N37" i="10"/>
  <c r="M37" i="10"/>
  <c r="M269" i="10" s="1"/>
  <c r="L37" i="10"/>
  <c r="L269" i="10" s="1"/>
  <c r="K37" i="10"/>
  <c r="K269" i="10" s="1"/>
  <c r="J37" i="10"/>
  <c r="I37" i="10"/>
  <c r="I269" i="10" s="1"/>
  <c r="H37" i="10"/>
  <c r="H114" i="10" s="1"/>
  <c r="G37" i="10"/>
  <c r="G269" i="10" s="1"/>
  <c r="F37" i="10"/>
  <c r="F114" i="10" s="1"/>
  <c r="E37" i="10"/>
  <c r="D37" i="10"/>
  <c r="V36" i="10"/>
  <c r="V113" i="10" s="1"/>
  <c r="U36" i="10"/>
  <c r="U191" i="10" s="1"/>
  <c r="T36" i="10"/>
  <c r="T113" i="10" s="1"/>
  <c r="S36" i="10"/>
  <c r="S268" i="10" s="1"/>
  <c r="R36" i="10"/>
  <c r="R191" i="10" s="1"/>
  <c r="Q36" i="10"/>
  <c r="Q268" i="10" s="1"/>
  <c r="P36" i="10"/>
  <c r="P191" i="10" s="1"/>
  <c r="O36" i="10"/>
  <c r="N36" i="10"/>
  <c r="N268" i="10" s="1"/>
  <c r="M36" i="10"/>
  <c r="L36" i="10"/>
  <c r="L268" i="10" s="1"/>
  <c r="K36" i="10"/>
  <c r="K113" i="10" s="1"/>
  <c r="J36" i="10"/>
  <c r="J268" i="10" s="1"/>
  <c r="I36" i="10"/>
  <c r="H36" i="10"/>
  <c r="G36" i="10"/>
  <c r="G268" i="10" s="1"/>
  <c r="F36" i="10"/>
  <c r="F113" i="10" s="1"/>
  <c r="E36" i="10"/>
  <c r="E191" i="10" s="1"/>
  <c r="D36" i="10"/>
  <c r="D113" i="10" s="1"/>
  <c r="V35" i="10"/>
  <c r="V267" i="10" s="1"/>
  <c r="U35" i="10"/>
  <c r="U190" i="10" s="1"/>
  <c r="T35" i="10"/>
  <c r="S35" i="10"/>
  <c r="S190" i="10" s="1"/>
  <c r="R35" i="10"/>
  <c r="Q35" i="10"/>
  <c r="P35" i="10"/>
  <c r="O35" i="10"/>
  <c r="N35" i="10"/>
  <c r="N112" i="10" s="1"/>
  <c r="M35" i="10"/>
  <c r="L35" i="10"/>
  <c r="L112" i="10" s="1"/>
  <c r="K35" i="10"/>
  <c r="J35" i="10"/>
  <c r="J267" i="10" s="1"/>
  <c r="I35" i="10"/>
  <c r="I112" i="10" s="1"/>
  <c r="H35" i="10"/>
  <c r="H190" i="10" s="1"/>
  <c r="G35" i="10"/>
  <c r="G112" i="10" s="1"/>
  <c r="F35" i="10"/>
  <c r="F267" i="10" s="1"/>
  <c r="E35" i="10"/>
  <c r="E190" i="10" s="1"/>
  <c r="D35" i="10"/>
  <c r="V34" i="10"/>
  <c r="V189" i="10" s="1"/>
  <c r="U34" i="10"/>
  <c r="T34" i="10"/>
  <c r="S34" i="10"/>
  <c r="R34" i="10"/>
  <c r="Q34" i="10"/>
  <c r="Q111" i="10" s="1"/>
  <c r="P34" i="10"/>
  <c r="O34" i="10"/>
  <c r="O111" i="10" s="1"/>
  <c r="N34" i="10"/>
  <c r="M34" i="10"/>
  <c r="L34" i="10"/>
  <c r="L111" i="10" s="1"/>
  <c r="K34" i="10"/>
  <c r="K189" i="10" s="1"/>
  <c r="J34" i="10"/>
  <c r="J111" i="10" s="1"/>
  <c r="I34" i="10"/>
  <c r="I266" i="10" s="1"/>
  <c r="H34" i="10"/>
  <c r="H266" i="10" s="1"/>
  <c r="G34" i="10"/>
  <c r="F34" i="10"/>
  <c r="F266" i="10" s="1"/>
  <c r="E34" i="10"/>
  <c r="E266" i="10" s="1"/>
  <c r="D34" i="10"/>
  <c r="D266" i="10" s="1"/>
  <c r="V33" i="10"/>
  <c r="U33" i="10"/>
  <c r="U265" i="10" s="1"/>
  <c r="T33" i="10"/>
  <c r="T110" i="10" s="1"/>
  <c r="S33" i="10"/>
  <c r="S265" i="10" s="1"/>
  <c r="R33" i="10"/>
  <c r="R110" i="10" s="1"/>
  <c r="Q33" i="10"/>
  <c r="Q188" i="10" s="1"/>
  <c r="P33" i="10"/>
  <c r="O33" i="10"/>
  <c r="O110" i="10" s="1"/>
  <c r="N33" i="10"/>
  <c r="N188" i="10" s="1"/>
  <c r="M33" i="10"/>
  <c r="M110" i="10" s="1"/>
  <c r="L33" i="10"/>
  <c r="K33" i="10"/>
  <c r="K265" i="10" s="1"/>
  <c r="J33" i="10"/>
  <c r="I33" i="10"/>
  <c r="I265" i="10" s="1"/>
  <c r="H33" i="10"/>
  <c r="H265" i="10" s="1"/>
  <c r="G33" i="10"/>
  <c r="F33" i="10"/>
  <c r="E33" i="10"/>
  <c r="E265" i="10" s="1"/>
  <c r="D33" i="10"/>
  <c r="D110" i="10" s="1"/>
  <c r="V32" i="10"/>
  <c r="V264" i="10" s="1"/>
  <c r="U32" i="10"/>
  <c r="U109" i="10" s="1"/>
  <c r="T32" i="10"/>
  <c r="T187" i="10" s="1"/>
  <c r="S32" i="10"/>
  <c r="R32" i="10"/>
  <c r="R109" i="10" s="1"/>
  <c r="Q32" i="10"/>
  <c r="Q187" i="10" s="1"/>
  <c r="P32" i="10"/>
  <c r="P109" i="10" s="1"/>
  <c r="O32" i="10"/>
  <c r="O264" i="10" s="1"/>
  <c r="N32" i="10"/>
  <c r="N187" i="10" s="1"/>
  <c r="M32" i="10"/>
  <c r="L32" i="10"/>
  <c r="L187" i="10" s="1"/>
  <c r="K32" i="10"/>
  <c r="K264" i="10" s="1"/>
  <c r="J32" i="10"/>
  <c r="I32" i="10"/>
  <c r="H32" i="10"/>
  <c r="H264" i="10" s="1"/>
  <c r="G32" i="10"/>
  <c r="G109" i="10" s="1"/>
  <c r="F32" i="10"/>
  <c r="F264" i="10" s="1"/>
  <c r="E32" i="10"/>
  <c r="E109" i="10" s="1"/>
  <c r="D32" i="10"/>
  <c r="V31" i="10"/>
  <c r="V263" i="10" s="1"/>
  <c r="U31" i="10"/>
  <c r="U108" i="10" s="1"/>
  <c r="T31" i="10"/>
  <c r="T186" i="10" s="1"/>
  <c r="S31" i="10"/>
  <c r="S108" i="10" s="1"/>
  <c r="R31" i="10"/>
  <c r="R263" i="10" s="1"/>
  <c r="Q31" i="10"/>
  <c r="Q186" i="10" s="1"/>
  <c r="P31" i="10"/>
  <c r="O31" i="10"/>
  <c r="O186" i="10" s="1"/>
  <c r="N31" i="10"/>
  <c r="M31" i="10"/>
  <c r="L31" i="10"/>
  <c r="L263" i="10" s="1"/>
  <c r="K31" i="10"/>
  <c r="K263" i="10" s="1"/>
  <c r="J31" i="10"/>
  <c r="J108" i="10" s="1"/>
  <c r="I31" i="10"/>
  <c r="I263" i="10" s="1"/>
  <c r="H31" i="10"/>
  <c r="G31" i="10"/>
  <c r="G186" i="10" s="1"/>
  <c r="F31" i="10"/>
  <c r="F263" i="10" s="1"/>
  <c r="E31" i="10"/>
  <c r="E108" i="10" s="1"/>
  <c r="D31" i="10"/>
  <c r="D186" i="10" s="1"/>
  <c r="V30" i="10"/>
  <c r="V107" i="10" s="1"/>
  <c r="U30" i="10"/>
  <c r="U262" i="10" s="1"/>
  <c r="T30" i="10"/>
  <c r="T185" i="10" s="1"/>
  <c r="S30" i="10"/>
  <c r="R30" i="10"/>
  <c r="R185" i="10" s="1"/>
  <c r="Q30" i="10"/>
  <c r="P30" i="10"/>
  <c r="P262" i="10" s="1"/>
  <c r="O30" i="10"/>
  <c r="N30" i="10"/>
  <c r="M30" i="10"/>
  <c r="M107" i="10" s="1"/>
  <c r="L30" i="10"/>
  <c r="K30" i="10"/>
  <c r="K107" i="10" s="1"/>
  <c r="J30" i="10"/>
  <c r="J185" i="10" s="1"/>
  <c r="I30" i="10"/>
  <c r="I262" i="10" s="1"/>
  <c r="H30" i="10"/>
  <c r="H107" i="10" s="1"/>
  <c r="G30" i="10"/>
  <c r="G185" i="10" s="1"/>
  <c r="F30" i="10"/>
  <c r="F107" i="10" s="1"/>
  <c r="E30" i="10"/>
  <c r="E262" i="10" s="1"/>
  <c r="D30" i="10"/>
  <c r="D185" i="10" s="1"/>
  <c r="V29" i="10"/>
  <c r="U29" i="10"/>
  <c r="U184" i="10" s="1"/>
  <c r="T29" i="10"/>
  <c r="T261" i="10" s="1"/>
  <c r="S29" i="10"/>
  <c r="R29" i="10"/>
  <c r="Q29" i="10"/>
  <c r="Q261" i="10" s="1"/>
  <c r="P29" i="10"/>
  <c r="P106" i="10" s="1"/>
  <c r="O29" i="10"/>
  <c r="N29" i="10"/>
  <c r="N106" i="10" s="1"/>
  <c r="M29" i="10"/>
  <c r="M184" i="10" s="1"/>
  <c r="L29" i="10"/>
  <c r="K29" i="10"/>
  <c r="K106" i="10" s="1"/>
  <c r="J29" i="10"/>
  <c r="J184" i="10" s="1"/>
  <c r="I29" i="10"/>
  <c r="I106" i="10" s="1"/>
  <c r="H29" i="10"/>
  <c r="H261" i="10" s="1"/>
  <c r="G29" i="10"/>
  <c r="G261" i="10" s="1"/>
  <c r="F29" i="10"/>
  <c r="E29" i="10"/>
  <c r="E261" i="10" s="1"/>
  <c r="D29" i="10"/>
  <c r="V28" i="10"/>
  <c r="V260" i="10" s="1"/>
  <c r="U28" i="10"/>
  <c r="T28" i="10"/>
  <c r="T260" i="10" s="1"/>
  <c r="S28" i="10"/>
  <c r="S105" i="10" s="1"/>
  <c r="R28" i="10"/>
  <c r="R260" i="10" s="1"/>
  <c r="Q28" i="10"/>
  <c r="Q105" i="10" s="1"/>
  <c r="P28" i="10"/>
  <c r="O28" i="10"/>
  <c r="N28" i="10"/>
  <c r="N105" i="10" s="1"/>
  <c r="M28" i="10"/>
  <c r="M183" i="10" s="1"/>
  <c r="L28" i="10"/>
  <c r="L105" i="10" s="1"/>
  <c r="K28" i="10"/>
  <c r="J28" i="10"/>
  <c r="J183" i="10" s="1"/>
  <c r="I28" i="10"/>
  <c r="I260" i="10" s="1"/>
  <c r="H28" i="10"/>
  <c r="H183" i="10" s="1"/>
  <c r="G28" i="10"/>
  <c r="F28" i="10"/>
  <c r="F260" i="10" s="1"/>
  <c r="E28" i="10"/>
  <c r="D28" i="10"/>
  <c r="D260" i="10" s="1"/>
  <c r="V27" i="10"/>
  <c r="V104" i="10" s="1"/>
  <c r="U27" i="10"/>
  <c r="U259" i="10" s="1"/>
  <c r="T27" i="10"/>
  <c r="S27" i="10"/>
  <c r="S182" i="10" s="1"/>
  <c r="R27" i="10"/>
  <c r="R259" i="10" s="1"/>
  <c r="Q27" i="10"/>
  <c r="Q104" i="10" s="1"/>
  <c r="P27" i="10"/>
  <c r="P182" i="10" s="1"/>
  <c r="O27" i="10"/>
  <c r="O104" i="10" s="1"/>
  <c r="N27" i="10"/>
  <c r="N259" i="10" s="1"/>
  <c r="M27" i="10"/>
  <c r="M182" i="10" s="1"/>
  <c r="L27" i="10"/>
  <c r="K27" i="10"/>
  <c r="K182" i="10" s="1"/>
  <c r="J27" i="10"/>
  <c r="I27" i="10"/>
  <c r="H27" i="10"/>
  <c r="G27" i="10"/>
  <c r="G259" i="10" s="1"/>
  <c r="F27" i="10"/>
  <c r="F104" i="10" s="1"/>
  <c r="E27" i="10"/>
  <c r="E259" i="10" s="1"/>
  <c r="D27" i="10"/>
  <c r="D104" i="10" s="1"/>
  <c r="V25" i="10"/>
  <c r="V102" i="10" s="1"/>
  <c r="U25" i="10"/>
  <c r="U102" i="10" s="1"/>
  <c r="T25" i="10"/>
  <c r="T180" i="10" s="1"/>
  <c r="S25" i="10"/>
  <c r="S180" i="10" s="1"/>
  <c r="R25" i="10"/>
  <c r="Q25" i="10"/>
  <c r="Q180" i="10" s="1"/>
  <c r="P25" i="10"/>
  <c r="P257" i="10" s="1"/>
  <c r="O25" i="10"/>
  <c r="N25" i="10"/>
  <c r="M25" i="10"/>
  <c r="L25" i="10"/>
  <c r="L257" i="10" s="1"/>
  <c r="K25" i="10"/>
  <c r="J25" i="10"/>
  <c r="I25" i="10"/>
  <c r="I180" i="10" s="1"/>
  <c r="H25" i="10"/>
  <c r="H257" i="10" s="1"/>
  <c r="G25" i="10"/>
  <c r="G102" i="10" s="1"/>
  <c r="F25" i="10"/>
  <c r="F102" i="10" s="1"/>
  <c r="E25" i="10"/>
  <c r="E102" i="10" s="1"/>
  <c r="D25" i="10"/>
  <c r="D180" i="10" s="1"/>
  <c r="V24" i="10"/>
  <c r="V179" i="10" s="1"/>
  <c r="U24" i="10"/>
  <c r="U256" i="10" s="1"/>
  <c r="T24" i="10"/>
  <c r="T179" i="10" s="1"/>
  <c r="S24" i="10"/>
  <c r="S256" i="10" s="1"/>
  <c r="R24" i="10"/>
  <c r="R179" i="10" s="1"/>
  <c r="Q24" i="10"/>
  <c r="Q256" i="10" s="1"/>
  <c r="P24" i="10"/>
  <c r="O24" i="10"/>
  <c r="N24" i="10"/>
  <c r="M24" i="10"/>
  <c r="L24" i="10"/>
  <c r="L179" i="10" s="1"/>
  <c r="K24" i="10"/>
  <c r="J24" i="10"/>
  <c r="J101" i="10" s="1"/>
  <c r="I24" i="10"/>
  <c r="I101" i="10" s="1"/>
  <c r="H24" i="10"/>
  <c r="H101" i="10" s="1"/>
  <c r="G24" i="10"/>
  <c r="G179" i="10" s="1"/>
  <c r="F24" i="10"/>
  <c r="F179" i="10" s="1"/>
  <c r="E24" i="10"/>
  <c r="D24" i="10"/>
  <c r="D256" i="10" s="1"/>
  <c r="V23" i="10"/>
  <c r="V255" i="10" s="1"/>
  <c r="U23" i="10"/>
  <c r="U178" i="10" s="1"/>
  <c r="T23" i="10"/>
  <c r="S23" i="10"/>
  <c r="R23" i="10"/>
  <c r="Q23" i="10"/>
  <c r="P23" i="10"/>
  <c r="O23" i="10"/>
  <c r="O178" i="10" s="1"/>
  <c r="N23" i="10"/>
  <c r="M23" i="10"/>
  <c r="M100" i="10" s="1"/>
  <c r="L23" i="10"/>
  <c r="L100" i="10" s="1"/>
  <c r="K23" i="10"/>
  <c r="K100" i="10" s="1"/>
  <c r="J23" i="10"/>
  <c r="J178" i="10" s="1"/>
  <c r="I23" i="10"/>
  <c r="I178" i="10" s="1"/>
  <c r="H23" i="10"/>
  <c r="G23" i="10"/>
  <c r="G255" i="10" s="1"/>
  <c r="F23" i="10"/>
  <c r="F255" i="10" s="1"/>
  <c r="E23" i="10"/>
  <c r="E178" i="10" s="1"/>
  <c r="D23" i="10"/>
  <c r="V22" i="10"/>
  <c r="V254" i="10" s="1"/>
  <c r="U22" i="10"/>
  <c r="U254" i="10" s="1"/>
  <c r="T22" i="10"/>
  <c r="S22" i="10"/>
  <c r="R22" i="10"/>
  <c r="R177" i="10" s="1"/>
  <c r="Q22" i="10"/>
  <c r="Q254" i="10" s="1"/>
  <c r="P22" i="10"/>
  <c r="P99" i="10" s="1"/>
  <c r="O22" i="10"/>
  <c r="O99" i="10" s="1"/>
  <c r="N22" i="10"/>
  <c r="N99" i="10" s="1"/>
  <c r="M22" i="10"/>
  <c r="M177" i="10" s="1"/>
  <c r="L22" i="10"/>
  <c r="L177" i="10" s="1"/>
  <c r="K22" i="10"/>
  <c r="J22" i="10"/>
  <c r="J177" i="10" s="1"/>
  <c r="I22" i="10"/>
  <c r="I254" i="10" s="1"/>
  <c r="H22" i="10"/>
  <c r="H177" i="10" s="1"/>
  <c r="G22" i="10"/>
  <c r="G254" i="10" s="1"/>
  <c r="F22" i="10"/>
  <c r="F254" i="10" s="1"/>
  <c r="E22" i="10"/>
  <c r="D22" i="10"/>
  <c r="V21" i="10"/>
  <c r="U21" i="10"/>
  <c r="T21" i="10"/>
  <c r="T253" i="10" s="1"/>
  <c r="S21" i="10"/>
  <c r="S98" i="10" s="1"/>
  <c r="R21" i="10"/>
  <c r="R98" i="10" s="1"/>
  <c r="Q21" i="10"/>
  <c r="Q98" i="10" s="1"/>
  <c r="P21" i="10"/>
  <c r="P176" i="10" s="1"/>
  <c r="O21" i="10"/>
  <c r="O176" i="10" s="1"/>
  <c r="N21" i="10"/>
  <c r="N253" i="10" s="1"/>
  <c r="M21" i="10"/>
  <c r="M176" i="10" s="1"/>
  <c r="L21" i="10"/>
  <c r="K21" i="10"/>
  <c r="K176" i="10" s="1"/>
  <c r="J21" i="10"/>
  <c r="I21" i="10"/>
  <c r="I253" i="10" s="1"/>
  <c r="H21" i="10"/>
  <c r="G21" i="10"/>
  <c r="F21" i="10"/>
  <c r="E21" i="10"/>
  <c r="D21" i="10"/>
  <c r="D253" i="10" s="1"/>
  <c r="V20" i="10"/>
  <c r="V97" i="10" s="1"/>
  <c r="U20" i="10"/>
  <c r="U97" i="10" s="1"/>
  <c r="T20" i="10"/>
  <c r="T97" i="10" s="1"/>
  <c r="S20" i="10"/>
  <c r="S175" i="10" s="1"/>
  <c r="R20" i="10"/>
  <c r="R175" i="10" s="1"/>
  <c r="Q20" i="10"/>
  <c r="P20" i="10"/>
  <c r="P175" i="10" s="1"/>
  <c r="O20" i="10"/>
  <c r="O252" i="10" s="1"/>
  <c r="N20" i="10"/>
  <c r="N175" i="10" s="1"/>
  <c r="M20" i="10"/>
  <c r="L20" i="10"/>
  <c r="K20" i="10"/>
  <c r="J20" i="10"/>
  <c r="J252" i="10" s="1"/>
  <c r="I20" i="10"/>
  <c r="H20" i="10"/>
  <c r="G20" i="10"/>
  <c r="G252" i="10" s="1"/>
  <c r="F20" i="10"/>
  <c r="F97" i="10" s="1"/>
  <c r="E20" i="10"/>
  <c r="E97" i="10" s="1"/>
  <c r="D20" i="10"/>
  <c r="D97" i="10" s="1"/>
  <c r="V19" i="10"/>
  <c r="V174" i="10" s="1"/>
  <c r="U19" i="10"/>
  <c r="U174" i="10" s="1"/>
  <c r="T19" i="10"/>
  <c r="S19" i="10"/>
  <c r="S174" i="10" s="1"/>
  <c r="R19" i="10"/>
  <c r="R251" i="10" s="1"/>
  <c r="Q19" i="10"/>
  <c r="Q174" i="10" s="1"/>
  <c r="P19" i="10"/>
  <c r="O19" i="10"/>
  <c r="N19" i="10"/>
  <c r="N251" i="10" s="1"/>
  <c r="M19" i="10"/>
  <c r="L19" i="10"/>
  <c r="K19" i="10"/>
  <c r="K174" i="10" s="1"/>
  <c r="J19" i="10"/>
  <c r="I19" i="10"/>
  <c r="I96" i="10" s="1"/>
  <c r="H19" i="10"/>
  <c r="H96" i="10" s="1"/>
  <c r="G19" i="10"/>
  <c r="G96" i="10" s="1"/>
  <c r="F19" i="10"/>
  <c r="F174" i="10" s="1"/>
  <c r="E19" i="10"/>
  <c r="E174" i="10" s="1"/>
  <c r="D19" i="10"/>
  <c r="D251" i="10" s="1"/>
  <c r="V18" i="10"/>
  <c r="V250" i="10" s="1"/>
  <c r="U18" i="10"/>
  <c r="U250" i="10" s="1"/>
  <c r="T18" i="10"/>
  <c r="T173" i="10" s="1"/>
  <c r="S18" i="10"/>
  <c r="S250" i="10" s="1"/>
  <c r="R18" i="10"/>
  <c r="R250" i="10" s="1"/>
  <c r="Q18" i="10"/>
  <c r="P18" i="10"/>
  <c r="O18" i="10"/>
  <c r="N18" i="10"/>
  <c r="N173" i="10" s="1"/>
  <c r="M18" i="10"/>
  <c r="M250" i="10" s="1"/>
  <c r="L18" i="10"/>
  <c r="L95" i="10" s="1"/>
  <c r="K18" i="10"/>
  <c r="K95" i="10" s="1"/>
  <c r="J18" i="10"/>
  <c r="J95" i="10" s="1"/>
  <c r="I18" i="10"/>
  <c r="I173" i="10" s="1"/>
  <c r="H18" i="10"/>
  <c r="H173" i="10" s="1"/>
  <c r="G18" i="10"/>
  <c r="F18" i="10"/>
  <c r="F250" i="10" s="1"/>
  <c r="E18" i="10"/>
  <c r="E250" i="10" s="1"/>
  <c r="D18" i="10"/>
  <c r="D173" i="10" s="1"/>
  <c r="V17" i="10"/>
  <c r="V249" i="10" s="1"/>
  <c r="U17" i="10"/>
  <c r="T17" i="10"/>
  <c r="T249" i="10" s="1"/>
  <c r="S17" i="10"/>
  <c r="R17" i="10"/>
  <c r="Q17" i="10"/>
  <c r="Q172" i="10" s="1"/>
  <c r="P17" i="10"/>
  <c r="P249" i="10" s="1"/>
  <c r="O17" i="10"/>
  <c r="O94" i="10" s="1"/>
  <c r="N17" i="10"/>
  <c r="N94" i="10" s="1"/>
  <c r="M17" i="10"/>
  <c r="M94" i="10" s="1"/>
  <c r="L17" i="10"/>
  <c r="L172" i="10" s="1"/>
  <c r="K17" i="10"/>
  <c r="K172" i="10" s="1"/>
  <c r="J17" i="10"/>
  <c r="I17" i="10"/>
  <c r="I172" i="10" s="1"/>
  <c r="H17" i="10"/>
  <c r="H249" i="10" s="1"/>
  <c r="G17" i="10"/>
  <c r="G172" i="10" s="1"/>
  <c r="F17" i="10"/>
  <c r="E17" i="10"/>
  <c r="D17" i="10"/>
  <c r="D249" i="10" s="1"/>
  <c r="V16" i="10"/>
  <c r="U16" i="10"/>
  <c r="T16" i="10"/>
  <c r="T171" i="10" s="1"/>
  <c r="S16" i="10"/>
  <c r="S248" i="10" s="1"/>
  <c r="R16" i="10"/>
  <c r="R93" i="10" s="1"/>
  <c r="Q16" i="10"/>
  <c r="Q93" i="10" s="1"/>
  <c r="P16" i="10"/>
  <c r="P93" i="10" s="1"/>
  <c r="O16" i="10"/>
  <c r="O171" i="10" s="1"/>
  <c r="N16" i="10"/>
  <c r="N171" i="10" s="1"/>
  <c r="M16" i="10"/>
  <c r="L16" i="10"/>
  <c r="L171" i="10" s="1"/>
  <c r="K16" i="10"/>
  <c r="J16" i="10"/>
  <c r="J171" i="10" s="1"/>
  <c r="I16" i="10"/>
  <c r="H16" i="10"/>
  <c r="G16" i="10"/>
  <c r="F16" i="10"/>
  <c r="E16" i="10"/>
  <c r="D16" i="10"/>
  <c r="D171" i="10" s="1"/>
  <c r="V15" i="10"/>
  <c r="U15" i="10"/>
  <c r="U92" i="10" s="1"/>
  <c r="T15" i="10"/>
  <c r="T92" i="10" s="1"/>
  <c r="S15" i="10"/>
  <c r="S92" i="10" s="1"/>
  <c r="R15" i="10"/>
  <c r="R170" i="10" s="1"/>
  <c r="Q15" i="10"/>
  <c r="P15" i="10"/>
  <c r="P247" i="10" s="1"/>
  <c r="O15" i="10"/>
  <c r="O170" i="10" s="1"/>
  <c r="N15" i="10"/>
  <c r="M15" i="10"/>
  <c r="L15" i="10"/>
  <c r="K15" i="10"/>
  <c r="K247" i="10" s="1"/>
  <c r="J15" i="10"/>
  <c r="I15" i="10"/>
  <c r="H15" i="10"/>
  <c r="G15" i="10"/>
  <c r="F15" i="10"/>
  <c r="E15" i="10"/>
  <c r="E92" i="10" s="1"/>
  <c r="D15" i="10"/>
  <c r="D92" i="10" s="1"/>
  <c r="V14" i="10"/>
  <c r="V91" i="10" s="1"/>
  <c r="U14" i="10"/>
  <c r="T14" i="10"/>
  <c r="S14" i="10"/>
  <c r="R14" i="10"/>
  <c r="R43" i="10" s="1"/>
  <c r="Q14" i="10"/>
  <c r="P14" i="10"/>
  <c r="O14" i="10"/>
  <c r="N14" i="10"/>
  <c r="M14" i="10"/>
  <c r="L14" i="10"/>
  <c r="K14" i="10"/>
  <c r="J14" i="10"/>
  <c r="I14" i="10"/>
  <c r="I246" i="10" s="1"/>
  <c r="H14" i="10"/>
  <c r="H91" i="10" s="1"/>
  <c r="G14" i="10"/>
  <c r="F14" i="10"/>
  <c r="F91" i="10" s="1"/>
  <c r="E14" i="10"/>
  <c r="D14" i="10"/>
  <c r="B133" i="9"/>
  <c r="H131" i="9"/>
  <c r="F131" i="9"/>
  <c r="O131" i="9" s="1"/>
  <c r="D131" i="9"/>
  <c r="S130" i="9"/>
  <c r="R130" i="9"/>
  <c r="K130" i="9"/>
  <c r="J130" i="9"/>
  <c r="I130" i="9"/>
  <c r="H130" i="9"/>
  <c r="G130" i="9"/>
  <c r="G131" i="9" s="1"/>
  <c r="F130" i="9"/>
  <c r="E130" i="9"/>
  <c r="N130" i="9" s="1"/>
  <c r="D130" i="9"/>
  <c r="S129" i="9"/>
  <c r="R129" i="9"/>
  <c r="N129" i="9"/>
  <c r="K129" i="9"/>
  <c r="J129" i="9"/>
  <c r="I129" i="9"/>
  <c r="H129" i="9"/>
  <c r="H125" i="9" s="1"/>
  <c r="G129" i="9"/>
  <c r="P129" i="9" s="1"/>
  <c r="F129" i="9"/>
  <c r="E129" i="9"/>
  <c r="D129" i="9"/>
  <c r="M129" i="9" s="1"/>
  <c r="S128" i="9"/>
  <c r="R128" i="9"/>
  <c r="K128" i="9"/>
  <c r="J128" i="9"/>
  <c r="I128" i="9"/>
  <c r="H128" i="9"/>
  <c r="Q128" i="9" s="1"/>
  <c r="G128" i="9"/>
  <c r="P128" i="9" s="1"/>
  <c r="F128" i="9"/>
  <c r="O128" i="9" s="1"/>
  <c r="E128" i="9"/>
  <c r="D128" i="9"/>
  <c r="S127" i="9"/>
  <c r="N127" i="9"/>
  <c r="K127" i="9"/>
  <c r="J127" i="9"/>
  <c r="I127" i="9"/>
  <c r="H127" i="9"/>
  <c r="Q127" i="9" s="1"/>
  <c r="G127" i="9"/>
  <c r="P127" i="9" s="1"/>
  <c r="F127" i="9"/>
  <c r="O127" i="9" s="1"/>
  <c r="E127" i="9"/>
  <c r="D127" i="9"/>
  <c r="M127" i="9" s="1"/>
  <c r="S126" i="9"/>
  <c r="K126" i="9"/>
  <c r="J126" i="9"/>
  <c r="I126" i="9"/>
  <c r="H126" i="9"/>
  <c r="G126" i="9"/>
  <c r="P126" i="9" s="1"/>
  <c r="F126" i="9"/>
  <c r="E126" i="9"/>
  <c r="N126" i="9" s="1"/>
  <c r="D126" i="9"/>
  <c r="S125" i="9"/>
  <c r="J125" i="9"/>
  <c r="G125" i="9"/>
  <c r="P125" i="9" s="1"/>
  <c r="F125" i="9"/>
  <c r="D125" i="9"/>
  <c r="M125" i="9" s="1"/>
  <c r="S124" i="9"/>
  <c r="E124" i="9"/>
  <c r="N124" i="9" s="1"/>
  <c r="D124" i="9"/>
  <c r="S123" i="9"/>
  <c r="Q123" i="9"/>
  <c r="P123" i="9"/>
  <c r="O123" i="9"/>
  <c r="M123" i="9"/>
  <c r="E123" i="9"/>
  <c r="D123" i="9"/>
  <c r="S122" i="9"/>
  <c r="P122" i="9"/>
  <c r="N122" i="9"/>
  <c r="E122" i="9"/>
  <c r="D122" i="9"/>
  <c r="D121" i="9" s="1"/>
  <c r="S121" i="9"/>
  <c r="P121" i="9"/>
  <c r="J120" i="9"/>
  <c r="S120" i="9" s="1"/>
  <c r="P119" i="9"/>
  <c r="K119" i="9"/>
  <c r="J119" i="9"/>
  <c r="S119" i="9" s="1"/>
  <c r="I119" i="9"/>
  <c r="R119" i="9" s="1"/>
  <c r="H119" i="9"/>
  <c r="G119" i="9"/>
  <c r="F119" i="9"/>
  <c r="E119" i="9"/>
  <c r="N119" i="9" s="1"/>
  <c r="D119" i="9"/>
  <c r="Q118" i="9"/>
  <c r="P118" i="9"/>
  <c r="O118" i="9"/>
  <c r="N118" i="9"/>
  <c r="M118" i="9"/>
  <c r="K118" i="9"/>
  <c r="J118" i="9"/>
  <c r="S118" i="9" s="1"/>
  <c r="I118" i="9"/>
  <c r="R118" i="9" s="1"/>
  <c r="H118" i="9"/>
  <c r="G118" i="9"/>
  <c r="F118" i="9"/>
  <c r="E118" i="9"/>
  <c r="D118" i="9"/>
  <c r="P117" i="9"/>
  <c r="K117" i="9"/>
  <c r="J117" i="9"/>
  <c r="S117" i="9" s="1"/>
  <c r="I117" i="9"/>
  <c r="R117" i="9" s="1"/>
  <c r="H117" i="9"/>
  <c r="G117" i="9"/>
  <c r="F117" i="9"/>
  <c r="E117" i="9"/>
  <c r="D117" i="9"/>
  <c r="P116" i="9"/>
  <c r="O116" i="9"/>
  <c r="M116" i="9"/>
  <c r="K116" i="9"/>
  <c r="J116" i="9"/>
  <c r="S116" i="9" s="1"/>
  <c r="I116" i="9"/>
  <c r="R116" i="9" s="1"/>
  <c r="H116" i="9"/>
  <c r="G116" i="9"/>
  <c r="F116" i="9"/>
  <c r="E116" i="9"/>
  <c r="N116" i="9" s="1"/>
  <c r="D116" i="9"/>
  <c r="R115" i="9"/>
  <c r="P115" i="9"/>
  <c r="K115" i="9"/>
  <c r="J115" i="9"/>
  <c r="S115" i="9" s="1"/>
  <c r="I115" i="9"/>
  <c r="H115" i="9"/>
  <c r="G115" i="9"/>
  <c r="F115" i="9"/>
  <c r="E115" i="9"/>
  <c r="D115" i="9"/>
  <c r="Q114" i="9"/>
  <c r="P114" i="9"/>
  <c r="M114" i="9"/>
  <c r="K114" i="9"/>
  <c r="J114" i="9"/>
  <c r="S114" i="9" s="1"/>
  <c r="I114" i="9"/>
  <c r="R114" i="9" s="1"/>
  <c r="H114" i="9"/>
  <c r="G114" i="9"/>
  <c r="F114" i="9"/>
  <c r="E114" i="9"/>
  <c r="N114" i="9" s="1"/>
  <c r="D114" i="9"/>
  <c r="R113" i="9"/>
  <c r="P113" i="9"/>
  <c r="K113" i="9"/>
  <c r="K112" i="9" s="1"/>
  <c r="K131" i="9" s="1"/>
  <c r="J113" i="9"/>
  <c r="S113" i="9" s="1"/>
  <c r="I113" i="9"/>
  <c r="H113" i="9"/>
  <c r="G113" i="9"/>
  <c r="F113" i="9"/>
  <c r="E113" i="9"/>
  <c r="N113" i="9" s="1"/>
  <c r="D113" i="9"/>
  <c r="Q112" i="9"/>
  <c r="P112" i="9"/>
  <c r="O112" i="9"/>
  <c r="H112" i="9"/>
  <c r="H257" i="21" s="1"/>
  <c r="G112" i="9"/>
  <c r="G257" i="21" s="1"/>
  <c r="F112" i="9"/>
  <c r="D112" i="9"/>
  <c r="B100" i="9"/>
  <c r="P99" i="9"/>
  <c r="K98" i="9"/>
  <c r="S97" i="9"/>
  <c r="P97" i="9"/>
  <c r="N97" i="9"/>
  <c r="K97" i="9"/>
  <c r="J97" i="9"/>
  <c r="I97" i="9"/>
  <c r="I98" i="9" s="1"/>
  <c r="R98" i="9" s="1"/>
  <c r="H97" i="9"/>
  <c r="G97" i="9"/>
  <c r="G98" i="9" s="1"/>
  <c r="F97" i="9"/>
  <c r="O97" i="9" s="1"/>
  <c r="E97" i="9"/>
  <c r="D97" i="9"/>
  <c r="M97" i="9" s="1"/>
  <c r="S96" i="9"/>
  <c r="P96" i="9"/>
  <c r="N96" i="9"/>
  <c r="K96" i="9"/>
  <c r="J96" i="9"/>
  <c r="I96" i="9"/>
  <c r="H96" i="9"/>
  <c r="G96" i="9"/>
  <c r="F96" i="9"/>
  <c r="O96" i="9" s="1"/>
  <c r="E96" i="9"/>
  <c r="D96" i="9"/>
  <c r="M96" i="9" s="1"/>
  <c r="S95" i="9"/>
  <c r="P95" i="9"/>
  <c r="N95" i="9"/>
  <c r="K95" i="9"/>
  <c r="J95" i="9"/>
  <c r="I95" i="9"/>
  <c r="H95" i="9"/>
  <c r="G95" i="9"/>
  <c r="F95" i="9"/>
  <c r="O95" i="9" s="1"/>
  <c r="E95" i="9"/>
  <c r="D95" i="9"/>
  <c r="M95" i="9" s="1"/>
  <c r="S94" i="9"/>
  <c r="R94" i="9"/>
  <c r="P94" i="9"/>
  <c r="O94" i="9"/>
  <c r="N94" i="9"/>
  <c r="K94" i="9"/>
  <c r="J94" i="9"/>
  <c r="I94" i="9"/>
  <c r="H94" i="9"/>
  <c r="G94" i="9"/>
  <c r="F94" i="9"/>
  <c r="E94" i="9"/>
  <c r="D94" i="9"/>
  <c r="M94" i="9" s="1"/>
  <c r="S93" i="9"/>
  <c r="P93" i="9"/>
  <c r="O93" i="9"/>
  <c r="N93" i="9"/>
  <c r="M93" i="9"/>
  <c r="K93" i="9"/>
  <c r="J93" i="9"/>
  <c r="I93" i="9"/>
  <c r="H93" i="9"/>
  <c r="G93" i="9"/>
  <c r="F93" i="9"/>
  <c r="E93" i="9"/>
  <c r="D93" i="9"/>
  <c r="D92" i="9" s="1"/>
  <c r="M92" i="9" s="1"/>
  <c r="S92" i="9"/>
  <c r="P92" i="9"/>
  <c r="N92" i="9"/>
  <c r="J92" i="9"/>
  <c r="J87" i="9" s="1"/>
  <c r="S87" i="9" s="1"/>
  <c r="I92" i="9"/>
  <c r="H92" i="9"/>
  <c r="G92" i="9"/>
  <c r="G87" i="9" s="1"/>
  <c r="G99" i="9" s="1"/>
  <c r="E92" i="9"/>
  <c r="P91" i="9"/>
  <c r="N91" i="9"/>
  <c r="K91" i="9"/>
  <c r="J91" i="9"/>
  <c r="S91" i="9" s="1"/>
  <c r="I91" i="9"/>
  <c r="E91" i="9"/>
  <c r="D91" i="9"/>
  <c r="R90" i="9"/>
  <c r="P90" i="9"/>
  <c r="K90" i="9"/>
  <c r="J90" i="9"/>
  <c r="S90" i="9" s="1"/>
  <c r="I90" i="9"/>
  <c r="E90" i="9"/>
  <c r="N90" i="9" s="1"/>
  <c r="D90" i="9"/>
  <c r="M90" i="9" s="1"/>
  <c r="Q89" i="9"/>
  <c r="O89" i="9"/>
  <c r="M89" i="9"/>
  <c r="K89" i="9"/>
  <c r="T89" i="9" s="1"/>
  <c r="J89" i="9"/>
  <c r="S89" i="9" s="1"/>
  <c r="I89" i="9"/>
  <c r="E89" i="9"/>
  <c r="D89" i="9"/>
  <c r="S88" i="9"/>
  <c r="R88" i="9"/>
  <c r="P88" i="9"/>
  <c r="K88" i="9"/>
  <c r="J88" i="9"/>
  <c r="I88" i="9"/>
  <c r="I87" i="9" s="1"/>
  <c r="I99" i="9" s="1"/>
  <c r="R87" i="9"/>
  <c r="P87" i="9"/>
  <c r="H87" i="9"/>
  <c r="Q87" i="9" s="1"/>
  <c r="S86" i="9"/>
  <c r="Q86" i="9"/>
  <c r="P86" i="9"/>
  <c r="O86" i="9"/>
  <c r="K86" i="9"/>
  <c r="J86" i="9"/>
  <c r="I86" i="9"/>
  <c r="H86" i="9"/>
  <c r="G86" i="9"/>
  <c r="F86" i="9"/>
  <c r="E86" i="9"/>
  <c r="N86" i="9" s="1"/>
  <c r="D86" i="9"/>
  <c r="R85" i="9"/>
  <c r="P85" i="9"/>
  <c r="O85" i="9"/>
  <c r="N85" i="9"/>
  <c r="K85" i="9"/>
  <c r="J85" i="9"/>
  <c r="I85" i="9"/>
  <c r="H85" i="9"/>
  <c r="Q85" i="9" s="1"/>
  <c r="G85" i="9"/>
  <c r="F85" i="9"/>
  <c r="E85" i="9"/>
  <c r="D85" i="9"/>
  <c r="M85" i="9" s="1"/>
  <c r="S84" i="9"/>
  <c r="Q84" i="9"/>
  <c r="P84" i="9"/>
  <c r="O84" i="9"/>
  <c r="N84" i="9"/>
  <c r="K84" i="9"/>
  <c r="J84" i="9"/>
  <c r="I84" i="9"/>
  <c r="H84" i="9"/>
  <c r="G84" i="9"/>
  <c r="F84" i="9"/>
  <c r="E84" i="9"/>
  <c r="D84" i="9"/>
  <c r="R83" i="9"/>
  <c r="P83" i="9"/>
  <c r="N83" i="9"/>
  <c r="K83" i="9"/>
  <c r="J83" i="9"/>
  <c r="I83" i="9"/>
  <c r="H83" i="9"/>
  <c r="G83" i="9"/>
  <c r="F83" i="9"/>
  <c r="O83" i="9" s="1"/>
  <c r="E83" i="9"/>
  <c r="D83" i="9"/>
  <c r="Q82" i="9"/>
  <c r="P82" i="9"/>
  <c r="O82" i="9"/>
  <c r="K82" i="9"/>
  <c r="J82" i="9"/>
  <c r="S82" i="9" s="1"/>
  <c r="I82" i="9"/>
  <c r="H82" i="9"/>
  <c r="G82" i="9"/>
  <c r="F82" i="9"/>
  <c r="E82" i="9"/>
  <c r="N82" i="9" s="1"/>
  <c r="D82" i="9"/>
  <c r="R81" i="9"/>
  <c r="P81" i="9"/>
  <c r="N81" i="9"/>
  <c r="K81" i="9"/>
  <c r="J81" i="9"/>
  <c r="S81" i="9" s="1"/>
  <c r="I81" i="9"/>
  <c r="H81" i="9"/>
  <c r="Q81" i="9" s="1"/>
  <c r="G81" i="9"/>
  <c r="F81" i="9"/>
  <c r="E81" i="9"/>
  <c r="D81" i="9"/>
  <c r="M81" i="9" s="1"/>
  <c r="S80" i="9"/>
  <c r="P80" i="9"/>
  <c r="O80" i="9"/>
  <c r="K80" i="9"/>
  <c r="J80" i="9"/>
  <c r="I80" i="9"/>
  <c r="H80" i="9"/>
  <c r="Q80" i="9" s="1"/>
  <c r="G80" i="9"/>
  <c r="F80" i="9"/>
  <c r="E80" i="9"/>
  <c r="D80" i="9"/>
  <c r="P79" i="9"/>
  <c r="K79" i="9"/>
  <c r="I79" i="9"/>
  <c r="G79" i="9"/>
  <c r="F79" i="9"/>
  <c r="F98" i="9" s="1"/>
  <c r="O98" i="9" s="1"/>
  <c r="D79" i="9"/>
  <c r="M79" i="9" s="1"/>
  <c r="B68" i="9"/>
  <c r="O66" i="9"/>
  <c r="F66" i="9"/>
  <c r="S65" i="9"/>
  <c r="Q65" i="9"/>
  <c r="O65" i="9"/>
  <c r="K65" i="9"/>
  <c r="T65" i="9" s="1"/>
  <c r="J65" i="9"/>
  <c r="I65" i="9"/>
  <c r="H65" i="9"/>
  <c r="G65" i="9"/>
  <c r="P65" i="9" s="1"/>
  <c r="F65" i="9"/>
  <c r="E65" i="9"/>
  <c r="N65" i="9" s="1"/>
  <c r="D65" i="9"/>
  <c r="D66" i="9" s="1"/>
  <c r="S64" i="9"/>
  <c r="R64" i="9"/>
  <c r="P64" i="9"/>
  <c r="K64" i="9"/>
  <c r="J64" i="9"/>
  <c r="I64" i="9"/>
  <c r="H64" i="9"/>
  <c r="G64" i="9"/>
  <c r="F64" i="9"/>
  <c r="F64" i="7" s="1"/>
  <c r="O64" i="7" s="1"/>
  <c r="E64" i="9"/>
  <c r="D64" i="9"/>
  <c r="S63" i="9"/>
  <c r="P63" i="9"/>
  <c r="N63" i="9"/>
  <c r="K63" i="9"/>
  <c r="J63" i="9"/>
  <c r="I63" i="9"/>
  <c r="H63" i="9"/>
  <c r="G63" i="9"/>
  <c r="F63" i="9"/>
  <c r="O63" i="9" s="1"/>
  <c r="E63" i="9"/>
  <c r="D63" i="9"/>
  <c r="S62" i="9"/>
  <c r="P62" i="9"/>
  <c r="N62" i="9"/>
  <c r="K62" i="9"/>
  <c r="J62" i="9"/>
  <c r="I62" i="9"/>
  <c r="I60" i="9" s="1"/>
  <c r="H62" i="9"/>
  <c r="G62" i="9"/>
  <c r="F62" i="9"/>
  <c r="E62" i="9"/>
  <c r="D62" i="9"/>
  <c r="O61" i="9"/>
  <c r="M61" i="9"/>
  <c r="K61" i="9"/>
  <c r="J61" i="9"/>
  <c r="S61" i="9" s="1"/>
  <c r="I61" i="9"/>
  <c r="H61" i="9"/>
  <c r="G61" i="9"/>
  <c r="P61" i="9" s="1"/>
  <c r="F61" i="9"/>
  <c r="E61" i="9"/>
  <c r="N61" i="9" s="1"/>
  <c r="D61" i="9"/>
  <c r="K60" i="9"/>
  <c r="G60" i="9"/>
  <c r="P60" i="9" s="1"/>
  <c r="S59" i="9"/>
  <c r="Q59" i="9"/>
  <c r="P59" i="9"/>
  <c r="O59" i="9"/>
  <c r="M59" i="9"/>
  <c r="K59" i="9"/>
  <c r="J59" i="9"/>
  <c r="I59" i="9"/>
  <c r="H59" i="9"/>
  <c r="G59" i="9"/>
  <c r="F59" i="9"/>
  <c r="E59" i="9"/>
  <c r="N59" i="9" s="1"/>
  <c r="D59" i="9"/>
  <c r="S58" i="9"/>
  <c r="Q58" i="9"/>
  <c r="P58" i="9"/>
  <c r="O58" i="9"/>
  <c r="N58" i="9"/>
  <c r="K58" i="9"/>
  <c r="T58" i="9" s="1"/>
  <c r="J58" i="9"/>
  <c r="I58" i="9"/>
  <c r="H58" i="9"/>
  <c r="G58" i="9"/>
  <c r="F58" i="9"/>
  <c r="E58" i="9"/>
  <c r="D58" i="9"/>
  <c r="Q57" i="9"/>
  <c r="P57" i="9"/>
  <c r="O57" i="9"/>
  <c r="N57" i="9"/>
  <c r="M57" i="9"/>
  <c r="K57" i="9"/>
  <c r="J57" i="9"/>
  <c r="S57" i="9" s="1"/>
  <c r="I57" i="9"/>
  <c r="H57" i="9"/>
  <c r="G57" i="9"/>
  <c r="F57" i="9"/>
  <c r="E57" i="9"/>
  <c r="D57" i="9"/>
  <c r="S56" i="9"/>
  <c r="P56" i="9"/>
  <c r="O56" i="9"/>
  <c r="N56" i="9"/>
  <c r="M56" i="9"/>
  <c r="K56" i="9"/>
  <c r="J56" i="9"/>
  <c r="I56" i="9"/>
  <c r="H56" i="9"/>
  <c r="G56" i="9"/>
  <c r="G55" i="9" s="1"/>
  <c r="P55" i="9" s="1"/>
  <c r="F56" i="9"/>
  <c r="E56" i="9"/>
  <c r="D56" i="9"/>
  <c r="S54" i="9"/>
  <c r="K54" i="9"/>
  <c r="J54" i="9"/>
  <c r="I54" i="9"/>
  <c r="H54" i="9"/>
  <c r="G54" i="9"/>
  <c r="P54" i="9" s="1"/>
  <c r="F54" i="9"/>
  <c r="E54" i="9"/>
  <c r="N54" i="9" s="1"/>
  <c r="D54" i="9"/>
  <c r="O53" i="9"/>
  <c r="M53" i="9"/>
  <c r="K53" i="9"/>
  <c r="J53" i="9"/>
  <c r="S53" i="9" s="1"/>
  <c r="I53" i="9"/>
  <c r="H53" i="9"/>
  <c r="G53" i="9"/>
  <c r="P53" i="9" s="1"/>
  <c r="F53" i="9"/>
  <c r="E53" i="9"/>
  <c r="N53" i="9" s="1"/>
  <c r="D53" i="9"/>
  <c r="S52" i="9"/>
  <c r="K52" i="9"/>
  <c r="K47" i="9" s="1"/>
  <c r="J52" i="9"/>
  <c r="I52" i="9"/>
  <c r="H52" i="9"/>
  <c r="G52" i="9"/>
  <c r="P52" i="9" s="1"/>
  <c r="F52" i="9"/>
  <c r="E52" i="9"/>
  <c r="D52" i="9"/>
  <c r="Q51" i="9"/>
  <c r="O51" i="9"/>
  <c r="M51" i="9"/>
  <c r="K51" i="9"/>
  <c r="J51" i="9"/>
  <c r="S51" i="9" s="1"/>
  <c r="I51" i="9"/>
  <c r="H51" i="9"/>
  <c r="G51" i="9"/>
  <c r="P51" i="9" s="1"/>
  <c r="F51" i="9"/>
  <c r="E51" i="9"/>
  <c r="N51" i="9" s="1"/>
  <c r="D51" i="9"/>
  <c r="S50" i="9"/>
  <c r="Q50" i="9"/>
  <c r="O50" i="9"/>
  <c r="M50" i="9"/>
  <c r="K50" i="9"/>
  <c r="J50" i="9"/>
  <c r="I50" i="9"/>
  <c r="H50" i="9"/>
  <c r="G50" i="9"/>
  <c r="P50" i="9" s="1"/>
  <c r="F50" i="9"/>
  <c r="E50" i="9"/>
  <c r="N50" i="9" s="1"/>
  <c r="D50" i="9"/>
  <c r="S49" i="9"/>
  <c r="Q49" i="9"/>
  <c r="O49" i="9"/>
  <c r="M49" i="9"/>
  <c r="K49" i="9"/>
  <c r="J49" i="9"/>
  <c r="I49" i="9"/>
  <c r="H49" i="9"/>
  <c r="G49" i="9"/>
  <c r="P49" i="9" s="1"/>
  <c r="F49" i="9"/>
  <c r="E49" i="9"/>
  <c r="N49" i="9" s="1"/>
  <c r="D49" i="9"/>
  <c r="S48" i="9"/>
  <c r="Q48" i="9"/>
  <c r="O48" i="9"/>
  <c r="M48" i="9"/>
  <c r="K48" i="9"/>
  <c r="J48" i="9"/>
  <c r="I48" i="9"/>
  <c r="H48" i="9"/>
  <c r="G48" i="9"/>
  <c r="P48" i="9" s="1"/>
  <c r="F48" i="9"/>
  <c r="E48" i="9"/>
  <c r="N48" i="9" s="1"/>
  <c r="D48" i="9"/>
  <c r="S47" i="9"/>
  <c r="Q47" i="9"/>
  <c r="O47" i="9"/>
  <c r="M47" i="9"/>
  <c r="J47" i="9"/>
  <c r="I47" i="9"/>
  <c r="I90" i="21" s="1"/>
  <c r="H47" i="9"/>
  <c r="F47" i="9"/>
  <c r="F90" i="21" s="1"/>
  <c r="D47" i="9"/>
  <c r="B35" i="9"/>
  <c r="H34" i="9"/>
  <c r="Q34" i="9" s="1"/>
  <c r="D34" i="9"/>
  <c r="M34" i="9" s="1"/>
  <c r="O33" i="9"/>
  <c r="I33" i="9"/>
  <c r="F33" i="9"/>
  <c r="P32" i="9"/>
  <c r="N32" i="9"/>
  <c r="K32" i="9"/>
  <c r="J32" i="9"/>
  <c r="I32" i="9"/>
  <c r="R97" i="9" s="1"/>
  <c r="H32" i="9"/>
  <c r="Q97" i="9" s="1"/>
  <c r="G32" i="9"/>
  <c r="F32" i="9"/>
  <c r="E32" i="9"/>
  <c r="D32" i="9"/>
  <c r="M32" i="9" s="1"/>
  <c r="P31" i="9"/>
  <c r="N31" i="9"/>
  <c r="K31" i="9"/>
  <c r="J31" i="9"/>
  <c r="I31" i="9"/>
  <c r="R96" i="9" s="1"/>
  <c r="H31" i="9"/>
  <c r="Q96" i="9" s="1"/>
  <c r="G31" i="9"/>
  <c r="F31" i="9"/>
  <c r="E31" i="9"/>
  <c r="D31" i="9"/>
  <c r="M31" i="9" s="1"/>
  <c r="S30" i="9"/>
  <c r="P30" i="9"/>
  <c r="N30" i="9"/>
  <c r="K30" i="9"/>
  <c r="J30" i="9"/>
  <c r="I30" i="9"/>
  <c r="R63" i="9" s="1"/>
  <c r="H30" i="9"/>
  <c r="Q95" i="9" s="1"/>
  <c r="G30" i="9"/>
  <c r="F30" i="9"/>
  <c r="E30" i="9"/>
  <c r="D30" i="9"/>
  <c r="M30" i="9" s="1"/>
  <c r="S29" i="9"/>
  <c r="P29" i="9"/>
  <c r="N29" i="9"/>
  <c r="K29" i="9"/>
  <c r="J29" i="9"/>
  <c r="I29" i="9"/>
  <c r="R127" i="9" s="1"/>
  <c r="H29" i="9"/>
  <c r="Q94" i="9" s="1"/>
  <c r="G29" i="9"/>
  <c r="F29" i="9"/>
  <c r="E29" i="9"/>
  <c r="D29" i="9"/>
  <c r="M29" i="9" s="1"/>
  <c r="S28" i="9"/>
  <c r="P28" i="9"/>
  <c r="N28" i="9"/>
  <c r="K28" i="9"/>
  <c r="J28" i="9"/>
  <c r="I28" i="9"/>
  <c r="R61" i="9" s="1"/>
  <c r="H28" i="9"/>
  <c r="Q93" i="9" s="1"/>
  <c r="G28" i="9"/>
  <c r="F28" i="9"/>
  <c r="E28" i="9"/>
  <c r="D28" i="9"/>
  <c r="M28" i="9" s="1"/>
  <c r="S27" i="9"/>
  <c r="P27" i="9"/>
  <c r="N27" i="9"/>
  <c r="K27" i="9"/>
  <c r="J27" i="9"/>
  <c r="I27" i="9"/>
  <c r="R92" i="9" s="1"/>
  <c r="H27" i="9"/>
  <c r="Q92" i="9" s="1"/>
  <c r="G27" i="9"/>
  <c r="F27" i="9"/>
  <c r="E27" i="9"/>
  <c r="D27" i="9"/>
  <c r="M27" i="9" s="1"/>
  <c r="S26" i="9"/>
  <c r="P26" i="9"/>
  <c r="N26" i="9"/>
  <c r="K26" i="9"/>
  <c r="J26" i="9"/>
  <c r="I26" i="9"/>
  <c r="R59" i="9" s="1"/>
  <c r="H26" i="9"/>
  <c r="G26" i="9"/>
  <c r="P124" i="9" s="1"/>
  <c r="F26" i="9"/>
  <c r="O124" i="9" s="1"/>
  <c r="E26" i="9"/>
  <c r="D26" i="9"/>
  <c r="M91" i="9" s="1"/>
  <c r="S25" i="9"/>
  <c r="P25" i="9"/>
  <c r="N25" i="9"/>
  <c r="K25" i="9"/>
  <c r="J25" i="9"/>
  <c r="I25" i="9"/>
  <c r="H25" i="9"/>
  <c r="Q90" i="9" s="1"/>
  <c r="G25" i="9"/>
  <c r="F25" i="9"/>
  <c r="O90" i="9" s="1"/>
  <c r="E25" i="9"/>
  <c r="D25" i="9"/>
  <c r="M58" i="9" s="1"/>
  <c r="S24" i="9"/>
  <c r="P24" i="9"/>
  <c r="N24" i="9"/>
  <c r="K24" i="9"/>
  <c r="J24" i="9"/>
  <c r="I24" i="9"/>
  <c r="R57" i="9" s="1"/>
  <c r="H24" i="9"/>
  <c r="Q122" i="9" s="1"/>
  <c r="G24" i="9"/>
  <c r="P89" i="9" s="1"/>
  <c r="F24" i="9"/>
  <c r="O122" i="9" s="1"/>
  <c r="E24" i="9"/>
  <c r="D24" i="9"/>
  <c r="M24" i="9" s="1"/>
  <c r="S23" i="9"/>
  <c r="P23" i="9"/>
  <c r="N23" i="9"/>
  <c r="J23" i="9"/>
  <c r="I23" i="9"/>
  <c r="H23" i="9"/>
  <c r="Q88" i="9" s="1"/>
  <c r="G23" i="9"/>
  <c r="F23" i="9"/>
  <c r="E23" i="9"/>
  <c r="D23" i="9"/>
  <c r="M23" i="9" s="1"/>
  <c r="S22" i="9"/>
  <c r="P22" i="9"/>
  <c r="N22" i="9"/>
  <c r="J22" i="9"/>
  <c r="I22" i="9"/>
  <c r="H22" i="9"/>
  <c r="G22" i="9"/>
  <c r="F22" i="9"/>
  <c r="E22" i="9"/>
  <c r="D22" i="9"/>
  <c r="M22" i="9" s="1"/>
  <c r="S21" i="9"/>
  <c r="P21" i="9"/>
  <c r="N21" i="9"/>
  <c r="K21" i="9"/>
  <c r="J21" i="9"/>
  <c r="I21" i="9"/>
  <c r="R54" i="9" s="1"/>
  <c r="H21" i="9"/>
  <c r="Q54" i="9" s="1"/>
  <c r="G21" i="9"/>
  <c r="F21" i="9"/>
  <c r="O54" i="9" s="1"/>
  <c r="E21" i="9"/>
  <c r="D21" i="9"/>
  <c r="M54" i="9" s="1"/>
  <c r="S20" i="9"/>
  <c r="P20" i="9"/>
  <c r="N20" i="9"/>
  <c r="K20" i="9"/>
  <c r="J20" i="9"/>
  <c r="I20" i="9"/>
  <c r="R53" i="9" s="1"/>
  <c r="H20" i="9"/>
  <c r="Q53" i="9" s="1"/>
  <c r="G20" i="9"/>
  <c r="F20" i="9"/>
  <c r="E20" i="9"/>
  <c r="D20" i="9"/>
  <c r="M20" i="9" s="1"/>
  <c r="S19" i="9"/>
  <c r="P19" i="9"/>
  <c r="N19" i="9"/>
  <c r="K19" i="9"/>
  <c r="J19" i="9"/>
  <c r="I19" i="9"/>
  <c r="R52" i="9" s="1"/>
  <c r="H19" i="9"/>
  <c r="Q52" i="9" s="1"/>
  <c r="G19" i="9"/>
  <c r="F19" i="9"/>
  <c r="O52" i="9" s="1"/>
  <c r="E19" i="9"/>
  <c r="D19" i="9"/>
  <c r="M52" i="9" s="1"/>
  <c r="S18" i="9"/>
  <c r="P18" i="9"/>
  <c r="N18" i="9"/>
  <c r="K18" i="9"/>
  <c r="T51" i="9" s="1"/>
  <c r="J18" i="9"/>
  <c r="I18" i="9"/>
  <c r="R51" i="9" s="1"/>
  <c r="H18" i="9"/>
  <c r="Q116" i="9" s="1"/>
  <c r="G18" i="9"/>
  <c r="F18" i="9"/>
  <c r="E18" i="9"/>
  <c r="D18" i="9"/>
  <c r="M18" i="9" s="1"/>
  <c r="S17" i="9"/>
  <c r="P17" i="9"/>
  <c r="N17" i="9"/>
  <c r="K17" i="9"/>
  <c r="J17" i="9"/>
  <c r="I17" i="9"/>
  <c r="R82" i="9" s="1"/>
  <c r="H17" i="9"/>
  <c r="Q115" i="9" s="1"/>
  <c r="G17" i="9"/>
  <c r="F17" i="9"/>
  <c r="O115" i="9" s="1"/>
  <c r="E17" i="9"/>
  <c r="D17" i="9"/>
  <c r="M115" i="9" s="1"/>
  <c r="S16" i="9"/>
  <c r="P16" i="9"/>
  <c r="N16" i="9"/>
  <c r="K16" i="9"/>
  <c r="J16" i="9"/>
  <c r="I16" i="9"/>
  <c r="R49" i="9" s="1"/>
  <c r="H16" i="9"/>
  <c r="G16" i="9"/>
  <c r="F16" i="9"/>
  <c r="O114" i="9" s="1"/>
  <c r="E16" i="9"/>
  <c r="D16" i="9"/>
  <c r="M16" i="9" s="1"/>
  <c r="S15" i="9"/>
  <c r="P15" i="9"/>
  <c r="N15" i="9"/>
  <c r="K15" i="9"/>
  <c r="J15" i="9"/>
  <c r="I15" i="9"/>
  <c r="R80" i="9" s="1"/>
  <c r="H15" i="9"/>
  <c r="Q113" i="9" s="1"/>
  <c r="G15" i="9"/>
  <c r="F15" i="9"/>
  <c r="O113" i="9" s="1"/>
  <c r="E15" i="9"/>
  <c r="D15" i="9"/>
  <c r="M113" i="9" s="1"/>
  <c r="S14" i="9"/>
  <c r="P14" i="9"/>
  <c r="N14" i="9"/>
  <c r="J14" i="9"/>
  <c r="J34" i="9" s="1"/>
  <c r="S32" i="9" s="1"/>
  <c r="I14" i="9"/>
  <c r="R79" i="9" s="1"/>
  <c r="H14" i="9"/>
  <c r="H33" i="9" s="1"/>
  <c r="Q33" i="9" s="1"/>
  <c r="G14" i="9"/>
  <c r="G34" i="9" s="1"/>
  <c r="P34" i="9" s="1"/>
  <c r="F14" i="9"/>
  <c r="F34" i="9" s="1"/>
  <c r="E14" i="9"/>
  <c r="E34" i="9" s="1"/>
  <c r="N34" i="9" s="1"/>
  <c r="D14" i="9"/>
  <c r="M112" i="9" s="1"/>
  <c r="B133" i="8"/>
  <c r="E132" i="8"/>
  <c r="G131" i="8"/>
  <c r="T130" i="8"/>
  <c r="O130" i="8"/>
  <c r="K130" i="8"/>
  <c r="J130" i="8"/>
  <c r="I130" i="8"/>
  <c r="I257" i="25" s="1"/>
  <c r="H130" i="8"/>
  <c r="G130" i="8"/>
  <c r="F130" i="8"/>
  <c r="E130" i="8"/>
  <c r="D130" i="8"/>
  <c r="T129" i="8"/>
  <c r="Q129" i="8"/>
  <c r="O129" i="8"/>
  <c r="K129" i="8"/>
  <c r="J129" i="8"/>
  <c r="I129" i="8"/>
  <c r="R129" i="8" s="1"/>
  <c r="H129" i="8"/>
  <c r="G129" i="8"/>
  <c r="F129" i="8"/>
  <c r="E129" i="8"/>
  <c r="D129" i="8"/>
  <c r="T128" i="8"/>
  <c r="K128" i="8"/>
  <c r="J128" i="8"/>
  <c r="I128" i="8"/>
  <c r="R128" i="8" s="1"/>
  <c r="H128" i="8"/>
  <c r="G128" i="8"/>
  <c r="F128" i="8"/>
  <c r="E128" i="8"/>
  <c r="D128" i="8"/>
  <c r="T127" i="8"/>
  <c r="Q127" i="8"/>
  <c r="O127" i="8"/>
  <c r="K127" i="8"/>
  <c r="J127" i="8"/>
  <c r="I127" i="8"/>
  <c r="R127" i="8" s="1"/>
  <c r="H127" i="8"/>
  <c r="G127" i="8"/>
  <c r="F127" i="8"/>
  <c r="E127" i="8"/>
  <c r="D127" i="8"/>
  <c r="T126" i="8"/>
  <c r="Q126" i="8"/>
  <c r="K126" i="8"/>
  <c r="J126" i="8"/>
  <c r="I126" i="8"/>
  <c r="R126" i="8" s="1"/>
  <c r="H126" i="8"/>
  <c r="G126" i="8"/>
  <c r="F126" i="8"/>
  <c r="E126" i="8"/>
  <c r="D126" i="8"/>
  <c r="T125" i="8"/>
  <c r="K125" i="8"/>
  <c r="I125" i="8"/>
  <c r="R125" i="8" s="1"/>
  <c r="H125" i="8"/>
  <c r="G125" i="8"/>
  <c r="F125" i="8"/>
  <c r="E125" i="8"/>
  <c r="D125" i="8"/>
  <c r="T124" i="8"/>
  <c r="Q124" i="8"/>
  <c r="O124" i="8"/>
  <c r="K124" i="8"/>
  <c r="J124" i="8"/>
  <c r="I124" i="8"/>
  <c r="R124" i="8" s="1"/>
  <c r="H124" i="8"/>
  <c r="G124" i="8"/>
  <c r="F124" i="8"/>
  <c r="E124" i="8"/>
  <c r="D124" i="8"/>
  <c r="T123" i="8"/>
  <c r="Q123" i="8"/>
  <c r="O123" i="8"/>
  <c r="M123" i="8"/>
  <c r="K123" i="8"/>
  <c r="J123" i="8"/>
  <c r="I123" i="8"/>
  <c r="R123" i="8" s="1"/>
  <c r="H123" i="8"/>
  <c r="G123" i="8"/>
  <c r="F123" i="8"/>
  <c r="E123" i="8"/>
  <c r="D123" i="8"/>
  <c r="T122" i="8"/>
  <c r="O122" i="8"/>
  <c r="K122" i="8"/>
  <c r="J122" i="8"/>
  <c r="I122" i="8"/>
  <c r="R122" i="8" s="1"/>
  <c r="H122" i="8"/>
  <c r="G122" i="8"/>
  <c r="F122" i="8"/>
  <c r="E122" i="8"/>
  <c r="D122" i="8"/>
  <c r="T121" i="8"/>
  <c r="K121" i="8"/>
  <c r="I121" i="8"/>
  <c r="R121" i="8" s="1"/>
  <c r="H121" i="8"/>
  <c r="G121" i="8"/>
  <c r="F121" i="8"/>
  <c r="E121" i="8"/>
  <c r="D121" i="8"/>
  <c r="T120" i="8"/>
  <c r="K120" i="8"/>
  <c r="I120" i="8"/>
  <c r="R120" i="8" s="1"/>
  <c r="H120" i="8"/>
  <c r="G120" i="8"/>
  <c r="F120" i="8"/>
  <c r="E120" i="8"/>
  <c r="D120" i="8"/>
  <c r="T119" i="8"/>
  <c r="Q119" i="8"/>
  <c r="O119" i="8"/>
  <c r="K119" i="8"/>
  <c r="J119" i="8"/>
  <c r="I119" i="8"/>
  <c r="R119" i="8" s="1"/>
  <c r="H119" i="8"/>
  <c r="G119" i="8"/>
  <c r="F119" i="8"/>
  <c r="E119" i="8"/>
  <c r="D119" i="8"/>
  <c r="T118" i="8"/>
  <c r="K118" i="8"/>
  <c r="J118" i="8"/>
  <c r="I118" i="8"/>
  <c r="R118" i="8" s="1"/>
  <c r="H118" i="8"/>
  <c r="G118" i="8"/>
  <c r="F118" i="8"/>
  <c r="E118" i="8"/>
  <c r="D118" i="8"/>
  <c r="T117" i="8"/>
  <c r="O117" i="8"/>
  <c r="K117" i="8"/>
  <c r="J117" i="8"/>
  <c r="I117" i="8"/>
  <c r="R117" i="8" s="1"/>
  <c r="H117" i="8"/>
  <c r="G117" i="8"/>
  <c r="F117" i="8"/>
  <c r="E117" i="8"/>
  <c r="D117" i="8"/>
  <c r="T116" i="8"/>
  <c r="Q116" i="8"/>
  <c r="K116" i="8"/>
  <c r="J116" i="8"/>
  <c r="I116" i="8"/>
  <c r="R116" i="8" s="1"/>
  <c r="H116" i="8"/>
  <c r="G116" i="8"/>
  <c r="F116" i="8"/>
  <c r="E116" i="8"/>
  <c r="D116" i="8"/>
  <c r="T115" i="8"/>
  <c r="Q115" i="8"/>
  <c r="K115" i="8"/>
  <c r="J115" i="8"/>
  <c r="I115" i="8"/>
  <c r="R115" i="8" s="1"/>
  <c r="H115" i="8"/>
  <c r="G115" i="8"/>
  <c r="F115" i="8"/>
  <c r="E115" i="8"/>
  <c r="D115" i="8"/>
  <c r="T114" i="8"/>
  <c r="O114" i="8"/>
  <c r="K114" i="8"/>
  <c r="J114" i="8"/>
  <c r="I114" i="8"/>
  <c r="R114" i="8" s="1"/>
  <c r="H114" i="8"/>
  <c r="G114" i="8"/>
  <c r="P114" i="8" s="1"/>
  <c r="F114" i="8"/>
  <c r="E114" i="8"/>
  <c r="D114" i="8"/>
  <c r="T113" i="8"/>
  <c r="Q113" i="8"/>
  <c r="O113" i="8"/>
  <c r="K113" i="8"/>
  <c r="J113" i="8"/>
  <c r="J112" i="8" s="1"/>
  <c r="I113" i="8"/>
  <c r="R113" i="8" s="1"/>
  <c r="H113" i="8"/>
  <c r="G113" i="8"/>
  <c r="F113" i="8"/>
  <c r="E113" i="8"/>
  <c r="D113" i="8"/>
  <c r="T112" i="8"/>
  <c r="K112" i="8"/>
  <c r="K132" i="8" s="1"/>
  <c r="T132" i="8" s="1"/>
  <c r="I112" i="8"/>
  <c r="I132" i="8" s="1"/>
  <c r="R132" i="8" s="1"/>
  <c r="H112" i="8"/>
  <c r="H132" i="8" s="1"/>
  <c r="G112" i="8"/>
  <c r="G132" i="8" s="1"/>
  <c r="F112" i="8"/>
  <c r="F132" i="8" s="1"/>
  <c r="E112" i="8"/>
  <c r="E131" i="8" s="1"/>
  <c r="D112" i="8"/>
  <c r="D131" i="8" s="1"/>
  <c r="B100" i="8"/>
  <c r="R99" i="8"/>
  <c r="T97" i="8"/>
  <c r="R97" i="8"/>
  <c r="P97" i="8"/>
  <c r="K97" i="8"/>
  <c r="J97" i="8"/>
  <c r="I97" i="8"/>
  <c r="H97" i="8"/>
  <c r="G97" i="8"/>
  <c r="F97" i="8"/>
  <c r="O97" i="8" s="1"/>
  <c r="E97" i="8"/>
  <c r="N97" i="8" s="1"/>
  <c r="D97" i="8"/>
  <c r="S96" i="8"/>
  <c r="R96" i="8"/>
  <c r="Q96" i="8"/>
  <c r="O96" i="8"/>
  <c r="K96" i="8"/>
  <c r="T96" i="8" s="1"/>
  <c r="J96" i="8"/>
  <c r="I96" i="8"/>
  <c r="H96" i="8"/>
  <c r="G96" i="8"/>
  <c r="F96" i="8"/>
  <c r="E96" i="8"/>
  <c r="N96" i="8" s="1"/>
  <c r="D96" i="8"/>
  <c r="T95" i="8"/>
  <c r="R95" i="8"/>
  <c r="P95" i="8"/>
  <c r="N95" i="8"/>
  <c r="K95" i="8"/>
  <c r="J95" i="8"/>
  <c r="S95" i="8" s="1"/>
  <c r="I95" i="8"/>
  <c r="H95" i="8"/>
  <c r="Q95" i="8" s="1"/>
  <c r="G95" i="8"/>
  <c r="F95" i="8"/>
  <c r="E95" i="8"/>
  <c r="D95" i="8"/>
  <c r="T94" i="8"/>
  <c r="S94" i="8"/>
  <c r="R94" i="8"/>
  <c r="Q94" i="8"/>
  <c r="O94" i="8"/>
  <c r="K94" i="8"/>
  <c r="J94" i="8"/>
  <c r="I94" i="8"/>
  <c r="H94" i="8"/>
  <c r="G94" i="8"/>
  <c r="F94" i="8"/>
  <c r="E94" i="8"/>
  <c r="N94" i="8" s="1"/>
  <c r="D94" i="8"/>
  <c r="T93" i="8"/>
  <c r="R93" i="8"/>
  <c r="P93" i="8"/>
  <c r="N93" i="8"/>
  <c r="K93" i="8"/>
  <c r="J93" i="8"/>
  <c r="J92" i="8" s="1"/>
  <c r="I93" i="8"/>
  <c r="H93" i="8"/>
  <c r="H92" i="8" s="1"/>
  <c r="Q92" i="8" s="1"/>
  <c r="G93" i="8"/>
  <c r="F93" i="8"/>
  <c r="F92" i="8" s="1"/>
  <c r="E93" i="8"/>
  <c r="D93" i="8"/>
  <c r="R92" i="8"/>
  <c r="K92" i="8"/>
  <c r="T92" i="8" s="1"/>
  <c r="I92" i="8"/>
  <c r="G92" i="8"/>
  <c r="E92" i="8"/>
  <c r="T91" i="8"/>
  <c r="R91" i="8"/>
  <c r="P91" i="8"/>
  <c r="N91" i="8"/>
  <c r="K91" i="8"/>
  <c r="J91" i="8"/>
  <c r="I91" i="8"/>
  <c r="H91" i="8"/>
  <c r="G91" i="8"/>
  <c r="F91" i="8"/>
  <c r="O91" i="8" s="1"/>
  <c r="E91" i="8"/>
  <c r="D91" i="8"/>
  <c r="D91" i="7" s="1"/>
  <c r="S90" i="8"/>
  <c r="R90" i="8"/>
  <c r="Q90" i="8"/>
  <c r="O90" i="8"/>
  <c r="K90" i="8"/>
  <c r="T90" i="8" s="1"/>
  <c r="J90" i="8"/>
  <c r="I90" i="8"/>
  <c r="H90" i="8"/>
  <c r="G90" i="8"/>
  <c r="F90" i="8"/>
  <c r="E90" i="8"/>
  <c r="E88" i="8" s="1"/>
  <c r="D90" i="8"/>
  <c r="T89" i="8"/>
  <c r="R89" i="8"/>
  <c r="P89" i="8"/>
  <c r="N89" i="8"/>
  <c r="K89" i="8"/>
  <c r="J89" i="8"/>
  <c r="I89" i="8"/>
  <c r="H89" i="8"/>
  <c r="G89" i="8"/>
  <c r="F89" i="8"/>
  <c r="F88" i="8" s="1"/>
  <c r="E89" i="8"/>
  <c r="D89" i="8"/>
  <c r="R88" i="8"/>
  <c r="K88" i="8"/>
  <c r="I88" i="8"/>
  <c r="G88" i="8"/>
  <c r="R87" i="8"/>
  <c r="I87" i="8"/>
  <c r="G87" i="8"/>
  <c r="R86" i="8"/>
  <c r="Q86" i="8"/>
  <c r="O86" i="8"/>
  <c r="K86" i="8"/>
  <c r="T86" i="8" s="1"/>
  <c r="J86" i="8"/>
  <c r="S86" i="8" s="1"/>
  <c r="I86" i="8"/>
  <c r="H86" i="8"/>
  <c r="G86" i="8"/>
  <c r="F86" i="8"/>
  <c r="E86" i="8"/>
  <c r="D86" i="8"/>
  <c r="T85" i="8"/>
  <c r="R85" i="8"/>
  <c r="P85" i="8"/>
  <c r="N85" i="8"/>
  <c r="K85" i="8"/>
  <c r="J85" i="8"/>
  <c r="S85" i="8" s="1"/>
  <c r="I85" i="8"/>
  <c r="H85" i="8"/>
  <c r="G85" i="8"/>
  <c r="F85" i="8"/>
  <c r="E85" i="8"/>
  <c r="D85" i="8"/>
  <c r="S84" i="8"/>
  <c r="R84" i="8"/>
  <c r="O84" i="8"/>
  <c r="K84" i="8"/>
  <c r="T84" i="8" s="1"/>
  <c r="J84" i="8"/>
  <c r="I84" i="8"/>
  <c r="H84" i="8"/>
  <c r="Q84" i="8" s="1"/>
  <c r="G84" i="8"/>
  <c r="F84" i="8"/>
  <c r="E84" i="8"/>
  <c r="D84" i="8"/>
  <c r="T83" i="8"/>
  <c r="R83" i="8"/>
  <c r="N83" i="8"/>
  <c r="K83" i="8"/>
  <c r="J83" i="8"/>
  <c r="S83" i="8" s="1"/>
  <c r="I83" i="8"/>
  <c r="H83" i="8"/>
  <c r="Q83" i="8" s="1"/>
  <c r="G83" i="8"/>
  <c r="F83" i="8"/>
  <c r="E83" i="8"/>
  <c r="D83" i="8"/>
  <c r="S82" i="8"/>
  <c r="R82" i="8"/>
  <c r="Q82" i="8"/>
  <c r="K82" i="8"/>
  <c r="T82" i="8" s="1"/>
  <c r="J82" i="8"/>
  <c r="I82" i="8"/>
  <c r="H82" i="8"/>
  <c r="G82" i="8"/>
  <c r="F82" i="8"/>
  <c r="O82" i="8" s="1"/>
  <c r="E82" i="8"/>
  <c r="D82" i="8"/>
  <c r="T81" i="8"/>
  <c r="R81" i="8"/>
  <c r="P81" i="8"/>
  <c r="K81" i="8"/>
  <c r="J81" i="8"/>
  <c r="J79" i="8" s="1"/>
  <c r="I81" i="8"/>
  <c r="H81" i="8"/>
  <c r="G81" i="8"/>
  <c r="F81" i="8"/>
  <c r="O81" i="8" s="1"/>
  <c r="E81" i="8"/>
  <c r="N81" i="8" s="1"/>
  <c r="D81" i="8"/>
  <c r="S80" i="8"/>
  <c r="R80" i="8"/>
  <c r="Q80" i="8"/>
  <c r="O80" i="8"/>
  <c r="K80" i="8"/>
  <c r="K79" i="8" s="1"/>
  <c r="J80" i="8"/>
  <c r="I80" i="8"/>
  <c r="H80" i="8"/>
  <c r="G80" i="8"/>
  <c r="F80" i="8"/>
  <c r="E80" i="8"/>
  <c r="N80" i="8" s="1"/>
  <c r="D80" i="8"/>
  <c r="R79" i="8"/>
  <c r="I79" i="8"/>
  <c r="I99" i="8" s="1"/>
  <c r="G79" i="8"/>
  <c r="G99" i="8" s="1"/>
  <c r="B68" i="8"/>
  <c r="T65" i="8"/>
  <c r="R65" i="8"/>
  <c r="P65" i="8"/>
  <c r="O65" i="8"/>
  <c r="K65" i="8"/>
  <c r="J65" i="8"/>
  <c r="I65" i="8"/>
  <c r="H65" i="8"/>
  <c r="G65" i="8"/>
  <c r="F65" i="8"/>
  <c r="E65" i="8"/>
  <c r="D65" i="8"/>
  <c r="S64" i="8"/>
  <c r="Q64" i="8"/>
  <c r="O64" i="8"/>
  <c r="K64" i="8"/>
  <c r="J64" i="8"/>
  <c r="I64" i="8"/>
  <c r="H64" i="8"/>
  <c r="G64" i="8"/>
  <c r="F64" i="8"/>
  <c r="E64" i="8"/>
  <c r="D64" i="8"/>
  <c r="R63" i="8"/>
  <c r="P63" i="8"/>
  <c r="K63" i="8"/>
  <c r="T63" i="8" s="1"/>
  <c r="J63" i="8"/>
  <c r="I63" i="8"/>
  <c r="H63" i="8"/>
  <c r="G63" i="8"/>
  <c r="F63" i="8"/>
  <c r="E63" i="8"/>
  <c r="D63" i="8"/>
  <c r="S62" i="8"/>
  <c r="Q62" i="8"/>
  <c r="O62" i="8"/>
  <c r="K62" i="8"/>
  <c r="T62" i="8" s="1"/>
  <c r="J62" i="8"/>
  <c r="I62" i="8"/>
  <c r="R62" i="8" s="1"/>
  <c r="H62" i="8"/>
  <c r="G62" i="8"/>
  <c r="F62" i="8"/>
  <c r="E62" i="8"/>
  <c r="D62" i="8"/>
  <c r="T61" i="8"/>
  <c r="P61" i="8"/>
  <c r="K61" i="8"/>
  <c r="J61" i="8"/>
  <c r="I61" i="8"/>
  <c r="R61" i="8" s="1"/>
  <c r="H61" i="8"/>
  <c r="G61" i="8"/>
  <c r="F61" i="8"/>
  <c r="E61" i="8"/>
  <c r="D61" i="8"/>
  <c r="J60" i="8"/>
  <c r="H60" i="8"/>
  <c r="G60" i="8"/>
  <c r="T59" i="8"/>
  <c r="R59" i="8"/>
  <c r="K59" i="8"/>
  <c r="J59" i="8"/>
  <c r="I59" i="8"/>
  <c r="H59" i="8"/>
  <c r="G59" i="8"/>
  <c r="P59" i="8" s="1"/>
  <c r="F59" i="8"/>
  <c r="E59" i="8"/>
  <c r="N59" i="8" s="1"/>
  <c r="D59" i="8"/>
  <c r="S58" i="8"/>
  <c r="Q58" i="8"/>
  <c r="K58" i="8"/>
  <c r="K56" i="8" s="1"/>
  <c r="J58" i="8"/>
  <c r="I58" i="8"/>
  <c r="R58" i="8" s="1"/>
  <c r="H58" i="8"/>
  <c r="G58" i="8"/>
  <c r="P58" i="8" s="1"/>
  <c r="F58" i="8"/>
  <c r="O58" i="8" s="1"/>
  <c r="E58" i="8"/>
  <c r="D58" i="8"/>
  <c r="M58" i="8" s="1"/>
  <c r="T57" i="8"/>
  <c r="R57" i="8"/>
  <c r="P57" i="8"/>
  <c r="K57" i="8"/>
  <c r="J57" i="8"/>
  <c r="I57" i="8"/>
  <c r="H57" i="8"/>
  <c r="G57" i="8"/>
  <c r="F57" i="8"/>
  <c r="O57" i="8" s="1"/>
  <c r="E57" i="8"/>
  <c r="N57" i="8" s="1"/>
  <c r="D57" i="8"/>
  <c r="J56" i="8"/>
  <c r="I56" i="8"/>
  <c r="H56" i="8"/>
  <c r="G56" i="8"/>
  <c r="J55" i="8"/>
  <c r="H55" i="8"/>
  <c r="T54" i="8"/>
  <c r="S54" i="8"/>
  <c r="Q54" i="8"/>
  <c r="O54" i="8"/>
  <c r="K54" i="8"/>
  <c r="J54" i="8"/>
  <c r="I54" i="8"/>
  <c r="R54" i="8" s="1"/>
  <c r="H54" i="8"/>
  <c r="G54" i="8"/>
  <c r="F54" i="8"/>
  <c r="E54" i="8"/>
  <c r="D54" i="8"/>
  <c r="M54" i="8" s="1"/>
  <c r="T53" i="8"/>
  <c r="S53" i="8"/>
  <c r="R53" i="8"/>
  <c r="P53" i="8"/>
  <c r="K53" i="8"/>
  <c r="J53" i="8"/>
  <c r="I53" i="8"/>
  <c r="H53" i="8"/>
  <c r="G53" i="8"/>
  <c r="F53" i="8"/>
  <c r="E53" i="8"/>
  <c r="D53" i="8"/>
  <c r="D53" i="7" s="1"/>
  <c r="S52" i="8"/>
  <c r="R52" i="8"/>
  <c r="Q52" i="8"/>
  <c r="O52" i="8"/>
  <c r="K52" i="8"/>
  <c r="T52" i="8" s="1"/>
  <c r="J52" i="8"/>
  <c r="I52" i="8"/>
  <c r="H52" i="8"/>
  <c r="G52" i="8"/>
  <c r="P52" i="8" s="1"/>
  <c r="F52" i="8"/>
  <c r="E52" i="8"/>
  <c r="D52" i="8"/>
  <c r="T51" i="8"/>
  <c r="R51" i="8"/>
  <c r="Q51" i="8"/>
  <c r="P51" i="8"/>
  <c r="K51" i="8"/>
  <c r="J51" i="8"/>
  <c r="I51" i="8"/>
  <c r="H51" i="8"/>
  <c r="G51" i="8"/>
  <c r="F51" i="8"/>
  <c r="E51" i="8"/>
  <c r="D51" i="8"/>
  <c r="D51" i="7" s="1"/>
  <c r="S50" i="8"/>
  <c r="Q50" i="8"/>
  <c r="P50" i="8"/>
  <c r="O50" i="8"/>
  <c r="K50" i="8"/>
  <c r="T50" i="8" s="1"/>
  <c r="J50" i="8"/>
  <c r="I50" i="8"/>
  <c r="H50" i="8"/>
  <c r="G50" i="8"/>
  <c r="F50" i="8"/>
  <c r="E50" i="8"/>
  <c r="D50" i="8"/>
  <c r="T49" i="8"/>
  <c r="R49" i="8"/>
  <c r="P49" i="8"/>
  <c r="O49" i="8"/>
  <c r="K49" i="8"/>
  <c r="J49" i="8"/>
  <c r="I49" i="8"/>
  <c r="H49" i="8"/>
  <c r="G49" i="8"/>
  <c r="F49" i="8"/>
  <c r="E49" i="8"/>
  <c r="D49" i="8"/>
  <c r="S48" i="8"/>
  <c r="Q48" i="8"/>
  <c r="O48" i="8"/>
  <c r="K48" i="8"/>
  <c r="J48" i="8"/>
  <c r="I48" i="8"/>
  <c r="H48" i="8"/>
  <c r="G48" i="8"/>
  <c r="F48" i="8"/>
  <c r="E48" i="8"/>
  <c r="D48" i="8"/>
  <c r="J47" i="8"/>
  <c r="J67" i="8" s="1"/>
  <c r="H47" i="8"/>
  <c r="H67" i="8" s="1"/>
  <c r="B35" i="8"/>
  <c r="T34" i="8"/>
  <c r="R34" i="8"/>
  <c r="R33" i="8"/>
  <c r="T32" i="8"/>
  <c r="R32" i="8"/>
  <c r="K32" i="8"/>
  <c r="J32" i="8"/>
  <c r="I32" i="8"/>
  <c r="H32" i="8"/>
  <c r="G32" i="8"/>
  <c r="P130" i="8" s="1"/>
  <c r="F32" i="8"/>
  <c r="E32" i="8"/>
  <c r="D32" i="8"/>
  <c r="T31" i="8"/>
  <c r="R31" i="8"/>
  <c r="K31" i="8"/>
  <c r="J31" i="8"/>
  <c r="I31" i="8"/>
  <c r="H31" i="8"/>
  <c r="G31" i="8"/>
  <c r="F31" i="8"/>
  <c r="E31" i="8"/>
  <c r="D31" i="8"/>
  <c r="T30" i="8"/>
  <c r="R30" i="8"/>
  <c r="K30" i="8"/>
  <c r="J30" i="8"/>
  <c r="S63" i="8" s="1"/>
  <c r="I30" i="8"/>
  <c r="H30" i="8"/>
  <c r="G30" i="8"/>
  <c r="P128" i="8" s="1"/>
  <c r="F30" i="8"/>
  <c r="E30" i="8"/>
  <c r="D30" i="8"/>
  <c r="T29" i="8"/>
  <c r="R29" i="8"/>
  <c r="K29" i="8"/>
  <c r="J29" i="8"/>
  <c r="I29" i="8"/>
  <c r="H29" i="8"/>
  <c r="G29" i="8"/>
  <c r="F29" i="8"/>
  <c r="E29" i="8"/>
  <c r="D29" i="8"/>
  <c r="T28" i="8"/>
  <c r="R28" i="8"/>
  <c r="K28" i="8"/>
  <c r="J28" i="8"/>
  <c r="J27" i="8" s="1"/>
  <c r="I28" i="8"/>
  <c r="H28" i="8"/>
  <c r="H27" i="8" s="1"/>
  <c r="G28" i="8"/>
  <c r="P126" i="8" s="1"/>
  <c r="F28" i="8"/>
  <c r="E28" i="8"/>
  <c r="N126" i="8" s="1"/>
  <c r="D28" i="8"/>
  <c r="R27" i="8"/>
  <c r="K27" i="8"/>
  <c r="I27" i="8"/>
  <c r="E27" i="8"/>
  <c r="N125" i="8" s="1"/>
  <c r="T26" i="8"/>
  <c r="R26" i="8"/>
  <c r="K26" i="8"/>
  <c r="J26" i="8"/>
  <c r="I26" i="8"/>
  <c r="H26" i="8"/>
  <c r="Q59" i="8" s="1"/>
  <c r="G26" i="8"/>
  <c r="P124" i="8" s="1"/>
  <c r="F26" i="8"/>
  <c r="E26" i="8"/>
  <c r="N124" i="8" s="1"/>
  <c r="D26" i="8"/>
  <c r="R25" i="8"/>
  <c r="K25" i="8"/>
  <c r="J25" i="8"/>
  <c r="I25" i="8"/>
  <c r="H25" i="8"/>
  <c r="G25" i="8"/>
  <c r="P123" i="8" s="1"/>
  <c r="F25" i="8"/>
  <c r="E25" i="8"/>
  <c r="E23" i="8" s="1"/>
  <c r="D25" i="8"/>
  <c r="T24" i="8"/>
  <c r="R24" i="8"/>
  <c r="K24" i="8"/>
  <c r="J24" i="8"/>
  <c r="I24" i="8"/>
  <c r="H24" i="8"/>
  <c r="G24" i="8"/>
  <c r="P122" i="8" s="1"/>
  <c r="F24" i="8"/>
  <c r="O89" i="8" s="1"/>
  <c r="E24" i="8"/>
  <c r="N122" i="8" s="1"/>
  <c r="D24" i="8"/>
  <c r="R23" i="8"/>
  <c r="K23" i="8"/>
  <c r="I23" i="8"/>
  <c r="G23" i="8"/>
  <c r="T22" i="8"/>
  <c r="R22" i="8"/>
  <c r="K22" i="8"/>
  <c r="I22" i="8"/>
  <c r="K21" i="8"/>
  <c r="J21" i="8"/>
  <c r="I21" i="8"/>
  <c r="H21" i="8"/>
  <c r="G21" i="8"/>
  <c r="F21" i="8"/>
  <c r="E21" i="8"/>
  <c r="D21" i="8"/>
  <c r="M119" i="8" s="1"/>
  <c r="T20" i="8"/>
  <c r="R20" i="8"/>
  <c r="K20" i="8"/>
  <c r="J20" i="8"/>
  <c r="I20" i="8"/>
  <c r="H20" i="8"/>
  <c r="G20" i="8"/>
  <c r="P118" i="8" s="1"/>
  <c r="F20" i="8"/>
  <c r="E20" i="8"/>
  <c r="D20" i="8"/>
  <c r="M118" i="8" s="1"/>
  <c r="R19" i="8"/>
  <c r="K19" i="8"/>
  <c r="J19" i="8"/>
  <c r="I19" i="8"/>
  <c r="H19" i="8"/>
  <c r="G19" i="8"/>
  <c r="F19" i="8"/>
  <c r="E19" i="8"/>
  <c r="D19" i="8"/>
  <c r="T18" i="8"/>
  <c r="R18" i="8"/>
  <c r="K18" i="8"/>
  <c r="J18" i="8"/>
  <c r="I18" i="8"/>
  <c r="H18" i="8"/>
  <c r="G18" i="8"/>
  <c r="P83" i="8" s="1"/>
  <c r="F18" i="8"/>
  <c r="F14" i="8" s="1"/>
  <c r="E18" i="8"/>
  <c r="D18" i="8"/>
  <c r="M116" i="8" s="1"/>
  <c r="R17" i="8"/>
  <c r="K17" i="8"/>
  <c r="J17" i="8"/>
  <c r="I17" i="8"/>
  <c r="H17" i="8"/>
  <c r="G17" i="8"/>
  <c r="P82" i="8" s="1"/>
  <c r="F17" i="8"/>
  <c r="E17" i="8"/>
  <c r="D17" i="8"/>
  <c r="T16" i="8"/>
  <c r="R16" i="8"/>
  <c r="K16" i="8"/>
  <c r="J16" i="8"/>
  <c r="I16" i="8"/>
  <c r="H16" i="8"/>
  <c r="G16" i="8"/>
  <c r="F16" i="8"/>
  <c r="E16" i="8"/>
  <c r="D16" i="8"/>
  <c r="T15" i="8"/>
  <c r="R15" i="8"/>
  <c r="K15" i="8"/>
  <c r="J15" i="8"/>
  <c r="I15" i="8"/>
  <c r="H15" i="8"/>
  <c r="G15" i="8"/>
  <c r="F15" i="8"/>
  <c r="E15" i="8"/>
  <c r="D15" i="8"/>
  <c r="T14" i="8"/>
  <c r="R14" i="8"/>
  <c r="K14" i="8"/>
  <c r="K34" i="8" s="1"/>
  <c r="K33" i="8" s="1"/>
  <c r="K47" i="13" s="1"/>
  <c r="I14" i="8"/>
  <c r="I34" i="8" s="1"/>
  <c r="I33" i="8" s="1"/>
  <c r="H14" i="8"/>
  <c r="B133" i="7"/>
  <c r="K130" i="7"/>
  <c r="I130" i="7"/>
  <c r="H130" i="7"/>
  <c r="G130" i="7"/>
  <c r="F130" i="7"/>
  <c r="O130" i="7" s="1"/>
  <c r="E130" i="7"/>
  <c r="D130" i="7"/>
  <c r="N129" i="7"/>
  <c r="K129" i="7"/>
  <c r="I129" i="7"/>
  <c r="R129" i="7" s="1"/>
  <c r="G129" i="7"/>
  <c r="F129" i="7"/>
  <c r="E129" i="7"/>
  <c r="D129" i="7"/>
  <c r="K128" i="7"/>
  <c r="I128" i="7"/>
  <c r="H128" i="7"/>
  <c r="G128" i="7"/>
  <c r="F128" i="7"/>
  <c r="D128" i="7"/>
  <c r="M128" i="7" s="1"/>
  <c r="K127" i="7"/>
  <c r="I127" i="7"/>
  <c r="H127" i="7"/>
  <c r="G127" i="7"/>
  <c r="F127" i="7"/>
  <c r="E127" i="7"/>
  <c r="D127" i="7"/>
  <c r="K126" i="7"/>
  <c r="H126" i="7"/>
  <c r="G126" i="7"/>
  <c r="F126" i="7"/>
  <c r="F125" i="7" s="1"/>
  <c r="E126" i="7"/>
  <c r="D126" i="7"/>
  <c r="K124" i="7"/>
  <c r="I124" i="7"/>
  <c r="H124" i="7"/>
  <c r="Q124" i="7" s="1"/>
  <c r="G124" i="7"/>
  <c r="F124" i="7"/>
  <c r="O124" i="7" s="1"/>
  <c r="E124" i="7"/>
  <c r="D124" i="7"/>
  <c r="K123" i="7"/>
  <c r="T123" i="7" s="1"/>
  <c r="I123" i="7"/>
  <c r="H123" i="7"/>
  <c r="G123" i="7"/>
  <c r="F123" i="7"/>
  <c r="E123" i="7"/>
  <c r="E121" i="7" s="1"/>
  <c r="D123" i="7"/>
  <c r="K122" i="7"/>
  <c r="K121" i="7" s="1"/>
  <c r="I122" i="7"/>
  <c r="H122" i="7"/>
  <c r="G122" i="7"/>
  <c r="F122" i="7"/>
  <c r="E122" i="7"/>
  <c r="D122" i="7"/>
  <c r="G121" i="7"/>
  <c r="K119" i="7"/>
  <c r="T119" i="7" s="1"/>
  <c r="I119" i="7"/>
  <c r="R119" i="7" s="1"/>
  <c r="H119" i="7"/>
  <c r="G119" i="7"/>
  <c r="F119" i="7"/>
  <c r="E119" i="7"/>
  <c r="D119" i="7"/>
  <c r="K118" i="7"/>
  <c r="T118" i="7" s="1"/>
  <c r="I118" i="7"/>
  <c r="H118" i="7"/>
  <c r="G118" i="7"/>
  <c r="P118" i="7" s="1"/>
  <c r="F118" i="7"/>
  <c r="E118" i="7"/>
  <c r="N118" i="7" s="1"/>
  <c r="D118" i="7"/>
  <c r="D112" i="7" s="1"/>
  <c r="K117" i="7"/>
  <c r="I117" i="7"/>
  <c r="R117" i="7" s="1"/>
  <c r="H117" i="7"/>
  <c r="G117" i="7"/>
  <c r="F117" i="7"/>
  <c r="D117" i="7"/>
  <c r="T116" i="7"/>
  <c r="R116" i="7"/>
  <c r="O116" i="7"/>
  <c r="K116" i="7"/>
  <c r="I116" i="7"/>
  <c r="H116" i="7"/>
  <c r="G116" i="7"/>
  <c r="F116" i="7"/>
  <c r="E116" i="7"/>
  <c r="N116" i="7" s="1"/>
  <c r="D116" i="7"/>
  <c r="K115" i="7"/>
  <c r="I115" i="7"/>
  <c r="R115" i="7" s="1"/>
  <c r="H115" i="7"/>
  <c r="G115" i="7"/>
  <c r="F115" i="7"/>
  <c r="D115" i="7"/>
  <c r="T114" i="7"/>
  <c r="R114" i="7"/>
  <c r="N114" i="7"/>
  <c r="K114" i="7"/>
  <c r="K112" i="7" s="1"/>
  <c r="I114" i="7"/>
  <c r="H114" i="7"/>
  <c r="Q114" i="7" s="1"/>
  <c r="G114" i="7"/>
  <c r="F114" i="7"/>
  <c r="E114" i="7"/>
  <c r="D114" i="7"/>
  <c r="N113" i="7"/>
  <c r="K113" i="7"/>
  <c r="I113" i="7"/>
  <c r="H113" i="7"/>
  <c r="G113" i="7"/>
  <c r="F113" i="7"/>
  <c r="E113" i="7"/>
  <c r="D113" i="7"/>
  <c r="H112" i="7"/>
  <c r="B100" i="7"/>
  <c r="P97" i="7"/>
  <c r="O97" i="7"/>
  <c r="K97" i="7"/>
  <c r="I97" i="7"/>
  <c r="G97" i="7"/>
  <c r="F97" i="7"/>
  <c r="E97" i="7"/>
  <c r="T96" i="7"/>
  <c r="R96" i="7"/>
  <c r="K96" i="7"/>
  <c r="J96" i="7"/>
  <c r="I96" i="7"/>
  <c r="H96" i="7"/>
  <c r="G96" i="7"/>
  <c r="F96" i="7"/>
  <c r="E96" i="7"/>
  <c r="N96" i="7" s="1"/>
  <c r="D96" i="7"/>
  <c r="R95" i="7"/>
  <c r="K95" i="7"/>
  <c r="J95" i="7"/>
  <c r="S95" i="7" s="1"/>
  <c r="I95" i="7"/>
  <c r="H95" i="7"/>
  <c r="G95" i="7"/>
  <c r="P95" i="7" s="1"/>
  <c r="E95" i="7"/>
  <c r="D95" i="7"/>
  <c r="K94" i="7"/>
  <c r="J94" i="7"/>
  <c r="I94" i="7"/>
  <c r="H94" i="7"/>
  <c r="G94" i="7"/>
  <c r="F94" i="7"/>
  <c r="E94" i="7"/>
  <c r="D94" i="7"/>
  <c r="M94" i="7" s="1"/>
  <c r="K93" i="7"/>
  <c r="J93" i="7"/>
  <c r="S93" i="7" s="1"/>
  <c r="I93" i="7"/>
  <c r="H93" i="7"/>
  <c r="G93" i="7"/>
  <c r="F93" i="7"/>
  <c r="E93" i="7"/>
  <c r="D93" i="7"/>
  <c r="K92" i="7"/>
  <c r="I92" i="7"/>
  <c r="D92" i="7"/>
  <c r="O91" i="7"/>
  <c r="K91" i="7"/>
  <c r="I91" i="7"/>
  <c r="H91" i="7"/>
  <c r="G91" i="7"/>
  <c r="F91" i="7"/>
  <c r="E91" i="7"/>
  <c r="T90" i="7"/>
  <c r="S90" i="7"/>
  <c r="R90" i="7"/>
  <c r="K90" i="7"/>
  <c r="J90" i="7"/>
  <c r="I90" i="7"/>
  <c r="H90" i="7"/>
  <c r="G90" i="7"/>
  <c r="P90" i="7" s="1"/>
  <c r="F90" i="7"/>
  <c r="E90" i="7"/>
  <c r="N90" i="7" s="1"/>
  <c r="D90" i="7"/>
  <c r="T89" i="7"/>
  <c r="O89" i="7"/>
  <c r="K89" i="7"/>
  <c r="I89" i="7"/>
  <c r="I88" i="7" s="1"/>
  <c r="G89" i="7"/>
  <c r="F89" i="7"/>
  <c r="F88" i="7" s="1"/>
  <c r="D89" i="7"/>
  <c r="K88" i="7"/>
  <c r="K87" i="7"/>
  <c r="R86" i="7"/>
  <c r="K86" i="7"/>
  <c r="J86" i="7"/>
  <c r="I86" i="7"/>
  <c r="H86" i="7"/>
  <c r="Q86" i="7" s="1"/>
  <c r="G86" i="7"/>
  <c r="F86" i="7"/>
  <c r="E86" i="7"/>
  <c r="D86" i="7"/>
  <c r="T85" i="7"/>
  <c r="K85" i="7"/>
  <c r="I85" i="7"/>
  <c r="R85" i="7" s="1"/>
  <c r="G85" i="7"/>
  <c r="P85" i="7" s="1"/>
  <c r="F85" i="7"/>
  <c r="E85" i="7"/>
  <c r="N85" i="7" s="1"/>
  <c r="T84" i="7"/>
  <c r="R84" i="7"/>
  <c r="K84" i="7"/>
  <c r="J84" i="7"/>
  <c r="I84" i="7"/>
  <c r="H84" i="7"/>
  <c r="G84" i="7"/>
  <c r="F84" i="7"/>
  <c r="D84" i="7"/>
  <c r="T83" i="7"/>
  <c r="R83" i="7"/>
  <c r="K83" i="7"/>
  <c r="I83" i="7"/>
  <c r="G83" i="7"/>
  <c r="P83" i="7" s="1"/>
  <c r="E83" i="7"/>
  <c r="N83" i="7" s="1"/>
  <c r="T82" i="7"/>
  <c r="R82" i="7"/>
  <c r="K82" i="7"/>
  <c r="J82" i="7"/>
  <c r="I82" i="7"/>
  <c r="H82" i="7"/>
  <c r="G82" i="7"/>
  <c r="P82" i="7" s="1"/>
  <c r="F82" i="7"/>
  <c r="D82" i="7"/>
  <c r="T81" i="7"/>
  <c r="P81" i="7"/>
  <c r="K81" i="7"/>
  <c r="I81" i="7"/>
  <c r="R81" i="7" s="1"/>
  <c r="G81" i="7"/>
  <c r="E81" i="7"/>
  <c r="N81" i="7" s="1"/>
  <c r="T80" i="7"/>
  <c r="K80" i="7"/>
  <c r="J80" i="7"/>
  <c r="I80" i="7"/>
  <c r="H80" i="7"/>
  <c r="G80" i="7"/>
  <c r="F80" i="7"/>
  <c r="D80" i="7"/>
  <c r="K79" i="7"/>
  <c r="K99" i="7" s="1"/>
  <c r="G79" i="7"/>
  <c r="B68" i="7"/>
  <c r="P65" i="7"/>
  <c r="K65" i="7"/>
  <c r="J65" i="7"/>
  <c r="J90" i="23" s="1"/>
  <c r="I65" i="7"/>
  <c r="H65" i="7"/>
  <c r="G65" i="7"/>
  <c r="F65" i="7"/>
  <c r="E65" i="7"/>
  <c r="D65" i="7"/>
  <c r="T64" i="7"/>
  <c r="N64" i="7"/>
  <c r="K64" i="7"/>
  <c r="J64" i="7"/>
  <c r="E64" i="7"/>
  <c r="D64" i="7"/>
  <c r="S63" i="7"/>
  <c r="K63" i="7"/>
  <c r="J63" i="7"/>
  <c r="I63" i="7"/>
  <c r="G63" i="7"/>
  <c r="E63" i="7"/>
  <c r="K62" i="7"/>
  <c r="J62" i="7"/>
  <c r="S62" i="7" s="1"/>
  <c r="I62" i="7"/>
  <c r="H62" i="7"/>
  <c r="Q62" i="7" s="1"/>
  <c r="F62" i="7"/>
  <c r="O62" i="7" s="1"/>
  <c r="D62" i="7"/>
  <c r="S61" i="7"/>
  <c r="K61" i="7"/>
  <c r="J61" i="7"/>
  <c r="I61" i="7"/>
  <c r="H61" i="7"/>
  <c r="G61" i="7"/>
  <c r="F61" i="7"/>
  <c r="E61" i="7"/>
  <c r="J60" i="7"/>
  <c r="T59" i="7"/>
  <c r="Q59" i="7"/>
  <c r="K59" i="7"/>
  <c r="J59" i="7"/>
  <c r="I59" i="7"/>
  <c r="R59" i="7" s="1"/>
  <c r="H59" i="7"/>
  <c r="G59" i="7"/>
  <c r="P59" i="7" s="1"/>
  <c r="E59" i="7"/>
  <c r="T58" i="7"/>
  <c r="P58" i="7"/>
  <c r="K58" i="7"/>
  <c r="J58" i="7"/>
  <c r="H58" i="7"/>
  <c r="Q58" i="7" s="1"/>
  <c r="G58" i="7"/>
  <c r="F58" i="7"/>
  <c r="D58" i="7"/>
  <c r="S57" i="7"/>
  <c r="K57" i="7"/>
  <c r="J57" i="7"/>
  <c r="I57" i="7"/>
  <c r="H57" i="7"/>
  <c r="H56" i="7" s="1"/>
  <c r="G57" i="7"/>
  <c r="G56" i="7" s="1"/>
  <c r="F57" i="7"/>
  <c r="E57" i="7"/>
  <c r="J56" i="7"/>
  <c r="T54" i="7"/>
  <c r="S54" i="7"/>
  <c r="K54" i="7"/>
  <c r="J54" i="7"/>
  <c r="I54" i="7"/>
  <c r="H54" i="7"/>
  <c r="Q54" i="7" s="1"/>
  <c r="F54" i="7"/>
  <c r="D54" i="7"/>
  <c r="M54" i="7" s="1"/>
  <c r="Q53" i="7"/>
  <c r="P53" i="7"/>
  <c r="K53" i="7"/>
  <c r="T53" i="7" s="1"/>
  <c r="J53" i="7"/>
  <c r="I53" i="7"/>
  <c r="R53" i="7" s="1"/>
  <c r="H53" i="7"/>
  <c r="G53" i="7"/>
  <c r="E53" i="7"/>
  <c r="N53" i="7" s="1"/>
  <c r="T52" i="7"/>
  <c r="K52" i="7"/>
  <c r="J52" i="7"/>
  <c r="S52" i="7" s="1"/>
  <c r="I52" i="7"/>
  <c r="R52" i="7" s="1"/>
  <c r="H52" i="7"/>
  <c r="Q52" i="7" s="1"/>
  <c r="G52" i="7"/>
  <c r="F52" i="7"/>
  <c r="D52" i="7"/>
  <c r="S51" i="7"/>
  <c r="K51" i="7"/>
  <c r="T51" i="7" s="1"/>
  <c r="J51" i="7"/>
  <c r="I51" i="7"/>
  <c r="R51" i="7" s="1"/>
  <c r="H51" i="7"/>
  <c r="Q51" i="7" s="1"/>
  <c r="G51" i="7"/>
  <c r="P51" i="7" s="1"/>
  <c r="F51" i="7"/>
  <c r="E51" i="7"/>
  <c r="N51" i="7" s="1"/>
  <c r="T50" i="7"/>
  <c r="K50" i="7"/>
  <c r="J50" i="7"/>
  <c r="H50" i="7"/>
  <c r="Q50" i="7" s="1"/>
  <c r="G50" i="7"/>
  <c r="F50" i="7"/>
  <c r="O50" i="7" s="1"/>
  <c r="E50" i="7"/>
  <c r="D50" i="7"/>
  <c r="M50" i="7" s="1"/>
  <c r="T49" i="7"/>
  <c r="P49" i="7"/>
  <c r="K49" i="7"/>
  <c r="K47" i="7" s="1"/>
  <c r="J49" i="7"/>
  <c r="I49" i="7"/>
  <c r="R49" i="7" s="1"/>
  <c r="H49" i="7"/>
  <c r="G49" i="7"/>
  <c r="F49" i="7"/>
  <c r="E49" i="7"/>
  <c r="N49" i="7" s="1"/>
  <c r="D49" i="7"/>
  <c r="T48" i="7"/>
  <c r="N48" i="7"/>
  <c r="K48" i="7"/>
  <c r="J48" i="7"/>
  <c r="H48" i="7"/>
  <c r="H47" i="7" s="1"/>
  <c r="F48" i="7"/>
  <c r="E48" i="7"/>
  <c r="D48" i="7"/>
  <c r="J47" i="7"/>
  <c r="B35" i="7"/>
  <c r="K32" i="7"/>
  <c r="T130" i="7" s="1"/>
  <c r="I32" i="7"/>
  <c r="R130" i="7" s="1"/>
  <c r="G32" i="7"/>
  <c r="F32" i="7"/>
  <c r="F47" i="23" s="1"/>
  <c r="E32" i="7"/>
  <c r="D32" i="7"/>
  <c r="K31" i="7"/>
  <c r="T129" i="7" s="1"/>
  <c r="J31" i="7"/>
  <c r="S64" i="7" s="1"/>
  <c r="I31" i="7"/>
  <c r="H31" i="7"/>
  <c r="F31" i="7"/>
  <c r="E31" i="7"/>
  <c r="D31" i="7"/>
  <c r="K30" i="7"/>
  <c r="J30" i="7"/>
  <c r="I30" i="7"/>
  <c r="R128" i="7" s="1"/>
  <c r="G30" i="7"/>
  <c r="E30" i="7"/>
  <c r="N63" i="7" s="1"/>
  <c r="D30" i="7"/>
  <c r="M95" i="7" s="1"/>
  <c r="K29" i="7"/>
  <c r="T62" i="7" s="1"/>
  <c r="J29" i="7"/>
  <c r="I29" i="7"/>
  <c r="H29" i="7"/>
  <c r="Q127" i="7" s="1"/>
  <c r="F29" i="7"/>
  <c r="D29" i="7"/>
  <c r="K28" i="7"/>
  <c r="J28" i="7"/>
  <c r="I28" i="7"/>
  <c r="H28" i="7"/>
  <c r="G28" i="7"/>
  <c r="P61" i="7" s="1"/>
  <c r="F28" i="7"/>
  <c r="E28" i="7"/>
  <c r="J27" i="7"/>
  <c r="K26" i="7"/>
  <c r="T124" i="7" s="1"/>
  <c r="I26" i="7"/>
  <c r="R124" i="7" s="1"/>
  <c r="H26" i="7"/>
  <c r="G26" i="7"/>
  <c r="F26" i="7"/>
  <c r="E26" i="7"/>
  <c r="K25" i="7"/>
  <c r="J25" i="7"/>
  <c r="I25" i="7"/>
  <c r="H25" i="7"/>
  <c r="G25" i="7"/>
  <c r="F25" i="7"/>
  <c r="F23" i="7" s="1"/>
  <c r="E25" i="7"/>
  <c r="D25" i="7"/>
  <c r="M90" i="7" s="1"/>
  <c r="K24" i="7"/>
  <c r="T122" i="7" s="1"/>
  <c r="J24" i="7"/>
  <c r="I24" i="7"/>
  <c r="I23" i="7" s="1"/>
  <c r="G24" i="7"/>
  <c r="P57" i="7" s="1"/>
  <c r="F24" i="7"/>
  <c r="E24" i="7"/>
  <c r="D24" i="7"/>
  <c r="M89" i="7" s="1"/>
  <c r="G23" i="7"/>
  <c r="K21" i="7"/>
  <c r="K14" i="7" s="1"/>
  <c r="J21" i="7"/>
  <c r="I21" i="7"/>
  <c r="H21" i="7"/>
  <c r="Q119" i="7" s="1"/>
  <c r="F21" i="7"/>
  <c r="D21" i="7"/>
  <c r="K20" i="7"/>
  <c r="J20" i="7"/>
  <c r="S53" i="7" s="1"/>
  <c r="I20" i="7"/>
  <c r="R118" i="7" s="1"/>
  <c r="H20" i="7"/>
  <c r="G20" i="7"/>
  <c r="F20" i="7"/>
  <c r="O118" i="7" s="1"/>
  <c r="E20" i="7"/>
  <c r="D20" i="7"/>
  <c r="K19" i="7"/>
  <c r="T117" i="7" s="1"/>
  <c r="J19" i="7"/>
  <c r="S84" i="7" s="1"/>
  <c r="I19" i="7"/>
  <c r="H19" i="7"/>
  <c r="Q117" i="7" s="1"/>
  <c r="F19" i="7"/>
  <c r="D19" i="7"/>
  <c r="K18" i="7"/>
  <c r="J18" i="7"/>
  <c r="I18" i="7"/>
  <c r="H18" i="7"/>
  <c r="G18" i="7"/>
  <c r="F18" i="7"/>
  <c r="E18" i="7"/>
  <c r="D18" i="7"/>
  <c r="K17" i="7"/>
  <c r="T115" i="7" s="1"/>
  <c r="J17" i="7"/>
  <c r="S82" i="7" s="1"/>
  <c r="I17" i="7"/>
  <c r="H17" i="7"/>
  <c r="Q115" i="7" s="1"/>
  <c r="G17" i="7"/>
  <c r="P50" i="7" s="1"/>
  <c r="F17" i="7"/>
  <c r="O115" i="7" s="1"/>
  <c r="D17" i="7"/>
  <c r="M82" i="7" s="1"/>
  <c r="K16" i="7"/>
  <c r="J16" i="7"/>
  <c r="S49" i="7" s="1"/>
  <c r="I16" i="7"/>
  <c r="H16" i="7"/>
  <c r="Q49" i="7" s="1"/>
  <c r="G16" i="7"/>
  <c r="F16" i="7"/>
  <c r="E16" i="7"/>
  <c r="D16" i="7"/>
  <c r="K15" i="7"/>
  <c r="T113" i="7" s="1"/>
  <c r="J15" i="7"/>
  <c r="S48" i="7" s="1"/>
  <c r="I15" i="7"/>
  <c r="R80" i="7" s="1"/>
  <c r="H15" i="7"/>
  <c r="F15" i="7"/>
  <c r="O80" i="7" s="1"/>
  <c r="E15" i="7"/>
  <c r="D15" i="7"/>
  <c r="M80" i="7" s="1"/>
  <c r="H14" i="7"/>
  <c r="R179" i="6"/>
  <c r="L178" i="6"/>
  <c r="K178" i="6"/>
  <c r="M177" i="6"/>
  <c r="J176" i="6"/>
  <c r="O175" i="6"/>
  <c r="G175" i="6"/>
  <c r="F174" i="6"/>
  <c r="R170" i="6"/>
  <c r="S152" i="6"/>
  <c r="V151" i="6"/>
  <c r="V179" i="6" s="1"/>
  <c r="U151" i="6"/>
  <c r="U179" i="6" s="1"/>
  <c r="T151" i="6"/>
  <c r="S151" i="6"/>
  <c r="S179" i="6" s="1"/>
  <c r="R151" i="6"/>
  <c r="Q151" i="6"/>
  <c r="Q179" i="6" s="1"/>
  <c r="P151" i="6"/>
  <c r="O151" i="6"/>
  <c r="O179" i="6" s="1"/>
  <c r="N151" i="6"/>
  <c r="M151" i="6"/>
  <c r="L151" i="6"/>
  <c r="K151" i="6"/>
  <c r="J151" i="6"/>
  <c r="I151" i="6"/>
  <c r="H151" i="6"/>
  <c r="G151" i="6"/>
  <c r="F151" i="6"/>
  <c r="F179" i="6" s="1"/>
  <c r="E151" i="6"/>
  <c r="E179" i="6" s="1"/>
  <c r="D151" i="6"/>
  <c r="V150" i="6"/>
  <c r="U150" i="6"/>
  <c r="U178" i="6" s="1"/>
  <c r="T150" i="6"/>
  <c r="T178" i="6" s="1"/>
  <c r="S150" i="6"/>
  <c r="S148" i="6" s="1"/>
  <c r="R150" i="6"/>
  <c r="R178" i="6" s="1"/>
  <c r="Q150" i="6"/>
  <c r="P150" i="6"/>
  <c r="O150" i="6"/>
  <c r="N150" i="6"/>
  <c r="N148" i="6" s="1"/>
  <c r="M150" i="6"/>
  <c r="M178" i="6" s="1"/>
  <c r="L150" i="6"/>
  <c r="K150" i="6"/>
  <c r="J150" i="6"/>
  <c r="J178" i="6" s="1"/>
  <c r="I150" i="6"/>
  <c r="I178" i="6" s="1"/>
  <c r="H150" i="6"/>
  <c r="G150" i="6"/>
  <c r="F150" i="6"/>
  <c r="F178" i="6" s="1"/>
  <c r="E150" i="6"/>
  <c r="D150" i="6"/>
  <c r="D178" i="6" s="1"/>
  <c r="V149" i="6"/>
  <c r="U149" i="6"/>
  <c r="T149" i="6"/>
  <c r="T148" i="6" s="1"/>
  <c r="S149" i="6"/>
  <c r="R149" i="6"/>
  <c r="R148" i="6" s="1"/>
  <c r="Q149" i="6"/>
  <c r="P149" i="6"/>
  <c r="P177" i="6" s="1"/>
  <c r="O149" i="6"/>
  <c r="N149" i="6"/>
  <c r="M149" i="6"/>
  <c r="L149" i="6"/>
  <c r="K149" i="6"/>
  <c r="K177" i="6" s="1"/>
  <c r="J149" i="6"/>
  <c r="I149" i="6"/>
  <c r="I148" i="6" s="1"/>
  <c r="H149" i="6"/>
  <c r="G149" i="6"/>
  <c r="G177" i="6" s="1"/>
  <c r="F149" i="6"/>
  <c r="F148" i="6" s="1"/>
  <c r="E149" i="6"/>
  <c r="E177" i="6" s="1"/>
  <c r="D149" i="6"/>
  <c r="D148" i="6" s="1"/>
  <c r="U148" i="6"/>
  <c r="P148" i="6"/>
  <c r="O148" i="6"/>
  <c r="M148" i="6"/>
  <c r="K148" i="6"/>
  <c r="K176" i="6" s="1"/>
  <c r="J148" i="6"/>
  <c r="H148" i="6"/>
  <c r="H176" i="6" s="1"/>
  <c r="E148" i="6"/>
  <c r="V147" i="6"/>
  <c r="U147" i="6"/>
  <c r="T147" i="6"/>
  <c r="S147" i="6"/>
  <c r="R147" i="6"/>
  <c r="R175" i="6" s="1"/>
  <c r="Q147" i="6"/>
  <c r="Q175" i="6" s="1"/>
  <c r="P147" i="6"/>
  <c r="O147" i="6"/>
  <c r="N147" i="6"/>
  <c r="N175" i="6" s="1"/>
  <c r="M147" i="6"/>
  <c r="M175" i="6" s="1"/>
  <c r="L147" i="6"/>
  <c r="L145" i="6" s="1"/>
  <c r="K147" i="6"/>
  <c r="K175" i="6" s="1"/>
  <c r="J147" i="6"/>
  <c r="I147" i="6"/>
  <c r="H147" i="6"/>
  <c r="G147" i="6"/>
  <c r="G145" i="6" s="1"/>
  <c r="F147" i="6"/>
  <c r="F175" i="6" s="1"/>
  <c r="E147" i="6"/>
  <c r="D147" i="6"/>
  <c r="V146" i="6"/>
  <c r="V174" i="6" s="1"/>
  <c r="U146" i="6"/>
  <c r="T146" i="6"/>
  <c r="S146" i="6"/>
  <c r="R146" i="6"/>
  <c r="Q146" i="6"/>
  <c r="Q174" i="6" s="1"/>
  <c r="P146" i="6"/>
  <c r="P174" i="6" s="1"/>
  <c r="O146" i="6"/>
  <c r="N146" i="6"/>
  <c r="M146" i="6"/>
  <c r="M145" i="6" s="1"/>
  <c r="L146" i="6"/>
  <c r="K146" i="6"/>
  <c r="K145" i="6" s="1"/>
  <c r="J146" i="6"/>
  <c r="I146" i="6"/>
  <c r="I174" i="6" s="1"/>
  <c r="H146" i="6"/>
  <c r="G146" i="6"/>
  <c r="F146" i="6"/>
  <c r="E146" i="6"/>
  <c r="D146" i="6"/>
  <c r="D174" i="6" s="1"/>
  <c r="V145" i="6"/>
  <c r="T145" i="6"/>
  <c r="S145" i="6"/>
  <c r="Q145" i="6"/>
  <c r="Q173" i="6" s="1"/>
  <c r="P145" i="6"/>
  <c r="P144" i="6" s="1"/>
  <c r="P153" i="6" s="1"/>
  <c r="N145" i="6"/>
  <c r="I145" i="6"/>
  <c r="H145" i="6"/>
  <c r="F145" i="6"/>
  <c r="D145" i="6"/>
  <c r="K144" i="6"/>
  <c r="V143" i="6"/>
  <c r="U143" i="6"/>
  <c r="T143" i="6"/>
  <c r="S143" i="6"/>
  <c r="R143" i="6"/>
  <c r="R171" i="6" s="1"/>
  <c r="Q143" i="6"/>
  <c r="P143" i="6"/>
  <c r="O143" i="6"/>
  <c r="O171" i="6" s="1"/>
  <c r="N143" i="6"/>
  <c r="N171" i="6" s="1"/>
  <c r="M143" i="6"/>
  <c r="L143" i="6"/>
  <c r="K143" i="6"/>
  <c r="J143" i="6"/>
  <c r="J171" i="6" s="1"/>
  <c r="I143" i="6"/>
  <c r="I171" i="6" s="1"/>
  <c r="H143" i="6"/>
  <c r="G143" i="6"/>
  <c r="F143" i="6"/>
  <c r="E143" i="6"/>
  <c r="D143" i="6"/>
  <c r="V142" i="6"/>
  <c r="V139" i="6" s="1"/>
  <c r="U142" i="6"/>
  <c r="U170" i="6" s="1"/>
  <c r="T142" i="6"/>
  <c r="S142" i="6"/>
  <c r="R142" i="6"/>
  <c r="Q142" i="6"/>
  <c r="Q170" i="6" s="1"/>
  <c r="P142" i="6"/>
  <c r="P170" i="6" s="1"/>
  <c r="O142" i="6"/>
  <c r="N142" i="6"/>
  <c r="M142" i="6"/>
  <c r="L142" i="6"/>
  <c r="L170" i="6" s="1"/>
  <c r="K142" i="6"/>
  <c r="J142" i="6"/>
  <c r="J170" i="6" s="1"/>
  <c r="I142" i="6"/>
  <c r="H142" i="6"/>
  <c r="G142" i="6"/>
  <c r="F142" i="6"/>
  <c r="F139" i="6" s="1"/>
  <c r="E142" i="6"/>
  <c r="D142" i="6"/>
  <c r="V141" i="6"/>
  <c r="V169" i="6" s="1"/>
  <c r="U141" i="6"/>
  <c r="U169" i="6" s="1"/>
  <c r="T141" i="6"/>
  <c r="T169" i="6" s="1"/>
  <c r="S141" i="6"/>
  <c r="R141" i="6"/>
  <c r="Q141" i="6"/>
  <c r="P141" i="6"/>
  <c r="P169" i="6" s="1"/>
  <c r="O141" i="6"/>
  <c r="O169" i="6" s="1"/>
  <c r="N141" i="6"/>
  <c r="M141" i="6"/>
  <c r="M169" i="6" s="1"/>
  <c r="L141" i="6"/>
  <c r="K141" i="6"/>
  <c r="K169" i="6" s="1"/>
  <c r="J141" i="6"/>
  <c r="J169" i="6" s="1"/>
  <c r="I141" i="6"/>
  <c r="I139" i="6" s="1"/>
  <c r="H141" i="6"/>
  <c r="H169" i="6" s="1"/>
  <c r="G141" i="6"/>
  <c r="F141" i="6"/>
  <c r="E141" i="6"/>
  <c r="E169" i="6" s="1"/>
  <c r="D141" i="6"/>
  <c r="D169" i="6" s="1"/>
  <c r="V140" i="6"/>
  <c r="V168" i="6" s="1"/>
  <c r="U140" i="6"/>
  <c r="T140" i="6"/>
  <c r="T139" i="6" s="1"/>
  <c r="S140" i="6"/>
  <c r="S168" i="6" s="1"/>
  <c r="R140" i="6"/>
  <c r="R168" i="6" s="1"/>
  <c r="Q140" i="6"/>
  <c r="P140" i="6"/>
  <c r="P168" i="6" s="1"/>
  <c r="O140" i="6"/>
  <c r="N140" i="6"/>
  <c r="N168" i="6" s="1"/>
  <c r="M140" i="6"/>
  <c r="M168" i="6" s="1"/>
  <c r="L140" i="6"/>
  <c r="L139" i="6" s="1"/>
  <c r="K140" i="6"/>
  <c r="K168" i="6" s="1"/>
  <c r="J140" i="6"/>
  <c r="I140" i="6"/>
  <c r="H140" i="6"/>
  <c r="H168" i="6" s="1"/>
  <c r="G140" i="6"/>
  <c r="F140" i="6"/>
  <c r="F168" i="6" s="1"/>
  <c r="E140" i="6"/>
  <c r="D140" i="6"/>
  <c r="D139" i="6" s="1"/>
  <c r="U139" i="6"/>
  <c r="S139" i="6"/>
  <c r="R139" i="6"/>
  <c r="P139" i="6"/>
  <c r="P152" i="6" s="1"/>
  <c r="J139" i="6"/>
  <c r="H139" i="6"/>
  <c r="H152" i="6" s="1"/>
  <c r="E139" i="6"/>
  <c r="L126" i="6"/>
  <c r="K126" i="6"/>
  <c r="K119" i="6"/>
  <c r="S102" i="6"/>
  <c r="V101" i="6"/>
  <c r="V127" i="6" s="1"/>
  <c r="U101" i="6"/>
  <c r="U127" i="6" s="1"/>
  <c r="T101" i="6"/>
  <c r="T127" i="6" s="1"/>
  <c r="S101" i="6"/>
  <c r="R101" i="6"/>
  <c r="R127" i="6" s="1"/>
  <c r="Q101" i="6"/>
  <c r="Q127" i="6" s="1"/>
  <c r="P101" i="6"/>
  <c r="O101" i="6"/>
  <c r="O127" i="6" s="1"/>
  <c r="N101" i="6"/>
  <c r="M101" i="6"/>
  <c r="M127" i="6" s="1"/>
  <c r="L101" i="6"/>
  <c r="L127" i="6" s="1"/>
  <c r="K101" i="6"/>
  <c r="J101" i="6"/>
  <c r="J127" i="6" s="1"/>
  <c r="I101" i="6"/>
  <c r="H101" i="6"/>
  <c r="G101" i="6"/>
  <c r="G127" i="6" s="1"/>
  <c r="F101" i="6"/>
  <c r="F127" i="6" s="1"/>
  <c r="E101" i="6"/>
  <c r="E127" i="6" s="1"/>
  <c r="D101" i="6"/>
  <c r="D127" i="6" s="1"/>
  <c r="V100" i="6"/>
  <c r="U100" i="6"/>
  <c r="U126" i="6" s="1"/>
  <c r="T100" i="6"/>
  <c r="T126" i="6" s="1"/>
  <c r="S100" i="6"/>
  <c r="R100" i="6"/>
  <c r="R126" i="6" s="1"/>
  <c r="Q100" i="6"/>
  <c r="P100" i="6"/>
  <c r="P126" i="6" s="1"/>
  <c r="O100" i="6"/>
  <c r="O126" i="6" s="1"/>
  <c r="N100" i="6"/>
  <c r="N98" i="6" s="1"/>
  <c r="M100" i="6"/>
  <c r="M126" i="6" s="1"/>
  <c r="L100" i="6"/>
  <c r="K100" i="6"/>
  <c r="J100" i="6"/>
  <c r="J126" i="6" s="1"/>
  <c r="I100" i="6"/>
  <c r="I126" i="6" s="1"/>
  <c r="H100" i="6"/>
  <c r="H126" i="6" s="1"/>
  <c r="G100" i="6"/>
  <c r="G126" i="6" s="1"/>
  <c r="F100" i="6"/>
  <c r="E100" i="6"/>
  <c r="E126" i="6" s="1"/>
  <c r="D100" i="6"/>
  <c r="D126" i="6" s="1"/>
  <c r="V99" i="6"/>
  <c r="V98" i="6" s="1"/>
  <c r="U99" i="6"/>
  <c r="U125" i="6" s="1"/>
  <c r="T99" i="6"/>
  <c r="S99" i="6"/>
  <c r="S125" i="6" s="1"/>
  <c r="R99" i="6"/>
  <c r="Q99" i="6"/>
  <c r="Q98" i="6" s="1"/>
  <c r="P99" i="6"/>
  <c r="P125" i="6" s="1"/>
  <c r="O99" i="6"/>
  <c r="N99" i="6"/>
  <c r="M99" i="6"/>
  <c r="M125" i="6" s="1"/>
  <c r="L99" i="6"/>
  <c r="K99" i="6"/>
  <c r="K125" i="6" s="1"/>
  <c r="J99" i="6"/>
  <c r="J125" i="6" s="1"/>
  <c r="I99" i="6"/>
  <c r="H99" i="6"/>
  <c r="H125" i="6" s="1"/>
  <c r="G99" i="6"/>
  <c r="G125" i="6" s="1"/>
  <c r="F99" i="6"/>
  <c r="F98" i="6" s="1"/>
  <c r="E99" i="6"/>
  <c r="E125" i="6" s="1"/>
  <c r="D99" i="6"/>
  <c r="U98" i="6"/>
  <c r="P98" i="6"/>
  <c r="O98" i="6"/>
  <c r="K98" i="6"/>
  <c r="K124" i="6" s="1"/>
  <c r="J98" i="6"/>
  <c r="H98" i="6"/>
  <c r="H124" i="6" s="1"/>
  <c r="G98" i="6"/>
  <c r="E98" i="6"/>
  <c r="V97" i="6"/>
  <c r="V123" i="6" s="1"/>
  <c r="U97" i="6"/>
  <c r="T97" i="6"/>
  <c r="S97" i="6"/>
  <c r="S123" i="6" s="1"/>
  <c r="R97" i="6"/>
  <c r="R123" i="6" s="1"/>
  <c r="Q97" i="6"/>
  <c r="Q123" i="6" s="1"/>
  <c r="P97" i="6"/>
  <c r="P123" i="6" s="1"/>
  <c r="O97" i="6"/>
  <c r="N97" i="6"/>
  <c r="N123" i="6" s="1"/>
  <c r="M97" i="6"/>
  <c r="M123" i="6" s="1"/>
  <c r="L97" i="6"/>
  <c r="K97" i="6"/>
  <c r="K123" i="6" s="1"/>
  <c r="J97" i="6"/>
  <c r="I97" i="6"/>
  <c r="I123" i="6" s="1"/>
  <c r="H97" i="6"/>
  <c r="H123" i="6" s="1"/>
  <c r="G97" i="6"/>
  <c r="G95" i="6" s="1"/>
  <c r="F97" i="6"/>
  <c r="F123" i="6" s="1"/>
  <c r="E97" i="6"/>
  <c r="D97" i="6"/>
  <c r="V96" i="6"/>
  <c r="V122" i="6" s="1"/>
  <c r="U96" i="6"/>
  <c r="T96" i="6"/>
  <c r="T122" i="6" s="1"/>
  <c r="S96" i="6"/>
  <c r="S122" i="6" s="1"/>
  <c r="R96" i="6"/>
  <c r="Q96" i="6"/>
  <c r="Q122" i="6" s="1"/>
  <c r="P96" i="6"/>
  <c r="P122" i="6" s="1"/>
  <c r="O96" i="6"/>
  <c r="O95" i="6" s="1"/>
  <c r="N96" i="6"/>
  <c r="N122" i="6" s="1"/>
  <c r="M96" i="6"/>
  <c r="L96" i="6"/>
  <c r="L122" i="6" s="1"/>
  <c r="K96" i="6"/>
  <c r="J96" i="6"/>
  <c r="J95" i="6" s="1"/>
  <c r="I96" i="6"/>
  <c r="I122" i="6" s="1"/>
  <c r="H96" i="6"/>
  <c r="G96" i="6"/>
  <c r="F96" i="6"/>
  <c r="F122" i="6" s="1"/>
  <c r="E96" i="6"/>
  <c r="D96" i="6"/>
  <c r="D122" i="6" s="1"/>
  <c r="T95" i="6"/>
  <c r="S95" i="6"/>
  <c r="Q95" i="6"/>
  <c r="Q121" i="6" s="1"/>
  <c r="P95" i="6"/>
  <c r="N95" i="6"/>
  <c r="I95" i="6"/>
  <c r="H95" i="6"/>
  <c r="D95" i="6"/>
  <c r="Q94" i="6"/>
  <c r="V93" i="6"/>
  <c r="V89" i="6" s="1"/>
  <c r="U93" i="6"/>
  <c r="U119" i="6" s="1"/>
  <c r="T93" i="6"/>
  <c r="T119" i="6" s="1"/>
  <c r="S93" i="6"/>
  <c r="R93" i="6"/>
  <c r="R119" i="6" s="1"/>
  <c r="Q93" i="6"/>
  <c r="P93" i="6"/>
  <c r="O93" i="6"/>
  <c r="O119" i="6" s="1"/>
  <c r="N93" i="6"/>
  <c r="N119" i="6" s="1"/>
  <c r="M93" i="6"/>
  <c r="M119" i="6" s="1"/>
  <c r="L93" i="6"/>
  <c r="K93" i="6"/>
  <c r="K89" i="6" s="1"/>
  <c r="J93" i="6"/>
  <c r="J119" i="6" s="1"/>
  <c r="I93" i="6"/>
  <c r="I119" i="6" s="1"/>
  <c r="H93" i="6"/>
  <c r="G93" i="6"/>
  <c r="G119" i="6" s="1"/>
  <c r="F93" i="6"/>
  <c r="F89" i="6" s="1"/>
  <c r="E93" i="6"/>
  <c r="E119" i="6" s="1"/>
  <c r="D93" i="6"/>
  <c r="D119" i="6" s="1"/>
  <c r="V92" i="6"/>
  <c r="U92" i="6"/>
  <c r="U118" i="6" s="1"/>
  <c r="T92" i="6"/>
  <c r="S92" i="6"/>
  <c r="R92" i="6"/>
  <c r="R118" i="6" s="1"/>
  <c r="Q92" i="6"/>
  <c r="Q118" i="6" s="1"/>
  <c r="P92" i="6"/>
  <c r="P118" i="6" s="1"/>
  <c r="O92" i="6"/>
  <c r="N92" i="6"/>
  <c r="M92" i="6"/>
  <c r="M118" i="6" s="1"/>
  <c r="L92" i="6"/>
  <c r="L118" i="6" s="1"/>
  <c r="K92" i="6"/>
  <c r="J92" i="6"/>
  <c r="J118" i="6" s="1"/>
  <c r="I92" i="6"/>
  <c r="H92" i="6"/>
  <c r="H118" i="6" s="1"/>
  <c r="G92" i="6"/>
  <c r="G118" i="6" s="1"/>
  <c r="F92" i="6"/>
  <c r="E92" i="6"/>
  <c r="E118" i="6" s="1"/>
  <c r="D92" i="6"/>
  <c r="V91" i="6"/>
  <c r="U91" i="6"/>
  <c r="U117" i="6" s="1"/>
  <c r="T91" i="6"/>
  <c r="T117" i="6" s="1"/>
  <c r="S91" i="6"/>
  <c r="S117" i="6" s="1"/>
  <c r="R91" i="6"/>
  <c r="Q91" i="6"/>
  <c r="P91" i="6"/>
  <c r="P117" i="6" s="1"/>
  <c r="O91" i="6"/>
  <c r="O117" i="6" s="1"/>
  <c r="N91" i="6"/>
  <c r="M91" i="6"/>
  <c r="M117" i="6" s="1"/>
  <c r="L91" i="6"/>
  <c r="K91" i="6"/>
  <c r="K117" i="6" s="1"/>
  <c r="J91" i="6"/>
  <c r="J117" i="6" s="1"/>
  <c r="I91" i="6"/>
  <c r="I89" i="6" s="1"/>
  <c r="H91" i="6"/>
  <c r="H117" i="6" s="1"/>
  <c r="G91" i="6"/>
  <c r="F91" i="6"/>
  <c r="E91" i="6"/>
  <c r="E117" i="6" s="1"/>
  <c r="D91" i="6"/>
  <c r="D117" i="6" s="1"/>
  <c r="V90" i="6"/>
  <c r="V116" i="6" s="1"/>
  <c r="U90" i="6"/>
  <c r="T90" i="6"/>
  <c r="S90" i="6"/>
  <c r="S116" i="6" s="1"/>
  <c r="R90" i="6"/>
  <c r="R116" i="6" s="1"/>
  <c r="Q90" i="6"/>
  <c r="P90" i="6"/>
  <c r="O90" i="6"/>
  <c r="N90" i="6"/>
  <c r="N116" i="6" s="1"/>
  <c r="M90" i="6"/>
  <c r="L90" i="6"/>
  <c r="L89" i="6" s="1"/>
  <c r="K90" i="6"/>
  <c r="K116" i="6" s="1"/>
  <c r="J90" i="6"/>
  <c r="I90" i="6"/>
  <c r="H90" i="6"/>
  <c r="H116" i="6" s="1"/>
  <c r="G90" i="6"/>
  <c r="F90" i="6"/>
  <c r="F116" i="6" s="1"/>
  <c r="E90" i="6"/>
  <c r="D90" i="6"/>
  <c r="U89" i="6"/>
  <c r="S89" i="6"/>
  <c r="R89" i="6"/>
  <c r="P89" i="6"/>
  <c r="J89" i="6"/>
  <c r="E89" i="6"/>
  <c r="O74" i="6"/>
  <c r="E74" i="6"/>
  <c r="V69" i="6"/>
  <c r="N69" i="6"/>
  <c r="V52" i="6"/>
  <c r="V78" i="6" s="1"/>
  <c r="U52" i="6"/>
  <c r="U78" i="6" s="1"/>
  <c r="T52" i="6"/>
  <c r="T78" i="6" s="1"/>
  <c r="S52" i="6"/>
  <c r="R52" i="6"/>
  <c r="R78" i="6" s="1"/>
  <c r="Q52" i="6"/>
  <c r="Q78" i="6" s="1"/>
  <c r="P52" i="6"/>
  <c r="O52" i="6"/>
  <c r="O78" i="6" s="1"/>
  <c r="N52" i="6"/>
  <c r="M52" i="6"/>
  <c r="L52" i="6"/>
  <c r="L78" i="6" s="1"/>
  <c r="K52" i="6"/>
  <c r="J52" i="6"/>
  <c r="J78" i="6" s="1"/>
  <c r="I52" i="6"/>
  <c r="H52" i="6"/>
  <c r="G52" i="6"/>
  <c r="G78" i="6" s="1"/>
  <c r="F52" i="6"/>
  <c r="F78" i="6" s="1"/>
  <c r="E52" i="6"/>
  <c r="E78" i="6" s="1"/>
  <c r="D52" i="6"/>
  <c r="D78" i="6" s="1"/>
  <c r="V51" i="6"/>
  <c r="U51" i="6"/>
  <c r="U77" i="6" s="1"/>
  <c r="T51" i="6"/>
  <c r="T77" i="6" s="1"/>
  <c r="S51" i="6"/>
  <c r="S49" i="6" s="1"/>
  <c r="R51" i="6"/>
  <c r="R77" i="6" s="1"/>
  <c r="Q51" i="6"/>
  <c r="P51" i="6"/>
  <c r="O51" i="6"/>
  <c r="O77" i="6" s="1"/>
  <c r="N51" i="6"/>
  <c r="N49" i="6" s="1"/>
  <c r="M51" i="6"/>
  <c r="M77" i="6" s="1"/>
  <c r="L51" i="6"/>
  <c r="K51" i="6"/>
  <c r="J51" i="6"/>
  <c r="J77" i="6" s="1"/>
  <c r="I51" i="6"/>
  <c r="I77" i="6" s="1"/>
  <c r="H51" i="6"/>
  <c r="H77" i="6" s="1"/>
  <c r="G51" i="6"/>
  <c r="G77" i="6" s="1"/>
  <c r="F51" i="6"/>
  <c r="E51" i="6"/>
  <c r="E77" i="6" s="1"/>
  <c r="D51" i="6"/>
  <c r="D77" i="6" s="1"/>
  <c r="V50" i="6"/>
  <c r="V49" i="6" s="1"/>
  <c r="U50" i="6"/>
  <c r="U76" i="6" s="1"/>
  <c r="T50" i="6"/>
  <c r="S50" i="6"/>
  <c r="R50" i="6"/>
  <c r="Q50" i="6"/>
  <c r="Q49" i="6" s="1"/>
  <c r="P50" i="6"/>
  <c r="P76" i="6" s="1"/>
  <c r="O50" i="6"/>
  <c r="N50" i="6"/>
  <c r="M50" i="6"/>
  <c r="M76" i="6" s="1"/>
  <c r="L50" i="6"/>
  <c r="K50" i="6"/>
  <c r="K76" i="6" s="1"/>
  <c r="J50" i="6"/>
  <c r="J76" i="6" s="1"/>
  <c r="I50" i="6"/>
  <c r="H50" i="6"/>
  <c r="H49" i="6" s="1"/>
  <c r="H75" i="6" s="1"/>
  <c r="G50" i="6"/>
  <c r="G76" i="6" s="1"/>
  <c r="F50" i="6"/>
  <c r="F49" i="6" s="1"/>
  <c r="E50" i="6"/>
  <c r="E76" i="6" s="1"/>
  <c r="D50" i="6"/>
  <c r="U49" i="6"/>
  <c r="U75" i="6" s="1"/>
  <c r="P49" i="6"/>
  <c r="K49" i="6"/>
  <c r="J49" i="6"/>
  <c r="J75" i="6" s="1"/>
  <c r="G49" i="6"/>
  <c r="E49" i="6"/>
  <c r="E75" i="6" s="1"/>
  <c r="V48" i="6"/>
  <c r="V74" i="6" s="1"/>
  <c r="U48" i="6"/>
  <c r="T48" i="6"/>
  <c r="S48" i="6"/>
  <c r="S74" i="6" s="1"/>
  <c r="R48" i="6"/>
  <c r="R74" i="6" s="1"/>
  <c r="Q48" i="6"/>
  <c r="Q74" i="6" s="1"/>
  <c r="P48" i="6"/>
  <c r="P74" i="6" s="1"/>
  <c r="O48" i="6"/>
  <c r="N48" i="6"/>
  <c r="N74" i="6" s="1"/>
  <c r="M48" i="6"/>
  <c r="M74" i="6" s="1"/>
  <c r="L48" i="6"/>
  <c r="L46" i="6" s="1"/>
  <c r="K48" i="6"/>
  <c r="K74" i="6" s="1"/>
  <c r="J48" i="6"/>
  <c r="I48" i="6"/>
  <c r="H48" i="6"/>
  <c r="H74" i="6" s="1"/>
  <c r="G48" i="6"/>
  <c r="G46" i="6" s="1"/>
  <c r="F48" i="6"/>
  <c r="F74" i="6" s="1"/>
  <c r="E48" i="6"/>
  <c r="D48" i="6"/>
  <c r="V47" i="6"/>
  <c r="V73" i="6" s="1"/>
  <c r="U47" i="6"/>
  <c r="U73" i="6" s="1"/>
  <c r="T47" i="6"/>
  <c r="T73" i="6" s="1"/>
  <c r="S47" i="6"/>
  <c r="S73" i="6" s="1"/>
  <c r="R47" i="6"/>
  <c r="R46" i="6" s="1"/>
  <c r="Q47" i="6"/>
  <c r="Q46" i="6" s="1"/>
  <c r="Q72" i="6" s="1"/>
  <c r="P47" i="6"/>
  <c r="P73" i="6" s="1"/>
  <c r="O47" i="6"/>
  <c r="O46" i="6" s="1"/>
  <c r="N47" i="6"/>
  <c r="N73" i="6" s="1"/>
  <c r="M47" i="6"/>
  <c r="L47" i="6"/>
  <c r="K47" i="6"/>
  <c r="J47" i="6"/>
  <c r="J46" i="6" s="1"/>
  <c r="I47" i="6"/>
  <c r="I73" i="6" s="1"/>
  <c r="H47" i="6"/>
  <c r="G47" i="6"/>
  <c r="F47" i="6"/>
  <c r="F73" i="6" s="1"/>
  <c r="E47" i="6"/>
  <c r="E73" i="6" s="1"/>
  <c r="D47" i="6"/>
  <c r="D73" i="6" s="1"/>
  <c r="U46" i="6"/>
  <c r="T46" i="6"/>
  <c r="S46" i="6"/>
  <c r="P46" i="6"/>
  <c r="N46" i="6"/>
  <c r="I46" i="6"/>
  <c r="E46" i="6"/>
  <c r="D46" i="6"/>
  <c r="S45" i="6"/>
  <c r="Q45" i="6"/>
  <c r="V44" i="6"/>
  <c r="U44" i="6"/>
  <c r="T44" i="6"/>
  <c r="T70" i="6" s="1"/>
  <c r="S44" i="6"/>
  <c r="R44" i="6"/>
  <c r="R70" i="6" s="1"/>
  <c r="Q44" i="6"/>
  <c r="P44" i="6"/>
  <c r="O44" i="6"/>
  <c r="O70" i="6" s="1"/>
  <c r="N44" i="6"/>
  <c r="N70" i="6" s="1"/>
  <c r="M44" i="6"/>
  <c r="M70" i="6" s="1"/>
  <c r="L44" i="6"/>
  <c r="L70" i="6" s="1"/>
  <c r="K44" i="6"/>
  <c r="K40" i="6" s="1"/>
  <c r="K53" i="6" s="1"/>
  <c r="J44" i="6"/>
  <c r="J70" i="6" s="1"/>
  <c r="I44" i="6"/>
  <c r="I70" i="6" s="1"/>
  <c r="H44" i="6"/>
  <c r="G44" i="6"/>
  <c r="G70" i="6" s="1"/>
  <c r="F44" i="6"/>
  <c r="E44" i="6"/>
  <c r="D44" i="6"/>
  <c r="D70" i="6" s="1"/>
  <c r="V43" i="6"/>
  <c r="U43" i="6"/>
  <c r="U69" i="6" s="1"/>
  <c r="T43" i="6"/>
  <c r="S43" i="6"/>
  <c r="R43" i="6"/>
  <c r="R69" i="6" s="1"/>
  <c r="Q43" i="6"/>
  <c r="Q69" i="6" s="1"/>
  <c r="P43" i="6"/>
  <c r="P69" i="6" s="1"/>
  <c r="O43" i="6"/>
  <c r="O69" i="6" s="1"/>
  <c r="N43" i="6"/>
  <c r="M43" i="6"/>
  <c r="M69" i="6" s="1"/>
  <c r="L43" i="6"/>
  <c r="L69" i="6" s="1"/>
  <c r="K43" i="6"/>
  <c r="J43" i="6"/>
  <c r="J69" i="6" s="1"/>
  <c r="I43" i="6"/>
  <c r="H43" i="6"/>
  <c r="G43" i="6"/>
  <c r="G69" i="6" s="1"/>
  <c r="F43" i="6"/>
  <c r="E43" i="6"/>
  <c r="E69" i="6" s="1"/>
  <c r="D43" i="6"/>
  <c r="V42" i="6"/>
  <c r="U42" i="6"/>
  <c r="U68" i="6" s="1"/>
  <c r="T42" i="6"/>
  <c r="T68" i="6" s="1"/>
  <c r="S42" i="6"/>
  <c r="S68" i="6" s="1"/>
  <c r="R42" i="6"/>
  <c r="R68" i="6" s="1"/>
  <c r="Q42" i="6"/>
  <c r="Q68" i="6" s="1"/>
  <c r="P42" i="6"/>
  <c r="P68" i="6" s="1"/>
  <c r="O42" i="6"/>
  <c r="O68" i="6" s="1"/>
  <c r="N42" i="6"/>
  <c r="M42" i="6"/>
  <c r="M68" i="6" s="1"/>
  <c r="L42" i="6"/>
  <c r="K42" i="6"/>
  <c r="J42" i="6"/>
  <c r="J68" i="6" s="1"/>
  <c r="I42" i="6"/>
  <c r="H42" i="6"/>
  <c r="H68" i="6" s="1"/>
  <c r="G42" i="6"/>
  <c r="F42" i="6"/>
  <c r="E42" i="6"/>
  <c r="E68" i="6" s="1"/>
  <c r="D42" i="6"/>
  <c r="D68" i="6" s="1"/>
  <c r="V41" i="6"/>
  <c r="V67" i="6" s="1"/>
  <c r="U41" i="6"/>
  <c r="U67" i="6" s="1"/>
  <c r="T41" i="6"/>
  <c r="T67" i="6" s="1"/>
  <c r="S41" i="6"/>
  <c r="S40" i="6" s="1"/>
  <c r="S53" i="6" s="1"/>
  <c r="R41" i="6"/>
  <c r="R67" i="6" s="1"/>
  <c r="Q41" i="6"/>
  <c r="P41" i="6"/>
  <c r="O41" i="6"/>
  <c r="N41" i="6"/>
  <c r="M41" i="6"/>
  <c r="L41" i="6"/>
  <c r="K41" i="6"/>
  <c r="K67" i="6" s="1"/>
  <c r="J41" i="6"/>
  <c r="I41" i="6"/>
  <c r="H41" i="6"/>
  <c r="H67" i="6" s="1"/>
  <c r="G41" i="6"/>
  <c r="F41" i="6"/>
  <c r="F67" i="6" s="1"/>
  <c r="E41" i="6"/>
  <c r="E67" i="6" s="1"/>
  <c r="D41" i="6"/>
  <c r="D67" i="6" s="1"/>
  <c r="U40" i="6"/>
  <c r="R40" i="6"/>
  <c r="R66" i="6" s="1"/>
  <c r="P40" i="6"/>
  <c r="E40" i="6"/>
  <c r="M27" i="6"/>
  <c r="M55" i="6" s="1"/>
  <c r="V26" i="6"/>
  <c r="U26" i="6"/>
  <c r="T26" i="6"/>
  <c r="S26" i="6"/>
  <c r="S78" i="6" s="1"/>
  <c r="R26" i="6"/>
  <c r="Q26" i="6"/>
  <c r="P26" i="6"/>
  <c r="O26" i="6"/>
  <c r="N26" i="6"/>
  <c r="M26" i="6"/>
  <c r="M179" i="6" s="1"/>
  <c r="L26" i="6"/>
  <c r="K26" i="6"/>
  <c r="J26" i="6"/>
  <c r="J179" i="6" s="1"/>
  <c r="I26" i="6"/>
  <c r="I127" i="6" s="1"/>
  <c r="H26" i="6"/>
  <c r="H179" i="6" s="1"/>
  <c r="G26" i="6"/>
  <c r="G179" i="6" s="1"/>
  <c r="F26" i="6"/>
  <c r="E26" i="6"/>
  <c r="D26" i="6"/>
  <c r="V25" i="6"/>
  <c r="V178" i="6" s="1"/>
  <c r="U25" i="6"/>
  <c r="T25" i="6"/>
  <c r="S25" i="6"/>
  <c r="R25" i="6"/>
  <c r="Q25" i="6"/>
  <c r="P25" i="6"/>
  <c r="P77" i="6" s="1"/>
  <c r="O25" i="6"/>
  <c r="N25" i="6"/>
  <c r="M25" i="6"/>
  <c r="L25" i="6"/>
  <c r="L77" i="6" s="1"/>
  <c r="K25" i="6"/>
  <c r="K77" i="6" s="1"/>
  <c r="J25" i="6"/>
  <c r="I25" i="6"/>
  <c r="H25" i="6"/>
  <c r="H178" i="6" s="1"/>
  <c r="G25" i="6"/>
  <c r="F25" i="6"/>
  <c r="F77" i="6" s="1"/>
  <c r="E25" i="6"/>
  <c r="E178" i="6" s="1"/>
  <c r="D25" i="6"/>
  <c r="V24" i="6"/>
  <c r="U24" i="6"/>
  <c r="U23" i="6" s="1"/>
  <c r="T24" i="6"/>
  <c r="S24" i="6"/>
  <c r="S76" i="6" s="1"/>
  <c r="R24" i="6"/>
  <c r="Q24" i="6"/>
  <c r="P24" i="6"/>
  <c r="P23" i="6" s="1"/>
  <c r="O24" i="6"/>
  <c r="O76" i="6" s="1"/>
  <c r="N24" i="6"/>
  <c r="N125" i="6" s="1"/>
  <c r="M24" i="6"/>
  <c r="L24" i="6"/>
  <c r="K24" i="6"/>
  <c r="J24" i="6"/>
  <c r="J23" i="6" s="1"/>
  <c r="I24" i="6"/>
  <c r="I76" i="6" s="1"/>
  <c r="H24" i="6"/>
  <c r="H177" i="6" s="1"/>
  <c r="G24" i="6"/>
  <c r="F24" i="6"/>
  <c r="E24" i="6"/>
  <c r="E23" i="6" s="1"/>
  <c r="D24" i="6"/>
  <c r="D23" i="6" s="1"/>
  <c r="T23" i="6"/>
  <c r="R23" i="6"/>
  <c r="M23" i="6"/>
  <c r="L23" i="6"/>
  <c r="I23" i="6"/>
  <c r="H23" i="6"/>
  <c r="G23" i="6"/>
  <c r="V22" i="6"/>
  <c r="V175" i="6" s="1"/>
  <c r="U22" i="6"/>
  <c r="U123" i="6" s="1"/>
  <c r="T22" i="6"/>
  <c r="T175" i="6" s="1"/>
  <c r="S22" i="6"/>
  <c r="S175" i="6" s="1"/>
  <c r="R22" i="6"/>
  <c r="Q22" i="6"/>
  <c r="P22" i="6"/>
  <c r="O22" i="6"/>
  <c r="O123" i="6" s="1"/>
  <c r="N22" i="6"/>
  <c r="M22" i="6"/>
  <c r="L22" i="6"/>
  <c r="K22" i="6"/>
  <c r="J22" i="6"/>
  <c r="I22" i="6"/>
  <c r="I74" i="6" s="1"/>
  <c r="H22" i="6"/>
  <c r="G22" i="6"/>
  <c r="G123" i="6" s="1"/>
  <c r="F22" i="6"/>
  <c r="E22" i="6"/>
  <c r="D22" i="6"/>
  <c r="D175" i="6" s="1"/>
  <c r="V21" i="6"/>
  <c r="U21" i="6"/>
  <c r="T21" i="6"/>
  <c r="T174" i="6" s="1"/>
  <c r="S21" i="6"/>
  <c r="S20" i="6" s="1"/>
  <c r="R21" i="6"/>
  <c r="R122" i="6" s="1"/>
  <c r="Q21" i="6"/>
  <c r="P21" i="6"/>
  <c r="O21" i="6"/>
  <c r="N21" i="6"/>
  <c r="N20" i="6" s="1"/>
  <c r="M21" i="6"/>
  <c r="L21" i="6"/>
  <c r="L73" i="6" s="1"/>
  <c r="K21" i="6"/>
  <c r="J21" i="6"/>
  <c r="I21" i="6"/>
  <c r="H21" i="6"/>
  <c r="G21" i="6"/>
  <c r="G122" i="6" s="1"/>
  <c r="F21" i="6"/>
  <c r="E21" i="6"/>
  <c r="D21" i="6"/>
  <c r="V20" i="6"/>
  <c r="R20" i="6"/>
  <c r="Q20" i="6"/>
  <c r="P20" i="6"/>
  <c r="P19" i="6" s="1"/>
  <c r="M20" i="6"/>
  <c r="M19" i="6" s="1"/>
  <c r="M28" i="6" s="1"/>
  <c r="K20" i="6"/>
  <c r="F20" i="6"/>
  <c r="E20" i="6"/>
  <c r="E19" i="6"/>
  <c r="V18" i="6"/>
  <c r="U18" i="6"/>
  <c r="U70" i="6" s="1"/>
  <c r="T18" i="6"/>
  <c r="S18" i="6"/>
  <c r="R18" i="6"/>
  <c r="Q18" i="6"/>
  <c r="P18" i="6"/>
  <c r="P171" i="6" s="1"/>
  <c r="O18" i="6"/>
  <c r="N18" i="6"/>
  <c r="M18" i="6"/>
  <c r="M171" i="6" s="1"/>
  <c r="L18" i="6"/>
  <c r="K18" i="6"/>
  <c r="J18" i="6"/>
  <c r="I18" i="6"/>
  <c r="H18" i="6"/>
  <c r="G18" i="6"/>
  <c r="G171" i="6" s="1"/>
  <c r="F18" i="6"/>
  <c r="E18" i="6"/>
  <c r="E70" i="6" s="1"/>
  <c r="D18" i="6"/>
  <c r="V17" i="6"/>
  <c r="V118" i="6" s="1"/>
  <c r="U17" i="6"/>
  <c r="T17" i="6"/>
  <c r="T118" i="6" s="1"/>
  <c r="S17" i="6"/>
  <c r="S118" i="6" s="1"/>
  <c r="R17" i="6"/>
  <c r="Q17" i="6"/>
  <c r="P17" i="6"/>
  <c r="O17" i="6"/>
  <c r="N17" i="6"/>
  <c r="N118" i="6" s="1"/>
  <c r="M17" i="6"/>
  <c r="M170" i="6" s="1"/>
  <c r="L17" i="6"/>
  <c r="K17" i="6"/>
  <c r="J17" i="6"/>
  <c r="I17" i="6"/>
  <c r="H17" i="6"/>
  <c r="H69" i="6" s="1"/>
  <c r="G17" i="6"/>
  <c r="F17" i="6"/>
  <c r="E17" i="6"/>
  <c r="E170" i="6" s="1"/>
  <c r="D17" i="6"/>
  <c r="V16" i="6"/>
  <c r="V117" i="6" s="1"/>
  <c r="U16" i="6"/>
  <c r="T16" i="6"/>
  <c r="S16" i="6"/>
  <c r="S169" i="6" s="1"/>
  <c r="R16" i="6"/>
  <c r="R14" i="6" s="1"/>
  <c r="Q16" i="6"/>
  <c r="Q117" i="6" s="1"/>
  <c r="P16" i="6"/>
  <c r="O16" i="6"/>
  <c r="N16" i="6"/>
  <c r="M16" i="6"/>
  <c r="L16" i="6"/>
  <c r="K16" i="6"/>
  <c r="K68" i="6" s="1"/>
  <c r="J16" i="6"/>
  <c r="I16" i="6"/>
  <c r="H16" i="6"/>
  <c r="G16" i="6"/>
  <c r="F16" i="6"/>
  <c r="F169" i="6" s="1"/>
  <c r="E16" i="6"/>
  <c r="D16" i="6"/>
  <c r="V15" i="6"/>
  <c r="U15" i="6"/>
  <c r="U14" i="6" s="1"/>
  <c r="U27" i="6" s="1"/>
  <c r="T15" i="6"/>
  <c r="T116" i="6" s="1"/>
  <c r="S15" i="6"/>
  <c r="R15" i="6"/>
  <c r="Q15" i="6"/>
  <c r="P15" i="6"/>
  <c r="P14" i="6" s="1"/>
  <c r="P27" i="6" s="1"/>
  <c r="O15" i="6"/>
  <c r="N15" i="6"/>
  <c r="N67" i="6" s="1"/>
  <c r="M15" i="6"/>
  <c r="L15" i="6"/>
  <c r="K15" i="6"/>
  <c r="K14" i="6" s="1"/>
  <c r="J15" i="6"/>
  <c r="I15" i="6"/>
  <c r="I168" i="6" s="1"/>
  <c r="H15" i="6"/>
  <c r="G15" i="6"/>
  <c r="F15" i="6"/>
  <c r="E15" i="6"/>
  <c r="E14" i="6" s="1"/>
  <c r="E27" i="6" s="1"/>
  <c r="E55" i="6" s="1"/>
  <c r="D15" i="6"/>
  <c r="D116" i="6" s="1"/>
  <c r="O14" i="6"/>
  <c r="M14" i="6"/>
  <c r="H14" i="6"/>
  <c r="H27" i="6" s="1"/>
  <c r="D14" i="6"/>
  <c r="I178" i="5"/>
  <c r="I176" i="5"/>
  <c r="K174" i="5"/>
  <c r="V170" i="5"/>
  <c r="I169" i="5"/>
  <c r="M152" i="5"/>
  <c r="V151" i="5"/>
  <c r="U151" i="5"/>
  <c r="T151" i="5"/>
  <c r="S151" i="5"/>
  <c r="R151" i="5"/>
  <c r="Q151" i="5"/>
  <c r="Q179" i="5" s="1"/>
  <c r="P151" i="5"/>
  <c r="P179" i="5" s="1"/>
  <c r="O151" i="5"/>
  <c r="N151" i="5"/>
  <c r="N179" i="5" s="1"/>
  <c r="M151" i="5"/>
  <c r="L151" i="5"/>
  <c r="L179" i="5" s="1"/>
  <c r="K151" i="5"/>
  <c r="K179" i="5" s="1"/>
  <c r="J151" i="5"/>
  <c r="I151" i="5"/>
  <c r="H151" i="5"/>
  <c r="G151" i="5"/>
  <c r="F151" i="5"/>
  <c r="E151" i="5"/>
  <c r="D151" i="5"/>
  <c r="V150" i="5"/>
  <c r="U150" i="5"/>
  <c r="T150" i="5"/>
  <c r="T178" i="5" s="1"/>
  <c r="S150" i="5"/>
  <c r="S178" i="5" s="1"/>
  <c r="R150" i="5"/>
  <c r="Q150" i="5"/>
  <c r="Q178" i="5" s="1"/>
  <c r="P150" i="5"/>
  <c r="O150" i="5"/>
  <c r="O178" i="5" s="1"/>
  <c r="N150" i="5"/>
  <c r="N178" i="5" s="1"/>
  <c r="M150" i="5"/>
  <c r="L150" i="5"/>
  <c r="L148" i="5" s="1"/>
  <c r="K150" i="5"/>
  <c r="K148" i="5" s="1"/>
  <c r="J150" i="5"/>
  <c r="I150" i="5"/>
  <c r="H150" i="5"/>
  <c r="G150" i="5"/>
  <c r="F150" i="5"/>
  <c r="E150" i="5"/>
  <c r="D150" i="5"/>
  <c r="D178" i="5" s="1"/>
  <c r="V149" i="5"/>
  <c r="V148" i="5" s="1"/>
  <c r="U149" i="5"/>
  <c r="T149" i="5"/>
  <c r="S149" i="5"/>
  <c r="S148" i="5" s="1"/>
  <c r="R149" i="5"/>
  <c r="R148" i="5" s="1"/>
  <c r="Q149" i="5"/>
  <c r="Q148" i="5" s="1"/>
  <c r="P149" i="5"/>
  <c r="P148" i="5" s="1"/>
  <c r="O149" i="5"/>
  <c r="N149" i="5"/>
  <c r="M149" i="5"/>
  <c r="L149" i="5"/>
  <c r="K149" i="5"/>
  <c r="J149" i="5"/>
  <c r="I149" i="5"/>
  <c r="H149" i="5"/>
  <c r="G149" i="5"/>
  <c r="G177" i="5" s="1"/>
  <c r="F149" i="5"/>
  <c r="F148" i="5" s="1"/>
  <c r="E149" i="5"/>
  <c r="D149" i="5"/>
  <c r="U148" i="5"/>
  <c r="M148" i="5"/>
  <c r="I148" i="5"/>
  <c r="H148" i="5"/>
  <c r="G148" i="5"/>
  <c r="V147" i="5"/>
  <c r="U147" i="5"/>
  <c r="T147" i="5"/>
  <c r="T145" i="5" s="1"/>
  <c r="S147" i="5"/>
  <c r="S175" i="5" s="1"/>
  <c r="R147" i="5"/>
  <c r="Q147" i="5"/>
  <c r="P147" i="5"/>
  <c r="P145" i="5" s="1"/>
  <c r="O147" i="5"/>
  <c r="N147" i="5"/>
  <c r="M147" i="5"/>
  <c r="M175" i="5" s="1"/>
  <c r="L147" i="5"/>
  <c r="L175" i="5" s="1"/>
  <c r="K147" i="5"/>
  <c r="K145" i="5" s="1"/>
  <c r="J147" i="5"/>
  <c r="I147" i="5"/>
  <c r="I145" i="5" s="1"/>
  <c r="H147" i="5"/>
  <c r="G147" i="5"/>
  <c r="G175" i="5" s="1"/>
  <c r="F147" i="5"/>
  <c r="E147" i="5"/>
  <c r="D147" i="5"/>
  <c r="D145" i="5" s="1"/>
  <c r="V146" i="5"/>
  <c r="V174" i="5" s="1"/>
  <c r="U146" i="5"/>
  <c r="T146" i="5"/>
  <c r="S146" i="5"/>
  <c r="S145" i="5" s="1"/>
  <c r="R146" i="5"/>
  <c r="Q146" i="5"/>
  <c r="P146" i="5"/>
  <c r="O146" i="5"/>
  <c r="O145" i="5" s="1"/>
  <c r="N146" i="5"/>
  <c r="M146" i="5"/>
  <c r="L146" i="5"/>
  <c r="L145" i="5" s="1"/>
  <c r="K146" i="5"/>
  <c r="J146" i="5"/>
  <c r="J174" i="5" s="1"/>
  <c r="I146" i="5"/>
  <c r="H146" i="5"/>
  <c r="G146" i="5"/>
  <c r="F146" i="5"/>
  <c r="F174" i="5" s="1"/>
  <c r="E146" i="5"/>
  <c r="D146" i="5"/>
  <c r="V145" i="5"/>
  <c r="V144" i="5" s="1"/>
  <c r="R145" i="5"/>
  <c r="Q145" i="5"/>
  <c r="N145" i="5"/>
  <c r="M145" i="5"/>
  <c r="M144" i="5" s="1"/>
  <c r="J145" i="5"/>
  <c r="F145" i="5"/>
  <c r="E145" i="5"/>
  <c r="F144" i="5"/>
  <c r="V143" i="5"/>
  <c r="U143" i="5"/>
  <c r="T143" i="5"/>
  <c r="T171" i="5" s="1"/>
  <c r="S143" i="5"/>
  <c r="S171" i="5" s="1"/>
  <c r="R143" i="5"/>
  <c r="Q143" i="5"/>
  <c r="P143" i="5"/>
  <c r="P171" i="5" s="1"/>
  <c r="O143" i="5"/>
  <c r="N143" i="5"/>
  <c r="M143" i="5"/>
  <c r="L143" i="5"/>
  <c r="K143" i="5"/>
  <c r="J143" i="5"/>
  <c r="I143" i="5"/>
  <c r="H143" i="5"/>
  <c r="H171" i="5" s="1"/>
  <c r="G143" i="5"/>
  <c r="F143" i="5"/>
  <c r="E143" i="5"/>
  <c r="D143" i="5"/>
  <c r="D171" i="5" s="1"/>
  <c r="V142" i="5"/>
  <c r="U142" i="5"/>
  <c r="T142" i="5"/>
  <c r="S142" i="5"/>
  <c r="S139" i="5" s="1"/>
  <c r="R142" i="5"/>
  <c r="Q142" i="5"/>
  <c r="P142" i="5"/>
  <c r="O142" i="5"/>
  <c r="N142" i="5"/>
  <c r="M142" i="5"/>
  <c r="L142" i="5"/>
  <c r="L170" i="5" s="1"/>
  <c r="K142" i="5"/>
  <c r="K170" i="5" s="1"/>
  <c r="J142" i="5"/>
  <c r="I142" i="5"/>
  <c r="H142" i="5"/>
  <c r="G142" i="5"/>
  <c r="G170" i="5" s="1"/>
  <c r="F142" i="5"/>
  <c r="F170" i="5" s="1"/>
  <c r="E142" i="5"/>
  <c r="D142" i="5"/>
  <c r="V141" i="5"/>
  <c r="V139" i="5" s="1"/>
  <c r="U141" i="5"/>
  <c r="T141" i="5"/>
  <c r="S141" i="5"/>
  <c r="R141" i="5"/>
  <c r="Q141" i="5"/>
  <c r="P141" i="5"/>
  <c r="O141" i="5"/>
  <c r="N141" i="5"/>
  <c r="N169" i="5" s="1"/>
  <c r="M141" i="5"/>
  <c r="L141" i="5"/>
  <c r="L139" i="5" s="1"/>
  <c r="K141" i="5"/>
  <c r="J141" i="5"/>
  <c r="J169" i="5" s="1"/>
  <c r="I141" i="5"/>
  <c r="H141" i="5"/>
  <c r="G141" i="5"/>
  <c r="F141" i="5"/>
  <c r="F139" i="5" s="1"/>
  <c r="E141" i="5"/>
  <c r="D141" i="5"/>
  <c r="V140" i="5"/>
  <c r="U140" i="5"/>
  <c r="T140" i="5"/>
  <c r="S140" i="5"/>
  <c r="R140" i="5"/>
  <c r="R168" i="5" s="1"/>
  <c r="Q140" i="5"/>
  <c r="Q139" i="5" s="1"/>
  <c r="Q152" i="5" s="1"/>
  <c r="P140" i="5"/>
  <c r="O140" i="5"/>
  <c r="O168" i="5" s="1"/>
  <c r="N140" i="5"/>
  <c r="M140" i="5"/>
  <c r="M168" i="5" s="1"/>
  <c r="L140" i="5"/>
  <c r="L168" i="5" s="1"/>
  <c r="K140" i="5"/>
  <c r="J140" i="5"/>
  <c r="I140" i="5"/>
  <c r="I139" i="5" s="1"/>
  <c r="I152" i="5" s="1"/>
  <c r="H140" i="5"/>
  <c r="G140" i="5"/>
  <c r="F140" i="5"/>
  <c r="E140" i="5"/>
  <c r="D140" i="5"/>
  <c r="U139" i="5"/>
  <c r="T139" i="5"/>
  <c r="M139" i="5"/>
  <c r="H139" i="5"/>
  <c r="G139" i="5"/>
  <c r="E139" i="5"/>
  <c r="D139" i="5"/>
  <c r="N127" i="5"/>
  <c r="L127" i="5"/>
  <c r="I126" i="5"/>
  <c r="D126" i="5"/>
  <c r="U124" i="5"/>
  <c r="M123" i="5"/>
  <c r="J123" i="5"/>
  <c r="I122" i="5"/>
  <c r="U119" i="5"/>
  <c r="S119" i="5"/>
  <c r="O117" i="5"/>
  <c r="N116" i="5"/>
  <c r="L116" i="5"/>
  <c r="V101" i="5"/>
  <c r="U101" i="5"/>
  <c r="T101" i="5"/>
  <c r="T127" i="5" s="1"/>
  <c r="S101" i="5"/>
  <c r="R101" i="5"/>
  <c r="Q101" i="5"/>
  <c r="Q127" i="5" s="1"/>
  <c r="P101" i="5"/>
  <c r="P127" i="5" s="1"/>
  <c r="O101" i="5"/>
  <c r="N101" i="5"/>
  <c r="M101" i="5"/>
  <c r="M127" i="5" s="1"/>
  <c r="L101" i="5"/>
  <c r="K101" i="5"/>
  <c r="J101" i="5"/>
  <c r="I101" i="5"/>
  <c r="I127" i="5" s="1"/>
  <c r="H101" i="5"/>
  <c r="H127" i="5" s="1"/>
  <c r="G101" i="5"/>
  <c r="F101" i="5"/>
  <c r="E101" i="5"/>
  <c r="D101" i="5"/>
  <c r="D127" i="5" s="1"/>
  <c r="V100" i="5"/>
  <c r="V98" i="5" s="1"/>
  <c r="U100" i="5"/>
  <c r="T100" i="5"/>
  <c r="T126" i="5" s="1"/>
  <c r="S100" i="5"/>
  <c r="R100" i="5"/>
  <c r="Q100" i="5"/>
  <c r="P100" i="5"/>
  <c r="P126" i="5" s="1"/>
  <c r="O100" i="5"/>
  <c r="N100" i="5"/>
  <c r="M100" i="5"/>
  <c r="L100" i="5"/>
  <c r="L126" i="5" s="1"/>
  <c r="K100" i="5"/>
  <c r="K126" i="5" s="1"/>
  <c r="J100" i="5"/>
  <c r="I100" i="5"/>
  <c r="H100" i="5"/>
  <c r="G100" i="5"/>
  <c r="G126" i="5" s="1"/>
  <c r="F100" i="5"/>
  <c r="F98" i="5" s="1"/>
  <c r="F124" i="5" s="1"/>
  <c r="E100" i="5"/>
  <c r="D100" i="5"/>
  <c r="V99" i="5"/>
  <c r="U99" i="5"/>
  <c r="T99" i="5"/>
  <c r="T125" i="5" s="1"/>
  <c r="S99" i="5"/>
  <c r="S98" i="5" s="1"/>
  <c r="R99" i="5"/>
  <c r="R125" i="5" s="1"/>
  <c r="Q99" i="5"/>
  <c r="Q125" i="5" s="1"/>
  <c r="P99" i="5"/>
  <c r="P98" i="5" s="1"/>
  <c r="O99" i="5"/>
  <c r="N99" i="5"/>
  <c r="N98" i="5" s="1"/>
  <c r="M99" i="5"/>
  <c r="L99" i="5"/>
  <c r="K99" i="5"/>
  <c r="J99" i="5"/>
  <c r="J125" i="5" s="1"/>
  <c r="I99" i="5"/>
  <c r="H99" i="5"/>
  <c r="G99" i="5"/>
  <c r="G98" i="5" s="1"/>
  <c r="F99" i="5"/>
  <c r="E99" i="5"/>
  <c r="D99" i="5"/>
  <c r="D98" i="5" s="1"/>
  <c r="U98" i="5"/>
  <c r="R98" i="5"/>
  <c r="Q98" i="5"/>
  <c r="Q124" i="5" s="1"/>
  <c r="M98" i="5"/>
  <c r="K98" i="5"/>
  <c r="K124" i="5" s="1"/>
  <c r="I98" i="5"/>
  <c r="I124" i="5" s="1"/>
  <c r="H98" i="5"/>
  <c r="V97" i="5"/>
  <c r="U97" i="5"/>
  <c r="U95" i="5" s="1"/>
  <c r="T97" i="5"/>
  <c r="T123" i="5" s="1"/>
  <c r="S97" i="5"/>
  <c r="R97" i="5"/>
  <c r="Q97" i="5"/>
  <c r="P97" i="5"/>
  <c r="O97" i="5"/>
  <c r="N97" i="5"/>
  <c r="N123" i="5" s="1"/>
  <c r="M97" i="5"/>
  <c r="M95" i="5" s="1"/>
  <c r="L97" i="5"/>
  <c r="L123" i="5" s="1"/>
  <c r="K97" i="5"/>
  <c r="K95" i="5" s="1"/>
  <c r="J97" i="5"/>
  <c r="I97" i="5"/>
  <c r="H97" i="5"/>
  <c r="H123" i="5" s="1"/>
  <c r="G97" i="5"/>
  <c r="G123" i="5" s="1"/>
  <c r="F97" i="5"/>
  <c r="E97" i="5"/>
  <c r="D97" i="5"/>
  <c r="D123" i="5" s="1"/>
  <c r="V96" i="5"/>
  <c r="U96" i="5"/>
  <c r="T96" i="5"/>
  <c r="S96" i="5"/>
  <c r="R96" i="5"/>
  <c r="Q96" i="5"/>
  <c r="P96" i="5"/>
  <c r="P95" i="5" s="1"/>
  <c r="O96" i="5"/>
  <c r="O95" i="5" s="1"/>
  <c r="N96" i="5"/>
  <c r="N95" i="5" s="1"/>
  <c r="M96" i="5"/>
  <c r="L96" i="5"/>
  <c r="L122" i="5" s="1"/>
  <c r="K96" i="5"/>
  <c r="K122" i="5" s="1"/>
  <c r="J96" i="5"/>
  <c r="J122" i="5" s="1"/>
  <c r="I96" i="5"/>
  <c r="I95" i="5" s="1"/>
  <c r="H96" i="5"/>
  <c r="H95" i="5" s="1"/>
  <c r="H94" i="5" s="1"/>
  <c r="G96" i="5"/>
  <c r="G95" i="5" s="1"/>
  <c r="G94" i="5" s="1"/>
  <c r="F96" i="5"/>
  <c r="E96" i="5"/>
  <c r="D96" i="5"/>
  <c r="V95" i="5"/>
  <c r="T95" i="5"/>
  <c r="S95" i="5"/>
  <c r="R95" i="5"/>
  <c r="R121" i="5" s="1"/>
  <c r="J95" i="5"/>
  <c r="J121" i="5" s="1"/>
  <c r="F95" i="5"/>
  <c r="D95" i="5"/>
  <c r="S94" i="5"/>
  <c r="V93" i="5"/>
  <c r="V119" i="5" s="1"/>
  <c r="U93" i="5"/>
  <c r="T93" i="5"/>
  <c r="T119" i="5" s="1"/>
  <c r="S93" i="5"/>
  <c r="R93" i="5"/>
  <c r="Q93" i="5"/>
  <c r="P93" i="5"/>
  <c r="P119" i="5" s="1"/>
  <c r="O93" i="5"/>
  <c r="N93" i="5"/>
  <c r="M93" i="5"/>
  <c r="L93" i="5"/>
  <c r="K93" i="5"/>
  <c r="J93" i="5"/>
  <c r="I93" i="5"/>
  <c r="I119" i="5" s="1"/>
  <c r="H93" i="5"/>
  <c r="H119" i="5" s="1"/>
  <c r="G93" i="5"/>
  <c r="F93" i="5"/>
  <c r="F119" i="5" s="1"/>
  <c r="E93" i="5"/>
  <c r="D93" i="5"/>
  <c r="D119" i="5" s="1"/>
  <c r="V92" i="5"/>
  <c r="V118" i="5" s="1"/>
  <c r="U92" i="5"/>
  <c r="T92" i="5"/>
  <c r="S92" i="5"/>
  <c r="S118" i="5" s="1"/>
  <c r="R92" i="5"/>
  <c r="Q92" i="5"/>
  <c r="P92" i="5"/>
  <c r="O92" i="5"/>
  <c r="N92" i="5"/>
  <c r="M92" i="5"/>
  <c r="L92" i="5"/>
  <c r="L118" i="5" s="1"/>
  <c r="K92" i="5"/>
  <c r="K118" i="5" s="1"/>
  <c r="J92" i="5"/>
  <c r="J118" i="5" s="1"/>
  <c r="I92" i="5"/>
  <c r="I118" i="5" s="1"/>
  <c r="H92" i="5"/>
  <c r="H118" i="5" s="1"/>
  <c r="G92" i="5"/>
  <c r="G118" i="5" s="1"/>
  <c r="F92" i="5"/>
  <c r="E92" i="5"/>
  <c r="D92" i="5"/>
  <c r="V91" i="5"/>
  <c r="V89" i="5" s="1"/>
  <c r="U91" i="5"/>
  <c r="T91" i="5"/>
  <c r="S91" i="5"/>
  <c r="R91" i="5"/>
  <c r="Q91" i="5"/>
  <c r="P91" i="5"/>
  <c r="P89" i="5" s="1"/>
  <c r="O91" i="5"/>
  <c r="N91" i="5"/>
  <c r="N117" i="5" s="1"/>
  <c r="M91" i="5"/>
  <c r="L91" i="5"/>
  <c r="L117" i="5" s="1"/>
  <c r="K91" i="5"/>
  <c r="J91" i="5"/>
  <c r="J117" i="5" s="1"/>
  <c r="I91" i="5"/>
  <c r="I117" i="5" s="1"/>
  <c r="H91" i="5"/>
  <c r="G91" i="5"/>
  <c r="F91" i="5"/>
  <c r="F89" i="5" s="1"/>
  <c r="E91" i="5"/>
  <c r="D91" i="5"/>
  <c r="V90" i="5"/>
  <c r="U90" i="5"/>
  <c r="T90" i="5"/>
  <c r="S90" i="5"/>
  <c r="S89" i="5" s="1"/>
  <c r="R90" i="5"/>
  <c r="Q90" i="5"/>
  <c r="Q116" i="5" s="1"/>
  <c r="P90" i="5"/>
  <c r="P116" i="5" s="1"/>
  <c r="O90" i="5"/>
  <c r="O116" i="5" s="1"/>
  <c r="N90" i="5"/>
  <c r="M90" i="5"/>
  <c r="M116" i="5" s="1"/>
  <c r="L90" i="5"/>
  <c r="K90" i="5"/>
  <c r="J90" i="5"/>
  <c r="J89" i="5" s="1"/>
  <c r="J102" i="5" s="1"/>
  <c r="I90" i="5"/>
  <c r="I89" i="5" s="1"/>
  <c r="H90" i="5"/>
  <c r="G90" i="5"/>
  <c r="F90" i="5"/>
  <c r="E90" i="5"/>
  <c r="D90" i="5"/>
  <c r="U89" i="5"/>
  <c r="U102" i="5" s="1"/>
  <c r="T89" i="5"/>
  <c r="R89" i="5"/>
  <c r="R102" i="5" s="1"/>
  <c r="M89" i="5"/>
  <c r="H89" i="5"/>
  <c r="G89" i="5"/>
  <c r="G103" i="5" s="1"/>
  <c r="T69" i="5"/>
  <c r="D69" i="5"/>
  <c r="J67" i="5"/>
  <c r="V52" i="5"/>
  <c r="V78" i="5" s="1"/>
  <c r="U52" i="5"/>
  <c r="U78" i="5" s="1"/>
  <c r="T52" i="5"/>
  <c r="T78" i="5" s="1"/>
  <c r="S52" i="5"/>
  <c r="S78" i="5" s="1"/>
  <c r="R52" i="5"/>
  <c r="R78" i="5" s="1"/>
  <c r="Q52" i="5"/>
  <c r="P52" i="5"/>
  <c r="P78" i="5" s="1"/>
  <c r="O52" i="5"/>
  <c r="O78" i="5" s="1"/>
  <c r="N52" i="5"/>
  <c r="N78" i="5" s="1"/>
  <c r="M52" i="5"/>
  <c r="L52" i="5"/>
  <c r="L78" i="5" s="1"/>
  <c r="K52" i="5"/>
  <c r="K78" i="5" s="1"/>
  <c r="J52" i="5"/>
  <c r="J78" i="5" s="1"/>
  <c r="I52" i="5"/>
  <c r="H52" i="5"/>
  <c r="G52" i="5"/>
  <c r="F52" i="5"/>
  <c r="E52" i="5"/>
  <c r="E78" i="5" s="1"/>
  <c r="D52" i="5"/>
  <c r="D78" i="5" s="1"/>
  <c r="V51" i="5"/>
  <c r="V77" i="5" s="1"/>
  <c r="U51" i="5"/>
  <c r="U77" i="5" s="1"/>
  <c r="T51" i="5"/>
  <c r="S51" i="5"/>
  <c r="S77" i="5" s="1"/>
  <c r="R51" i="5"/>
  <c r="R77" i="5" s="1"/>
  <c r="Q51" i="5"/>
  <c r="Q77" i="5" s="1"/>
  <c r="P51" i="5"/>
  <c r="O51" i="5"/>
  <c r="O77" i="5" s="1"/>
  <c r="N51" i="5"/>
  <c r="N49" i="5" s="1"/>
  <c r="N75" i="5" s="1"/>
  <c r="M51" i="5"/>
  <c r="M49" i="5" s="1"/>
  <c r="L51" i="5"/>
  <c r="L49" i="5" s="1"/>
  <c r="K51" i="5"/>
  <c r="J51" i="5"/>
  <c r="I51" i="5"/>
  <c r="H51" i="5"/>
  <c r="H77" i="5" s="1"/>
  <c r="G51" i="5"/>
  <c r="G77" i="5" s="1"/>
  <c r="F51" i="5"/>
  <c r="F77" i="5" s="1"/>
  <c r="E51" i="5"/>
  <c r="E77" i="5" s="1"/>
  <c r="D51" i="5"/>
  <c r="V50" i="5"/>
  <c r="V76" i="5" s="1"/>
  <c r="U50" i="5"/>
  <c r="U76" i="5" s="1"/>
  <c r="T50" i="5"/>
  <c r="T76" i="5" s="1"/>
  <c r="S50" i="5"/>
  <c r="R50" i="5"/>
  <c r="Q50" i="5"/>
  <c r="Q49" i="5" s="1"/>
  <c r="Q75" i="5" s="1"/>
  <c r="P50" i="5"/>
  <c r="P49" i="5" s="1"/>
  <c r="O50" i="5"/>
  <c r="N50" i="5"/>
  <c r="M50" i="5"/>
  <c r="L50" i="5"/>
  <c r="K50" i="5"/>
  <c r="K76" i="5" s="1"/>
  <c r="J50" i="5"/>
  <c r="J76" i="5" s="1"/>
  <c r="I50" i="5"/>
  <c r="I76" i="5" s="1"/>
  <c r="H50" i="5"/>
  <c r="H76" i="5" s="1"/>
  <c r="G50" i="5"/>
  <c r="F50" i="5"/>
  <c r="F76" i="5" s="1"/>
  <c r="E50" i="5"/>
  <c r="E76" i="5" s="1"/>
  <c r="D50" i="5"/>
  <c r="D76" i="5" s="1"/>
  <c r="U49" i="5"/>
  <c r="T49" i="5"/>
  <c r="S49" i="5"/>
  <c r="K49" i="5"/>
  <c r="I49" i="5"/>
  <c r="I75" i="5" s="1"/>
  <c r="E49" i="5"/>
  <c r="D49" i="5"/>
  <c r="V48" i="5"/>
  <c r="V46" i="5" s="1"/>
  <c r="U48" i="5"/>
  <c r="T48" i="5"/>
  <c r="S48" i="5"/>
  <c r="R48" i="5"/>
  <c r="Q48" i="5"/>
  <c r="Q74" i="5" s="1"/>
  <c r="P48" i="5"/>
  <c r="P74" i="5" s="1"/>
  <c r="O48" i="5"/>
  <c r="O74" i="5" s="1"/>
  <c r="N48" i="5"/>
  <c r="N74" i="5" s="1"/>
  <c r="M48" i="5"/>
  <c r="L48" i="5"/>
  <c r="L74" i="5" s="1"/>
  <c r="K48" i="5"/>
  <c r="K74" i="5" s="1"/>
  <c r="J48" i="5"/>
  <c r="J74" i="5" s="1"/>
  <c r="I48" i="5"/>
  <c r="H48" i="5"/>
  <c r="H74" i="5" s="1"/>
  <c r="G48" i="5"/>
  <c r="G46" i="5" s="1"/>
  <c r="F48" i="5"/>
  <c r="F46" i="5" s="1"/>
  <c r="E48" i="5"/>
  <c r="E46" i="5" s="1"/>
  <c r="D48" i="5"/>
  <c r="V47" i="5"/>
  <c r="U47" i="5"/>
  <c r="T47" i="5"/>
  <c r="T73" i="5" s="1"/>
  <c r="S47" i="5"/>
  <c r="S73" i="5" s="1"/>
  <c r="R47" i="5"/>
  <c r="R73" i="5" s="1"/>
  <c r="Q47" i="5"/>
  <c r="Q73" i="5" s="1"/>
  <c r="P47" i="5"/>
  <c r="O47" i="5"/>
  <c r="O73" i="5" s="1"/>
  <c r="N47" i="5"/>
  <c r="N73" i="5" s="1"/>
  <c r="M47" i="5"/>
  <c r="M73" i="5" s="1"/>
  <c r="L47" i="5"/>
  <c r="K47" i="5"/>
  <c r="J47" i="5"/>
  <c r="J46" i="5" s="1"/>
  <c r="I47" i="5"/>
  <c r="I46" i="5" s="1"/>
  <c r="H47" i="5"/>
  <c r="H46" i="5" s="1"/>
  <c r="G47" i="5"/>
  <c r="F47" i="5"/>
  <c r="E47" i="5"/>
  <c r="D47" i="5"/>
  <c r="D73" i="5" s="1"/>
  <c r="U46" i="5"/>
  <c r="T46" i="5"/>
  <c r="R46" i="5"/>
  <c r="R72" i="5" s="1"/>
  <c r="N46" i="5"/>
  <c r="M46" i="5"/>
  <c r="M45" i="5" s="1"/>
  <c r="L46" i="5"/>
  <c r="L45" i="5" s="1"/>
  <c r="D46" i="5"/>
  <c r="V44" i="5"/>
  <c r="V70" i="5" s="1"/>
  <c r="U44" i="5"/>
  <c r="T44" i="5"/>
  <c r="S44" i="5"/>
  <c r="S70" i="5" s="1"/>
  <c r="R44" i="5"/>
  <c r="R70" i="5" s="1"/>
  <c r="Q44" i="5"/>
  <c r="P44" i="5"/>
  <c r="O44" i="5"/>
  <c r="N44" i="5"/>
  <c r="M44" i="5"/>
  <c r="M70" i="5" s="1"/>
  <c r="L44" i="5"/>
  <c r="L70" i="5" s="1"/>
  <c r="K44" i="5"/>
  <c r="K70" i="5" s="1"/>
  <c r="J44" i="5"/>
  <c r="J70" i="5" s="1"/>
  <c r="I44" i="5"/>
  <c r="H44" i="5"/>
  <c r="H70" i="5" s="1"/>
  <c r="G44" i="5"/>
  <c r="G70" i="5" s="1"/>
  <c r="F44" i="5"/>
  <c r="F70" i="5" s="1"/>
  <c r="E44" i="5"/>
  <c r="D44" i="5"/>
  <c r="V43" i="5"/>
  <c r="V69" i="5" s="1"/>
  <c r="U43" i="5"/>
  <c r="U69" i="5" s="1"/>
  <c r="T43" i="5"/>
  <c r="S43" i="5"/>
  <c r="R43" i="5"/>
  <c r="Q43" i="5"/>
  <c r="P43" i="5"/>
  <c r="P69" i="5" s="1"/>
  <c r="O43" i="5"/>
  <c r="O69" i="5" s="1"/>
  <c r="N43" i="5"/>
  <c r="N69" i="5" s="1"/>
  <c r="M43" i="5"/>
  <c r="M69" i="5" s="1"/>
  <c r="L43" i="5"/>
  <c r="K43" i="5"/>
  <c r="K69" i="5" s="1"/>
  <c r="J43" i="5"/>
  <c r="J69" i="5" s="1"/>
  <c r="I43" i="5"/>
  <c r="I69" i="5" s="1"/>
  <c r="H43" i="5"/>
  <c r="G43" i="5"/>
  <c r="F43" i="5"/>
  <c r="F69" i="5" s="1"/>
  <c r="E43" i="5"/>
  <c r="E69" i="5" s="1"/>
  <c r="D43" i="5"/>
  <c r="V42" i="5"/>
  <c r="U42" i="5"/>
  <c r="T42" i="5"/>
  <c r="S42" i="5"/>
  <c r="S68" i="5" s="1"/>
  <c r="R42" i="5"/>
  <c r="R68" i="5" s="1"/>
  <c r="Q42" i="5"/>
  <c r="Q68" i="5" s="1"/>
  <c r="P42" i="5"/>
  <c r="P68" i="5" s="1"/>
  <c r="O42" i="5"/>
  <c r="N42" i="5"/>
  <c r="N68" i="5" s="1"/>
  <c r="M42" i="5"/>
  <c r="M68" i="5" s="1"/>
  <c r="L42" i="5"/>
  <c r="L68" i="5" s="1"/>
  <c r="K42" i="5"/>
  <c r="J42" i="5"/>
  <c r="J68" i="5" s="1"/>
  <c r="I42" i="5"/>
  <c r="I40" i="5" s="1"/>
  <c r="H42" i="5"/>
  <c r="G42" i="5"/>
  <c r="F42" i="5"/>
  <c r="E42" i="5"/>
  <c r="D42" i="5"/>
  <c r="V41" i="5"/>
  <c r="V67" i="5" s="1"/>
  <c r="U41" i="5"/>
  <c r="U67" i="5" s="1"/>
  <c r="T41" i="5"/>
  <c r="T67" i="5" s="1"/>
  <c r="S41" i="5"/>
  <c r="S67" i="5" s="1"/>
  <c r="R41" i="5"/>
  <c r="Q41" i="5"/>
  <c r="Q67" i="5" s="1"/>
  <c r="P41" i="5"/>
  <c r="P67" i="5" s="1"/>
  <c r="O41" i="5"/>
  <c r="O67" i="5" s="1"/>
  <c r="N41" i="5"/>
  <c r="M41" i="5"/>
  <c r="L41" i="5"/>
  <c r="L40" i="5" s="1"/>
  <c r="K41" i="5"/>
  <c r="J41" i="5"/>
  <c r="I41" i="5"/>
  <c r="H41" i="5"/>
  <c r="G41" i="5"/>
  <c r="F41" i="5"/>
  <c r="F67" i="5" s="1"/>
  <c r="E41" i="5"/>
  <c r="E67" i="5" s="1"/>
  <c r="D41" i="5"/>
  <c r="D67" i="5" s="1"/>
  <c r="V40" i="5"/>
  <c r="V53" i="5" s="1"/>
  <c r="P40" i="5"/>
  <c r="O40" i="5"/>
  <c r="N40" i="5"/>
  <c r="F40" i="5"/>
  <c r="F53" i="5" s="1"/>
  <c r="V26" i="5"/>
  <c r="V127" i="5" s="1"/>
  <c r="U26" i="5"/>
  <c r="U179" i="5" s="1"/>
  <c r="T26" i="5"/>
  <c r="S26" i="5"/>
  <c r="R26" i="5"/>
  <c r="Q26" i="5"/>
  <c r="Q78" i="5" s="1"/>
  <c r="P26" i="5"/>
  <c r="O26" i="5"/>
  <c r="N26" i="5"/>
  <c r="M26" i="5"/>
  <c r="M179" i="5" s="1"/>
  <c r="L26" i="5"/>
  <c r="K26" i="5"/>
  <c r="K127" i="5" s="1"/>
  <c r="J26" i="5"/>
  <c r="I26" i="5"/>
  <c r="I78" i="5" s="1"/>
  <c r="H26" i="5"/>
  <c r="H179" i="5" s="1"/>
  <c r="G26" i="5"/>
  <c r="G78" i="5" s="1"/>
  <c r="F26" i="5"/>
  <c r="F78" i="5" s="1"/>
  <c r="E26" i="5"/>
  <c r="E179" i="5" s="1"/>
  <c r="D26" i="5"/>
  <c r="V25" i="5"/>
  <c r="U25" i="5"/>
  <c r="T25" i="5"/>
  <c r="T77" i="5" s="1"/>
  <c r="S25" i="5"/>
  <c r="S126" i="5" s="1"/>
  <c r="R25" i="5"/>
  <c r="Q25" i="5"/>
  <c r="Q126" i="5" s="1"/>
  <c r="P25" i="5"/>
  <c r="P178" i="5" s="1"/>
  <c r="O25" i="5"/>
  <c r="O126" i="5" s="1"/>
  <c r="N25" i="5"/>
  <c r="N126" i="5" s="1"/>
  <c r="M25" i="5"/>
  <c r="L25" i="5"/>
  <c r="L77" i="5" s="1"/>
  <c r="K25" i="5"/>
  <c r="K23" i="5" s="1"/>
  <c r="J25" i="5"/>
  <c r="I25" i="5"/>
  <c r="I77" i="5" s="1"/>
  <c r="H25" i="5"/>
  <c r="H178" i="5" s="1"/>
  <c r="G25" i="5"/>
  <c r="F25" i="5"/>
  <c r="E25" i="5"/>
  <c r="D25" i="5"/>
  <c r="D77" i="5" s="1"/>
  <c r="V24" i="5"/>
  <c r="V125" i="5" s="1"/>
  <c r="U24" i="5"/>
  <c r="U23" i="5" s="1"/>
  <c r="T24" i="5"/>
  <c r="S24" i="5"/>
  <c r="S177" i="5" s="1"/>
  <c r="R24" i="5"/>
  <c r="Q24" i="5"/>
  <c r="P24" i="5"/>
  <c r="O24" i="5"/>
  <c r="O23" i="5" s="1"/>
  <c r="N24" i="5"/>
  <c r="N23" i="5" s="1"/>
  <c r="M24" i="5"/>
  <c r="L24" i="5"/>
  <c r="L76" i="5" s="1"/>
  <c r="K24" i="5"/>
  <c r="K177" i="5" s="1"/>
  <c r="J24" i="5"/>
  <c r="I24" i="5"/>
  <c r="H24" i="5"/>
  <c r="G24" i="5"/>
  <c r="G76" i="5" s="1"/>
  <c r="F24" i="5"/>
  <c r="F125" i="5" s="1"/>
  <c r="E24" i="5"/>
  <c r="E23" i="5" s="1"/>
  <c r="D24" i="5"/>
  <c r="V23" i="5"/>
  <c r="V176" i="5" s="1"/>
  <c r="R23" i="5"/>
  <c r="Q23" i="5"/>
  <c r="P23" i="5"/>
  <c r="I23" i="5"/>
  <c r="H23" i="5"/>
  <c r="F23" i="5"/>
  <c r="F176" i="5" s="1"/>
  <c r="V22" i="5"/>
  <c r="U22" i="5"/>
  <c r="U123" i="5" s="1"/>
  <c r="T22" i="5"/>
  <c r="T20" i="5" s="1"/>
  <c r="S22" i="5"/>
  <c r="R22" i="5"/>
  <c r="R74" i="5" s="1"/>
  <c r="Q22" i="5"/>
  <c r="Q175" i="5" s="1"/>
  <c r="P22" i="5"/>
  <c r="O22" i="5"/>
  <c r="N22" i="5"/>
  <c r="M22" i="5"/>
  <c r="M74" i="5" s="1"/>
  <c r="L22" i="5"/>
  <c r="K22" i="5"/>
  <c r="J22" i="5"/>
  <c r="I22" i="5"/>
  <c r="I123" i="5" s="1"/>
  <c r="H22" i="5"/>
  <c r="H175" i="5" s="1"/>
  <c r="G22" i="5"/>
  <c r="F22" i="5"/>
  <c r="E22" i="5"/>
  <c r="E74" i="5" s="1"/>
  <c r="D22" i="5"/>
  <c r="D20" i="5" s="1"/>
  <c r="V21" i="5"/>
  <c r="U21" i="5"/>
  <c r="U73" i="5" s="1"/>
  <c r="T21" i="5"/>
  <c r="T174" i="5" s="1"/>
  <c r="S21" i="5"/>
  <c r="R21" i="5"/>
  <c r="Q21" i="5"/>
  <c r="P21" i="5"/>
  <c r="P73" i="5" s="1"/>
  <c r="O21" i="5"/>
  <c r="N21" i="5"/>
  <c r="N20" i="5" s="1"/>
  <c r="N19" i="5" s="1"/>
  <c r="M21" i="5"/>
  <c r="M122" i="5" s="1"/>
  <c r="L21" i="5"/>
  <c r="L73" i="5" s="1"/>
  <c r="K21" i="5"/>
  <c r="J21" i="5"/>
  <c r="I21" i="5"/>
  <c r="I174" i="5" s="1"/>
  <c r="H21" i="5"/>
  <c r="H20" i="5" s="1"/>
  <c r="H19" i="5" s="1"/>
  <c r="G21" i="5"/>
  <c r="G20" i="5" s="1"/>
  <c r="F21" i="5"/>
  <c r="E21" i="5"/>
  <c r="E174" i="5" s="1"/>
  <c r="D21" i="5"/>
  <c r="D174" i="5" s="1"/>
  <c r="R20" i="5"/>
  <c r="R173" i="5" s="1"/>
  <c r="Q20" i="5"/>
  <c r="Q19" i="5" s="1"/>
  <c r="O20" i="5"/>
  <c r="K20" i="5"/>
  <c r="K19" i="5" s="1"/>
  <c r="J20" i="5"/>
  <c r="I20" i="5"/>
  <c r="I19" i="5" s="1"/>
  <c r="V18" i="5"/>
  <c r="U18" i="5"/>
  <c r="U171" i="5" s="1"/>
  <c r="T18" i="5"/>
  <c r="S18" i="5"/>
  <c r="R18" i="5"/>
  <c r="R171" i="5" s="1"/>
  <c r="Q18" i="5"/>
  <c r="Q14" i="5" s="1"/>
  <c r="Q27" i="5" s="1"/>
  <c r="P18" i="5"/>
  <c r="P70" i="5" s="1"/>
  <c r="O18" i="5"/>
  <c r="O70" i="5" s="1"/>
  <c r="N18" i="5"/>
  <c r="N70" i="5" s="1"/>
  <c r="M18" i="5"/>
  <c r="M119" i="5" s="1"/>
  <c r="L18" i="5"/>
  <c r="K18" i="5"/>
  <c r="J18" i="5"/>
  <c r="I18" i="5"/>
  <c r="I70" i="5" s="1"/>
  <c r="H18" i="5"/>
  <c r="G18" i="5"/>
  <c r="G119" i="5" s="1"/>
  <c r="F18" i="5"/>
  <c r="E18" i="5"/>
  <c r="E119" i="5" s="1"/>
  <c r="D18" i="5"/>
  <c r="V17" i="5"/>
  <c r="U17" i="5"/>
  <c r="U170" i="5" s="1"/>
  <c r="T17" i="5"/>
  <c r="T14" i="5" s="1"/>
  <c r="S17" i="5"/>
  <c r="S69" i="5" s="1"/>
  <c r="R17" i="5"/>
  <c r="R69" i="5" s="1"/>
  <c r="Q17" i="5"/>
  <c r="Q69" i="5" s="1"/>
  <c r="P17" i="5"/>
  <c r="P170" i="5" s="1"/>
  <c r="O17" i="5"/>
  <c r="N17" i="5"/>
  <c r="M17" i="5"/>
  <c r="L17" i="5"/>
  <c r="L69" i="5" s="1"/>
  <c r="K17" i="5"/>
  <c r="J17" i="5"/>
  <c r="I17" i="5"/>
  <c r="H17" i="5"/>
  <c r="H170" i="5" s="1"/>
  <c r="G17" i="5"/>
  <c r="F17" i="5"/>
  <c r="F118" i="5" s="1"/>
  <c r="E17" i="5"/>
  <c r="E170" i="5" s="1"/>
  <c r="D17" i="5"/>
  <c r="V16" i="5"/>
  <c r="V14" i="5" s="1"/>
  <c r="U16" i="5"/>
  <c r="T16" i="5"/>
  <c r="T68" i="5" s="1"/>
  <c r="S16" i="5"/>
  <c r="S169" i="5" s="1"/>
  <c r="R16" i="5"/>
  <c r="Q16" i="5"/>
  <c r="P16" i="5"/>
  <c r="O16" i="5"/>
  <c r="O68" i="5" s="1"/>
  <c r="N16" i="5"/>
  <c r="M16" i="5"/>
  <c r="M117" i="5" s="1"/>
  <c r="L16" i="5"/>
  <c r="K16" i="5"/>
  <c r="K68" i="5" s="1"/>
  <c r="J16" i="5"/>
  <c r="I16" i="5"/>
  <c r="H16" i="5"/>
  <c r="H169" i="5" s="1"/>
  <c r="G16" i="5"/>
  <c r="G68" i="5" s="1"/>
  <c r="F16" i="5"/>
  <c r="F14" i="5" s="1"/>
  <c r="E16" i="5"/>
  <c r="D16" i="5"/>
  <c r="D68" i="5" s="1"/>
  <c r="V15" i="5"/>
  <c r="V168" i="5" s="1"/>
  <c r="U15" i="5"/>
  <c r="T15" i="5"/>
  <c r="S15" i="5"/>
  <c r="R15" i="5"/>
  <c r="R67" i="5" s="1"/>
  <c r="Q15" i="5"/>
  <c r="P15" i="5"/>
  <c r="P14" i="5" s="1"/>
  <c r="O15" i="5"/>
  <c r="N15" i="5"/>
  <c r="N168" i="5" s="1"/>
  <c r="M15" i="5"/>
  <c r="L15" i="5"/>
  <c r="K15" i="5"/>
  <c r="K168" i="5" s="1"/>
  <c r="J15" i="5"/>
  <c r="J14" i="5" s="1"/>
  <c r="I15" i="5"/>
  <c r="I14" i="5" s="1"/>
  <c r="H15" i="5"/>
  <c r="G15" i="5"/>
  <c r="G67" i="5" s="1"/>
  <c r="F15" i="5"/>
  <c r="F116" i="5" s="1"/>
  <c r="E15" i="5"/>
  <c r="D15" i="5"/>
  <c r="S14" i="5"/>
  <c r="S27" i="5" s="1"/>
  <c r="M14" i="5"/>
  <c r="L14" i="5"/>
  <c r="K14" i="5"/>
  <c r="V178" i="4"/>
  <c r="V150" i="4"/>
  <c r="U150" i="4"/>
  <c r="T150" i="4"/>
  <c r="S150" i="4"/>
  <c r="R150" i="4"/>
  <c r="Q150" i="4"/>
  <c r="Q178" i="4" s="1"/>
  <c r="P150" i="4"/>
  <c r="P178" i="4" s="1"/>
  <c r="O150" i="4"/>
  <c r="N150" i="4"/>
  <c r="M150" i="4"/>
  <c r="M178" i="4" s="1"/>
  <c r="L150" i="4"/>
  <c r="L178" i="4" s="1"/>
  <c r="K150" i="4"/>
  <c r="J150" i="4"/>
  <c r="I150" i="4"/>
  <c r="H150" i="4"/>
  <c r="G150" i="4"/>
  <c r="F150" i="4"/>
  <c r="E150" i="4"/>
  <c r="D150" i="4"/>
  <c r="V149" i="4"/>
  <c r="U149" i="4"/>
  <c r="T149" i="4"/>
  <c r="T177" i="4" s="1"/>
  <c r="S149" i="4"/>
  <c r="S177" i="4" s="1"/>
  <c r="R149" i="4"/>
  <c r="Q149" i="4"/>
  <c r="P149" i="4"/>
  <c r="P177" i="4" s="1"/>
  <c r="O149" i="4"/>
  <c r="O177" i="4" s="1"/>
  <c r="N149" i="4"/>
  <c r="M149" i="4"/>
  <c r="L149" i="4"/>
  <c r="K149" i="4"/>
  <c r="K147" i="4" s="1"/>
  <c r="J149" i="4"/>
  <c r="I149" i="4"/>
  <c r="H149" i="4"/>
  <c r="G149" i="4"/>
  <c r="F149" i="4"/>
  <c r="E149" i="4"/>
  <c r="D149" i="4"/>
  <c r="D177" i="4" s="1"/>
  <c r="V148" i="4"/>
  <c r="V176" i="4" s="1"/>
  <c r="U148" i="4"/>
  <c r="T148" i="4"/>
  <c r="S148" i="4"/>
  <c r="S176" i="4" s="1"/>
  <c r="R148" i="4"/>
  <c r="R176" i="4" s="1"/>
  <c r="Q148" i="4"/>
  <c r="P148" i="4"/>
  <c r="O148" i="4"/>
  <c r="N148" i="4"/>
  <c r="N147" i="4" s="1"/>
  <c r="M148" i="4"/>
  <c r="L148" i="4"/>
  <c r="K148" i="4"/>
  <c r="J148" i="4"/>
  <c r="I148" i="4"/>
  <c r="H148" i="4"/>
  <c r="G148" i="4"/>
  <c r="G176" i="4" s="1"/>
  <c r="F148" i="4"/>
  <c r="F176" i="4" s="1"/>
  <c r="E148" i="4"/>
  <c r="D148" i="4"/>
  <c r="V147" i="4"/>
  <c r="R147" i="4"/>
  <c r="Q147" i="4"/>
  <c r="P147" i="4"/>
  <c r="I147" i="4"/>
  <c r="H147" i="4"/>
  <c r="F147" i="4"/>
  <c r="V146" i="4"/>
  <c r="U146" i="4"/>
  <c r="T146" i="4"/>
  <c r="T144" i="4" s="1"/>
  <c r="S146" i="4"/>
  <c r="R146" i="4"/>
  <c r="R144" i="4" s="1"/>
  <c r="Q146" i="4"/>
  <c r="P146" i="4"/>
  <c r="O146" i="4"/>
  <c r="N146" i="4"/>
  <c r="N174" i="4" s="1"/>
  <c r="M146" i="4"/>
  <c r="L146" i="4"/>
  <c r="L174" i="4" s="1"/>
  <c r="K146" i="4"/>
  <c r="J146" i="4"/>
  <c r="I146" i="4"/>
  <c r="H146" i="4"/>
  <c r="G146" i="4"/>
  <c r="F146" i="4"/>
  <c r="E146" i="4"/>
  <c r="D146" i="4"/>
  <c r="D144" i="4" s="1"/>
  <c r="V145" i="4"/>
  <c r="U145" i="4"/>
  <c r="U144" i="4" s="1"/>
  <c r="T145" i="4"/>
  <c r="S145" i="4"/>
  <c r="R145" i="4"/>
  <c r="Q145" i="4"/>
  <c r="Q173" i="4" s="1"/>
  <c r="P145" i="4"/>
  <c r="O145" i="4"/>
  <c r="O173" i="4" s="1"/>
  <c r="N145" i="4"/>
  <c r="M145" i="4"/>
  <c r="L145" i="4"/>
  <c r="K145" i="4"/>
  <c r="J145" i="4"/>
  <c r="I145" i="4"/>
  <c r="H145" i="4"/>
  <c r="G145" i="4"/>
  <c r="G144" i="4" s="1"/>
  <c r="F145" i="4"/>
  <c r="E145" i="4"/>
  <c r="D145" i="4"/>
  <c r="Q144" i="4"/>
  <c r="O144" i="4"/>
  <c r="K144" i="4"/>
  <c r="J144" i="4"/>
  <c r="I144" i="4"/>
  <c r="V142" i="4"/>
  <c r="U142" i="4"/>
  <c r="T142" i="4"/>
  <c r="S142" i="4"/>
  <c r="R142" i="4"/>
  <c r="Q142" i="4"/>
  <c r="P142" i="4"/>
  <c r="O142" i="4"/>
  <c r="N142" i="4"/>
  <c r="N170" i="4" s="1"/>
  <c r="M142" i="4"/>
  <c r="L142" i="4"/>
  <c r="K142" i="4"/>
  <c r="J142" i="4"/>
  <c r="I142" i="4"/>
  <c r="H142" i="4"/>
  <c r="G142" i="4"/>
  <c r="F142" i="4"/>
  <c r="E142" i="4"/>
  <c r="D142" i="4"/>
  <c r="V141" i="4"/>
  <c r="U141" i="4"/>
  <c r="T141" i="4"/>
  <c r="S141" i="4"/>
  <c r="R141" i="4"/>
  <c r="Q141" i="4"/>
  <c r="Q169" i="4" s="1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V140" i="4"/>
  <c r="U140" i="4"/>
  <c r="T140" i="4"/>
  <c r="T138" i="4" s="1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D168" i="4" s="1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J138" i="4" s="1"/>
  <c r="I139" i="4"/>
  <c r="H139" i="4"/>
  <c r="G139" i="4"/>
  <c r="F139" i="4"/>
  <c r="E139" i="4"/>
  <c r="D139" i="4"/>
  <c r="M138" i="4"/>
  <c r="L138" i="4"/>
  <c r="K138" i="4"/>
  <c r="L126" i="4"/>
  <c r="I126" i="4"/>
  <c r="G126" i="4"/>
  <c r="R124" i="4"/>
  <c r="O124" i="4"/>
  <c r="M124" i="4"/>
  <c r="U122" i="4"/>
  <c r="S122" i="4"/>
  <c r="L122" i="4"/>
  <c r="L121" i="4"/>
  <c r="K121" i="4"/>
  <c r="F121" i="4"/>
  <c r="I118" i="4"/>
  <c r="G118" i="4"/>
  <c r="E118" i="4"/>
  <c r="D118" i="4"/>
  <c r="U116" i="4"/>
  <c r="O116" i="4"/>
  <c r="N116" i="4"/>
  <c r="M116" i="4"/>
  <c r="M115" i="4"/>
  <c r="H115" i="4"/>
  <c r="V100" i="4"/>
  <c r="O100" i="4"/>
  <c r="V99" i="4"/>
  <c r="U99" i="4"/>
  <c r="T99" i="4"/>
  <c r="S99" i="4"/>
  <c r="R99" i="4"/>
  <c r="Q99" i="4"/>
  <c r="P99" i="4"/>
  <c r="P126" i="4" s="1"/>
  <c r="O99" i="4"/>
  <c r="O126" i="4" s="1"/>
  <c r="N99" i="4"/>
  <c r="N126" i="4" s="1"/>
  <c r="M99" i="4"/>
  <c r="L99" i="4"/>
  <c r="K99" i="4"/>
  <c r="J99" i="4"/>
  <c r="I99" i="4"/>
  <c r="H99" i="4"/>
  <c r="G99" i="4"/>
  <c r="F99" i="4"/>
  <c r="E99" i="4"/>
  <c r="D99" i="4"/>
  <c r="V98" i="4"/>
  <c r="U98" i="4"/>
  <c r="T98" i="4"/>
  <c r="S98" i="4"/>
  <c r="S125" i="4" s="1"/>
  <c r="R98" i="4"/>
  <c r="R125" i="4" s="1"/>
  <c r="Q98" i="4"/>
  <c r="Q125" i="4" s="1"/>
  <c r="P98" i="4"/>
  <c r="O98" i="4"/>
  <c r="O125" i="4" s="1"/>
  <c r="N98" i="4"/>
  <c r="M98" i="4"/>
  <c r="L98" i="4"/>
  <c r="L125" i="4" s="1"/>
  <c r="K98" i="4"/>
  <c r="J98" i="4"/>
  <c r="I98" i="4"/>
  <c r="H98" i="4"/>
  <c r="G98" i="4"/>
  <c r="F98" i="4"/>
  <c r="E98" i="4"/>
  <c r="D98" i="4"/>
  <c r="V97" i="4"/>
  <c r="V96" i="4" s="1"/>
  <c r="U97" i="4"/>
  <c r="U124" i="4" s="1"/>
  <c r="T97" i="4"/>
  <c r="T124" i="4" s="1"/>
  <c r="S97" i="4"/>
  <c r="R97" i="4"/>
  <c r="R96" i="4" s="1"/>
  <c r="R123" i="4" s="1"/>
  <c r="Q97" i="4"/>
  <c r="P97" i="4"/>
  <c r="O97" i="4"/>
  <c r="N97" i="4"/>
  <c r="M97" i="4"/>
  <c r="L97" i="4"/>
  <c r="K97" i="4"/>
  <c r="J97" i="4"/>
  <c r="I97" i="4"/>
  <c r="H97" i="4"/>
  <c r="G97" i="4"/>
  <c r="F97" i="4"/>
  <c r="F96" i="4" s="1"/>
  <c r="E97" i="4"/>
  <c r="E124" i="4" s="1"/>
  <c r="D97" i="4"/>
  <c r="D124" i="4" s="1"/>
  <c r="U96" i="4"/>
  <c r="T96" i="4"/>
  <c r="T92" i="4" s="1"/>
  <c r="M96" i="4"/>
  <c r="K96" i="4"/>
  <c r="H96" i="4"/>
  <c r="D96" i="4"/>
  <c r="V95" i="4"/>
  <c r="U95" i="4"/>
  <c r="U93" i="4" s="1"/>
  <c r="T95" i="4"/>
  <c r="S95" i="4"/>
  <c r="R95" i="4"/>
  <c r="Q95" i="4"/>
  <c r="P95" i="4"/>
  <c r="O95" i="4"/>
  <c r="N95" i="4"/>
  <c r="M95" i="4"/>
  <c r="L95" i="4"/>
  <c r="K95" i="4"/>
  <c r="K122" i="4" s="1"/>
  <c r="J95" i="4"/>
  <c r="I95" i="4"/>
  <c r="H95" i="4"/>
  <c r="H122" i="4" s="1"/>
  <c r="G95" i="4"/>
  <c r="F95" i="4"/>
  <c r="E95" i="4"/>
  <c r="E122" i="4" s="1"/>
  <c r="D95" i="4"/>
  <c r="V94" i="4"/>
  <c r="U94" i="4"/>
  <c r="T94" i="4"/>
  <c r="S94" i="4"/>
  <c r="R94" i="4"/>
  <c r="Q94" i="4"/>
  <c r="Q93" i="4" s="1"/>
  <c r="P94" i="4"/>
  <c r="O94" i="4"/>
  <c r="O93" i="4" s="1"/>
  <c r="N94" i="4"/>
  <c r="N121" i="4" s="1"/>
  <c r="M94" i="4"/>
  <c r="L94" i="4"/>
  <c r="K94" i="4"/>
  <c r="J94" i="4"/>
  <c r="I94" i="4"/>
  <c r="H94" i="4"/>
  <c r="H93" i="4" s="1"/>
  <c r="H92" i="4" s="1"/>
  <c r="G94" i="4"/>
  <c r="F94" i="4"/>
  <c r="E94" i="4"/>
  <c r="D94" i="4"/>
  <c r="V93" i="4"/>
  <c r="T93" i="4"/>
  <c r="R93" i="4"/>
  <c r="N93" i="4"/>
  <c r="M93" i="4"/>
  <c r="L93" i="4"/>
  <c r="F93" i="4"/>
  <c r="D93" i="4"/>
  <c r="V91" i="4"/>
  <c r="U91" i="4"/>
  <c r="T91" i="4"/>
  <c r="T118" i="4" s="1"/>
  <c r="S91" i="4"/>
  <c r="R91" i="4"/>
  <c r="R118" i="4" s="1"/>
  <c r="Q91" i="4"/>
  <c r="Q118" i="4" s="1"/>
  <c r="P91" i="4"/>
  <c r="O91" i="4"/>
  <c r="N91" i="4"/>
  <c r="M91" i="4"/>
  <c r="L91" i="4"/>
  <c r="K91" i="4"/>
  <c r="J91" i="4"/>
  <c r="J118" i="4" s="1"/>
  <c r="I91" i="4"/>
  <c r="H91" i="4"/>
  <c r="H118" i="4" s="1"/>
  <c r="G91" i="4"/>
  <c r="F91" i="4"/>
  <c r="E91" i="4"/>
  <c r="D91" i="4"/>
  <c r="V90" i="4"/>
  <c r="U90" i="4"/>
  <c r="U117" i="4" s="1"/>
  <c r="T90" i="4"/>
  <c r="T117" i="4" s="1"/>
  <c r="S90" i="4"/>
  <c r="R90" i="4"/>
  <c r="Q90" i="4"/>
  <c r="P90" i="4"/>
  <c r="O90" i="4"/>
  <c r="N90" i="4"/>
  <c r="M90" i="4"/>
  <c r="M117" i="4" s="1"/>
  <c r="L90" i="4"/>
  <c r="K90" i="4"/>
  <c r="K117" i="4" s="1"/>
  <c r="J90" i="4"/>
  <c r="J117" i="4" s="1"/>
  <c r="I90" i="4"/>
  <c r="H90" i="4"/>
  <c r="G90" i="4"/>
  <c r="G117" i="4" s="1"/>
  <c r="F90" i="4"/>
  <c r="E90" i="4"/>
  <c r="E117" i="4" s="1"/>
  <c r="D90" i="4"/>
  <c r="D117" i="4" s="1"/>
  <c r="V89" i="4"/>
  <c r="U89" i="4"/>
  <c r="T89" i="4"/>
  <c r="S89" i="4"/>
  <c r="R89" i="4"/>
  <c r="Q89" i="4"/>
  <c r="P89" i="4"/>
  <c r="P116" i="4" s="1"/>
  <c r="O89" i="4"/>
  <c r="N89" i="4"/>
  <c r="N87" i="4" s="1"/>
  <c r="M89" i="4"/>
  <c r="L89" i="4"/>
  <c r="K89" i="4"/>
  <c r="J89" i="4"/>
  <c r="J116" i="4" s="1"/>
  <c r="I89" i="4"/>
  <c r="H89" i="4"/>
  <c r="H116" i="4" s="1"/>
  <c r="G89" i="4"/>
  <c r="G87" i="4" s="1"/>
  <c r="F89" i="4"/>
  <c r="E89" i="4"/>
  <c r="D89" i="4"/>
  <c r="V88" i="4"/>
  <c r="U88" i="4"/>
  <c r="T88" i="4"/>
  <c r="T87" i="4" s="1"/>
  <c r="S88" i="4"/>
  <c r="S115" i="4" s="1"/>
  <c r="R88" i="4"/>
  <c r="Q88" i="4"/>
  <c r="Q115" i="4" s="1"/>
  <c r="P88" i="4"/>
  <c r="P115" i="4" s="1"/>
  <c r="O88" i="4"/>
  <c r="N88" i="4"/>
  <c r="M88" i="4"/>
  <c r="L88" i="4"/>
  <c r="K88" i="4"/>
  <c r="J88" i="4"/>
  <c r="J87" i="4" s="1"/>
  <c r="J100" i="4" s="1"/>
  <c r="I88" i="4"/>
  <c r="H88" i="4"/>
  <c r="G88" i="4"/>
  <c r="F88" i="4"/>
  <c r="E88" i="4"/>
  <c r="D88" i="4"/>
  <c r="D87" i="4" s="1"/>
  <c r="V87" i="4"/>
  <c r="O87" i="4"/>
  <c r="F87" i="4"/>
  <c r="F100" i="4" s="1"/>
  <c r="T77" i="4"/>
  <c r="S77" i="4"/>
  <c r="R77" i="4"/>
  <c r="R76" i="4"/>
  <c r="O76" i="4"/>
  <c r="M76" i="4"/>
  <c r="V75" i="4"/>
  <c r="H75" i="4"/>
  <c r="F75" i="4"/>
  <c r="P73" i="4"/>
  <c r="O73" i="4"/>
  <c r="L73" i="4"/>
  <c r="K73" i="4"/>
  <c r="I72" i="4"/>
  <c r="H72" i="4"/>
  <c r="H69" i="4"/>
  <c r="G69" i="4"/>
  <c r="U68" i="4"/>
  <c r="M68" i="4"/>
  <c r="R67" i="4"/>
  <c r="Q67" i="4"/>
  <c r="N67" i="4"/>
  <c r="M67" i="4"/>
  <c r="K67" i="4"/>
  <c r="H67" i="4"/>
  <c r="D66" i="4"/>
  <c r="K52" i="4"/>
  <c r="V51" i="4"/>
  <c r="U51" i="4"/>
  <c r="T51" i="4"/>
  <c r="S51" i="4"/>
  <c r="R51" i="4"/>
  <c r="Q51" i="4"/>
  <c r="P51" i="4"/>
  <c r="P77" i="4" s="1"/>
  <c r="O51" i="4"/>
  <c r="N51" i="4"/>
  <c r="M51" i="4"/>
  <c r="L51" i="4"/>
  <c r="L77" i="4" s="1"/>
  <c r="K51" i="4"/>
  <c r="J51" i="4"/>
  <c r="J77" i="4" s="1"/>
  <c r="I51" i="4"/>
  <c r="I77" i="4" s="1"/>
  <c r="H51" i="4"/>
  <c r="G51" i="4"/>
  <c r="G77" i="4" s="1"/>
  <c r="F51" i="4"/>
  <c r="E51" i="4"/>
  <c r="D51" i="4"/>
  <c r="D77" i="4" s="1"/>
  <c r="V50" i="4"/>
  <c r="V76" i="4" s="1"/>
  <c r="U50" i="4"/>
  <c r="U76" i="4" s="1"/>
  <c r="T50" i="4"/>
  <c r="S50" i="4"/>
  <c r="S76" i="4" s="1"/>
  <c r="R50" i="4"/>
  <c r="Q50" i="4"/>
  <c r="P50" i="4"/>
  <c r="O50" i="4"/>
  <c r="N50" i="4"/>
  <c r="N76" i="4" s="1"/>
  <c r="M50" i="4"/>
  <c r="L50" i="4"/>
  <c r="L76" i="4" s="1"/>
  <c r="K50" i="4"/>
  <c r="J50" i="4"/>
  <c r="J76" i="4" s="1"/>
  <c r="I50" i="4"/>
  <c r="H50" i="4"/>
  <c r="G50" i="4"/>
  <c r="G76" i="4" s="1"/>
  <c r="F50" i="4"/>
  <c r="F76" i="4" s="1"/>
  <c r="E50" i="4"/>
  <c r="E76" i="4" s="1"/>
  <c r="D50" i="4"/>
  <c r="V49" i="4"/>
  <c r="U49" i="4"/>
  <c r="U75" i="4" s="1"/>
  <c r="T49" i="4"/>
  <c r="S49" i="4"/>
  <c r="S48" i="4" s="1"/>
  <c r="S74" i="4" s="1"/>
  <c r="R49" i="4"/>
  <c r="R75" i="4" s="1"/>
  <c r="Q49" i="4"/>
  <c r="Q48" i="4" s="1"/>
  <c r="Q74" i="4" s="1"/>
  <c r="P49" i="4"/>
  <c r="P75" i="4" s="1"/>
  <c r="O49" i="4"/>
  <c r="O48" i="4" s="1"/>
  <c r="N49" i="4"/>
  <c r="N48" i="4" s="1"/>
  <c r="N74" i="4" s="1"/>
  <c r="M49" i="4"/>
  <c r="M75" i="4" s="1"/>
  <c r="L49" i="4"/>
  <c r="L48" i="4" s="1"/>
  <c r="K49" i="4"/>
  <c r="K48" i="4" s="1"/>
  <c r="J49" i="4"/>
  <c r="J48" i="4" s="1"/>
  <c r="J74" i="4" s="1"/>
  <c r="I49" i="4"/>
  <c r="H49" i="4"/>
  <c r="H48" i="4" s="1"/>
  <c r="G49" i="4"/>
  <c r="F49" i="4"/>
  <c r="E49" i="4"/>
  <c r="E75" i="4" s="1"/>
  <c r="D49" i="4"/>
  <c r="V48" i="4"/>
  <c r="U48" i="4"/>
  <c r="T48" i="4"/>
  <c r="P48" i="4"/>
  <c r="M48" i="4"/>
  <c r="M74" i="4" s="1"/>
  <c r="I48" i="4"/>
  <c r="F48" i="4"/>
  <c r="E48" i="4"/>
  <c r="D48" i="4"/>
  <c r="V47" i="4"/>
  <c r="U47" i="4"/>
  <c r="U73" i="4" s="1"/>
  <c r="T47" i="4"/>
  <c r="S47" i="4"/>
  <c r="S73" i="4" s="1"/>
  <c r="R47" i="4"/>
  <c r="Q47" i="4"/>
  <c r="P47" i="4"/>
  <c r="P45" i="4" s="1"/>
  <c r="O47" i="4"/>
  <c r="N47" i="4"/>
  <c r="N73" i="4" s="1"/>
  <c r="M47" i="4"/>
  <c r="L47" i="4"/>
  <c r="K47" i="4"/>
  <c r="J47" i="4"/>
  <c r="I47" i="4"/>
  <c r="H47" i="4"/>
  <c r="H73" i="4" s="1"/>
  <c r="G47" i="4"/>
  <c r="G73" i="4" s="1"/>
  <c r="F47" i="4"/>
  <c r="F73" i="4" s="1"/>
  <c r="E47" i="4"/>
  <c r="E73" i="4" s="1"/>
  <c r="D47" i="4"/>
  <c r="V46" i="4"/>
  <c r="V72" i="4" s="1"/>
  <c r="U46" i="4"/>
  <c r="U45" i="4" s="1"/>
  <c r="T46" i="4"/>
  <c r="T45" i="4" s="1"/>
  <c r="S46" i="4"/>
  <c r="S72" i="4" s="1"/>
  <c r="R46" i="4"/>
  <c r="Q46" i="4"/>
  <c r="Q72" i="4" s="1"/>
  <c r="P46" i="4"/>
  <c r="O46" i="4"/>
  <c r="O72" i="4" s="1"/>
  <c r="N46" i="4"/>
  <c r="N72" i="4" s="1"/>
  <c r="M46" i="4"/>
  <c r="L46" i="4"/>
  <c r="L45" i="4" s="1"/>
  <c r="K46" i="4"/>
  <c r="K72" i="4" s="1"/>
  <c r="J46" i="4"/>
  <c r="J45" i="4" s="1"/>
  <c r="I46" i="4"/>
  <c r="H46" i="4"/>
  <c r="H45" i="4" s="1"/>
  <c r="G46" i="4"/>
  <c r="G45" i="4" s="1"/>
  <c r="F46" i="4"/>
  <c r="F72" i="4" s="1"/>
  <c r="E46" i="4"/>
  <c r="E45" i="4" s="1"/>
  <c r="D46" i="4"/>
  <c r="D45" i="4" s="1"/>
  <c r="V45" i="4"/>
  <c r="V44" i="4" s="1"/>
  <c r="R45" i="4"/>
  <c r="O45" i="4"/>
  <c r="O44" i="4" s="1"/>
  <c r="N45" i="4"/>
  <c r="M45" i="4"/>
  <c r="M44" i="4" s="1"/>
  <c r="I45" i="4"/>
  <c r="F45" i="4"/>
  <c r="F71" i="4" s="1"/>
  <c r="I44" i="4"/>
  <c r="V43" i="4"/>
  <c r="U43" i="4"/>
  <c r="T43" i="4"/>
  <c r="T69" i="4" s="1"/>
  <c r="S43" i="4"/>
  <c r="S69" i="4" s="1"/>
  <c r="R43" i="4"/>
  <c r="R69" i="4" s="1"/>
  <c r="Q43" i="4"/>
  <c r="Q69" i="4" s="1"/>
  <c r="P43" i="4"/>
  <c r="O43" i="4"/>
  <c r="O69" i="4" s="1"/>
  <c r="N43" i="4"/>
  <c r="M43" i="4"/>
  <c r="L43" i="4"/>
  <c r="L69" i="4" s="1"/>
  <c r="K43" i="4"/>
  <c r="J43" i="4"/>
  <c r="J69" i="4" s="1"/>
  <c r="I43" i="4"/>
  <c r="H43" i="4"/>
  <c r="G43" i="4"/>
  <c r="F43" i="4"/>
  <c r="E43" i="4"/>
  <c r="D43" i="4"/>
  <c r="D69" i="4" s="1"/>
  <c r="V42" i="4"/>
  <c r="V68" i="4" s="1"/>
  <c r="U42" i="4"/>
  <c r="T42" i="4"/>
  <c r="T68" i="4" s="1"/>
  <c r="S42" i="4"/>
  <c r="R42" i="4"/>
  <c r="R68" i="4" s="1"/>
  <c r="Q42" i="4"/>
  <c r="P42" i="4"/>
  <c r="O42" i="4"/>
  <c r="O68" i="4" s="1"/>
  <c r="N42" i="4"/>
  <c r="N68" i="4" s="1"/>
  <c r="M42" i="4"/>
  <c r="L42" i="4"/>
  <c r="K42" i="4"/>
  <c r="K68" i="4" s="1"/>
  <c r="J42" i="4"/>
  <c r="I42" i="4"/>
  <c r="H42" i="4"/>
  <c r="H68" i="4" s="1"/>
  <c r="G42" i="4"/>
  <c r="G68" i="4" s="1"/>
  <c r="F42" i="4"/>
  <c r="F68" i="4" s="1"/>
  <c r="E42" i="4"/>
  <c r="E68" i="4" s="1"/>
  <c r="D42" i="4"/>
  <c r="D39" i="4" s="1"/>
  <c r="V41" i="4"/>
  <c r="U41" i="4"/>
  <c r="U67" i="4" s="1"/>
  <c r="T41" i="4"/>
  <c r="S41" i="4"/>
  <c r="R41" i="4"/>
  <c r="R39" i="4" s="1"/>
  <c r="Q41" i="4"/>
  <c r="P41" i="4"/>
  <c r="P67" i="4" s="1"/>
  <c r="O41" i="4"/>
  <c r="N41" i="4"/>
  <c r="M41" i="4"/>
  <c r="L41" i="4"/>
  <c r="K41" i="4"/>
  <c r="J41" i="4"/>
  <c r="J67" i="4" s="1"/>
  <c r="I41" i="4"/>
  <c r="I67" i="4" s="1"/>
  <c r="H41" i="4"/>
  <c r="G41" i="4"/>
  <c r="G67" i="4" s="1"/>
  <c r="F41" i="4"/>
  <c r="E41" i="4"/>
  <c r="E67" i="4" s="1"/>
  <c r="D41" i="4"/>
  <c r="V40" i="4"/>
  <c r="V39" i="4" s="1"/>
  <c r="U40" i="4"/>
  <c r="U66" i="4" s="1"/>
  <c r="T40" i="4"/>
  <c r="T66" i="4" s="1"/>
  <c r="S40" i="4"/>
  <c r="S66" i="4" s="1"/>
  <c r="R40" i="4"/>
  <c r="Q40" i="4"/>
  <c r="Q66" i="4" s="1"/>
  <c r="P40" i="4"/>
  <c r="O40" i="4"/>
  <c r="N40" i="4"/>
  <c r="N66" i="4" s="1"/>
  <c r="M40" i="4"/>
  <c r="M66" i="4" s="1"/>
  <c r="L40" i="4"/>
  <c r="L39" i="4" s="1"/>
  <c r="K40" i="4"/>
  <c r="K66" i="4" s="1"/>
  <c r="J40" i="4"/>
  <c r="J39" i="4" s="1"/>
  <c r="I40" i="4"/>
  <c r="I39" i="4" s="1"/>
  <c r="H40" i="4"/>
  <c r="H66" i="4" s="1"/>
  <c r="G40" i="4"/>
  <c r="G39" i="4" s="1"/>
  <c r="F40" i="4"/>
  <c r="F39" i="4" s="1"/>
  <c r="E40" i="4"/>
  <c r="E66" i="4" s="1"/>
  <c r="D40" i="4"/>
  <c r="P39" i="4"/>
  <c r="O39" i="4"/>
  <c r="K39" i="4"/>
  <c r="H39" i="4"/>
  <c r="H52" i="4" s="1"/>
  <c r="U26" i="4"/>
  <c r="E26" i="4"/>
  <c r="E54" i="4" s="1"/>
  <c r="V25" i="4"/>
  <c r="V126" i="4" s="1"/>
  <c r="U25" i="4"/>
  <c r="U178" i="4" s="1"/>
  <c r="T25" i="4"/>
  <c r="T178" i="4" s="1"/>
  <c r="S25" i="4"/>
  <c r="S178" i="4" s="1"/>
  <c r="R25" i="4"/>
  <c r="Q25" i="4"/>
  <c r="Q126" i="4" s="1"/>
  <c r="P25" i="4"/>
  <c r="O25" i="4"/>
  <c r="O77" i="4" s="1"/>
  <c r="N25" i="4"/>
  <c r="N178" i="4" s="1"/>
  <c r="M25" i="4"/>
  <c r="M126" i="4" s="1"/>
  <c r="L25" i="4"/>
  <c r="K25" i="4"/>
  <c r="K77" i="4" s="1"/>
  <c r="J25" i="4"/>
  <c r="J178" i="4" s="1"/>
  <c r="I25" i="4"/>
  <c r="H25" i="4"/>
  <c r="H126" i="4" s="1"/>
  <c r="G25" i="4"/>
  <c r="F25" i="4"/>
  <c r="F126" i="4" s="1"/>
  <c r="E25" i="4"/>
  <c r="E178" i="4" s="1"/>
  <c r="D25" i="4"/>
  <c r="D178" i="4" s="1"/>
  <c r="V24" i="4"/>
  <c r="V177" i="4" s="1"/>
  <c r="U24" i="4"/>
  <c r="T24" i="4"/>
  <c r="T125" i="4" s="1"/>
  <c r="S24" i="4"/>
  <c r="R24" i="4"/>
  <c r="Q24" i="4"/>
  <c r="Q177" i="4" s="1"/>
  <c r="P24" i="4"/>
  <c r="P125" i="4" s="1"/>
  <c r="O24" i="4"/>
  <c r="N24" i="4"/>
  <c r="M24" i="4"/>
  <c r="M177" i="4" s="1"/>
  <c r="L24" i="4"/>
  <c r="K24" i="4"/>
  <c r="K125" i="4" s="1"/>
  <c r="J24" i="4"/>
  <c r="J125" i="4" s="1"/>
  <c r="I24" i="4"/>
  <c r="I177" i="4" s="1"/>
  <c r="H24" i="4"/>
  <c r="H177" i="4" s="1"/>
  <c r="G24" i="4"/>
  <c r="G177" i="4" s="1"/>
  <c r="F24" i="4"/>
  <c r="F177" i="4" s="1"/>
  <c r="E24" i="4"/>
  <c r="D24" i="4"/>
  <c r="D125" i="4" s="1"/>
  <c r="V23" i="4"/>
  <c r="U23" i="4"/>
  <c r="U22" i="4" s="1"/>
  <c r="T23" i="4"/>
  <c r="T176" i="4" s="1"/>
  <c r="S23" i="4"/>
  <c r="S124" i="4" s="1"/>
  <c r="R23" i="4"/>
  <c r="Q23" i="4"/>
  <c r="P23" i="4"/>
  <c r="P176" i="4" s="1"/>
  <c r="O23" i="4"/>
  <c r="O22" i="4" s="1"/>
  <c r="N23" i="4"/>
  <c r="N22" i="4" s="1"/>
  <c r="M23" i="4"/>
  <c r="L23" i="4"/>
  <c r="L124" i="4" s="1"/>
  <c r="K23" i="4"/>
  <c r="K176" i="4" s="1"/>
  <c r="J23" i="4"/>
  <c r="J176" i="4" s="1"/>
  <c r="I23" i="4"/>
  <c r="I176" i="4" s="1"/>
  <c r="H23" i="4"/>
  <c r="H22" i="4" s="1"/>
  <c r="G23" i="4"/>
  <c r="G124" i="4" s="1"/>
  <c r="F23" i="4"/>
  <c r="E23" i="4"/>
  <c r="E22" i="4" s="1"/>
  <c r="D23" i="4"/>
  <c r="D176" i="4" s="1"/>
  <c r="S22" i="4"/>
  <c r="R22" i="4"/>
  <c r="Q22" i="4"/>
  <c r="M22" i="4"/>
  <c r="J22" i="4"/>
  <c r="V21" i="4"/>
  <c r="V174" i="4" s="1"/>
  <c r="U21" i="4"/>
  <c r="T21" i="4"/>
  <c r="T122" i="4" s="1"/>
  <c r="S21" i="4"/>
  <c r="R21" i="4"/>
  <c r="R122" i="4" s="1"/>
  <c r="Q21" i="4"/>
  <c r="Q174" i="4" s="1"/>
  <c r="P21" i="4"/>
  <c r="P174" i="4" s="1"/>
  <c r="O21" i="4"/>
  <c r="O174" i="4" s="1"/>
  <c r="N21" i="4"/>
  <c r="M21" i="4"/>
  <c r="M122" i="4" s="1"/>
  <c r="L21" i="4"/>
  <c r="K21" i="4"/>
  <c r="J21" i="4"/>
  <c r="J174" i="4" s="1"/>
  <c r="I21" i="4"/>
  <c r="I122" i="4" s="1"/>
  <c r="H21" i="4"/>
  <c r="G21" i="4"/>
  <c r="F21" i="4"/>
  <c r="F174" i="4" s="1"/>
  <c r="E21" i="4"/>
  <c r="D21" i="4"/>
  <c r="D122" i="4" s="1"/>
  <c r="V20" i="4"/>
  <c r="V121" i="4" s="1"/>
  <c r="U20" i="4"/>
  <c r="U19" i="4" s="1"/>
  <c r="U18" i="4" s="1"/>
  <c r="U27" i="4" s="1"/>
  <c r="T20" i="4"/>
  <c r="T173" i="4" s="1"/>
  <c r="S20" i="4"/>
  <c r="S173" i="4" s="1"/>
  <c r="R20" i="4"/>
  <c r="R173" i="4" s="1"/>
  <c r="Q20" i="4"/>
  <c r="Q19" i="4" s="1"/>
  <c r="Q18" i="4" s="1"/>
  <c r="P20" i="4"/>
  <c r="P19" i="4" s="1"/>
  <c r="O20" i="4"/>
  <c r="N20" i="4"/>
  <c r="N19" i="4" s="1"/>
  <c r="N18" i="4" s="1"/>
  <c r="M20" i="4"/>
  <c r="M173" i="4" s="1"/>
  <c r="L20" i="4"/>
  <c r="K20" i="4"/>
  <c r="J20" i="4"/>
  <c r="I20" i="4"/>
  <c r="I173" i="4" s="1"/>
  <c r="H20" i="4"/>
  <c r="H19" i="4" s="1"/>
  <c r="H18" i="4" s="1"/>
  <c r="G20" i="4"/>
  <c r="G19" i="4" s="1"/>
  <c r="F20" i="4"/>
  <c r="E20" i="4"/>
  <c r="E121" i="4" s="1"/>
  <c r="D20" i="4"/>
  <c r="D173" i="4" s="1"/>
  <c r="V19" i="4"/>
  <c r="S19" i="4"/>
  <c r="S18" i="4" s="1"/>
  <c r="L19" i="4"/>
  <c r="K19" i="4"/>
  <c r="J19" i="4"/>
  <c r="J18" i="4" s="1"/>
  <c r="F19" i="4"/>
  <c r="V17" i="4"/>
  <c r="V170" i="4" s="1"/>
  <c r="U17" i="4"/>
  <c r="U118" i="4" s="1"/>
  <c r="T17" i="4"/>
  <c r="S17" i="4"/>
  <c r="R17" i="4"/>
  <c r="R170" i="4" s="1"/>
  <c r="Q17" i="4"/>
  <c r="P17" i="4"/>
  <c r="P118" i="4" s="1"/>
  <c r="O17" i="4"/>
  <c r="O118" i="4" s="1"/>
  <c r="N17" i="4"/>
  <c r="N118" i="4" s="1"/>
  <c r="M17" i="4"/>
  <c r="M170" i="4" s="1"/>
  <c r="L17" i="4"/>
  <c r="L170" i="4" s="1"/>
  <c r="K17" i="4"/>
  <c r="K170" i="4" s="1"/>
  <c r="J17" i="4"/>
  <c r="I17" i="4"/>
  <c r="H17" i="4"/>
  <c r="G17" i="4"/>
  <c r="F17" i="4"/>
  <c r="F170" i="4" s="1"/>
  <c r="E17" i="4"/>
  <c r="D17" i="4"/>
  <c r="V16" i="4"/>
  <c r="U16" i="4"/>
  <c r="U169" i="4" s="1"/>
  <c r="T16" i="4"/>
  <c r="S16" i="4"/>
  <c r="S117" i="4" s="1"/>
  <c r="R16" i="4"/>
  <c r="R117" i="4" s="1"/>
  <c r="Q16" i="4"/>
  <c r="Q117" i="4" s="1"/>
  <c r="P16" i="4"/>
  <c r="P169" i="4" s="1"/>
  <c r="O16" i="4"/>
  <c r="O169" i="4" s="1"/>
  <c r="N16" i="4"/>
  <c r="N169" i="4" s="1"/>
  <c r="M16" i="4"/>
  <c r="L16" i="4"/>
  <c r="L117" i="4" s="1"/>
  <c r="K16" i="4"/>
  <c r="J16" i="4"/>
  <c r="J68" i="4" s="1"/>
  <c r="I16" i="4"/>
  <c r="I169" i="4" s="1"/>
  <c r="H16" i="4"/>
  <c r="H117" i="4" s="1"/>
  <c r="G16" i="4"/>
  <c r="F16" i="4"/>
  <c r="E16" i="4"/>
  <c r="E169" i="4" s="1"/>
  <c r="D16" i="4"/>
  <c r="V15" i="4"/>
  <c r="V116" i="4" s="1"/>
  <c r="U15" i="4"/>
  <c r="T15" i="4"/>
  <c r="T116" i="4" s="1"/>
  <c r="S15" i="4"/>
  <c r="S168" i="4" s="1"/>
  <c r="R15" i="4"/>
  <c r="R168" i="4" s="1"/>
  <c r="Q15" i="4"/>
  <c r="Q168" i="4" s="1"/>
  <c r="P15" i="4"/>
  <c r="O15" i="4"/>
  <c r="O13" i="4" s="1"/>
  <c r="O26" i="4" s="1"/>
  <c r="N15" i="4"/>
  <c r="M15" i="4"/>
  <c r="L15" i="4"/>
  <c r="L168" i="4" s="1"/>
  <c r="K15" i="4"/>
  <c r="K116" i="4" s="1"/>
  <c r="J15" i="4"/>
  <c r="I15" i="4"/>
  <c r="H15" i="4"/>
  <c r="H168" i="4" s="1"/>
  <c r="G15" i="4"/>
  <c r="F15" i="4"/>
  <c r="F116" i="4" s="1"/>
  <c r="E15" i="4"/>
  <c r="E116" i="4" s="1"/>
  <c r="D15" i="4"/>
  <c r="D116" i="4" s="1"/>
  <c r="V14" i="4"/>
  <c r="V167" i="4" s="1"/>
  <c r="U14" i="4"/>
  <c r="U167" i="4" s="1"/>
  <c r="T14" i="4"/>
  <c r="T167" i="4" s="1"/>
  <c r="S14" i="4"/>
  <c r="S13" i="4" s="1"/>
  <c r="S26" i="4" s="1"/>
  <c r="R14" i="4"/>
  <c r="R13" i="4" s="1"/>
  <c r="R26" i="4" s="1"/>
  <c r="Q14" i="4"/>
  <c r="P14" i="4"/>
  <c r="P13" i="4" s="1"/>
  <c r="P26" i="4" s="1"/>
  <c r="O14" i="4"/>
  <c r="O167" i="4" s="1"/>
  <c r="N14" i="4"/>
  <c r="N115" i="4" s="1"/>
  <c r="M14" i="4"/>
  <c r="L14" i="4"/>
  <c r="K14" i="4"/>
  <c r="K167" i="4" s="1"/>
  <c r="J14" i="4"/>
  <c r="J13" i="4" s="1"/>
  <c r="J26" i="4" s="1"/>
  <c r="I14" i="4"/>
  <c r="I13" i="4" s="1"/>
  <c r="I26" i="4" s="1"/>
  <c r="H14" i="4"/>
  <c r="G14" i="4"/>
  <c r="G115" i="4" s="1"/>
  <c r="F14" i="4"/>
  <c r="F167" i="4" s="1"/>
  <c r="E14" i="4"/>
  <c r="E167" i="4" s="1"/>
  <c r="D14" i="4"/>
  <c r="D167" i="4" s="1"/>
  <c r="U13" i="4"/>
  <c r="M13" i="4"/>
  <c r="M26" i="4" s="1"/>
  <c r="L13" i="4"/>
  <c r="L26" i="4" s="1"/>
  <c r="H13" i="4"/>
  <c r="H26" i="4" s="1"/>
  <c r="E13" i="4"/>
  <c r="B53" i="3"/>
  <c r="AC51" i="3"/>
  <c r="T51" i="3"/>
  <c r="S51" i="3"/>
  <c r="Q51" i="3"/>
  <c r="P51" i="3"/>
  <c r="M51" i="3"/>
  <c r="D51" i="3"/>
  <c r="AD50" i="3"/>
  <c r="AD51" i="3" s="1"/>
  <c r="AC50" i="3"/>
  <c r="AB50" i="3"/>
  <c r="AB51" i="3" s="1"/>
  <c r="AA50" i="3"/>
  <c r="Z50" i="3"/>
  <c r="Z17" i="3" s="1"/>
  <c r="Y50" i="3"/>
  <c r="X50" i="3"/>
  <c r="W50" i="3"/>
  <c r="V50" i="3"/>
  <c r="U50" i="3"/>
  <c r="T50" i="3"/>
  <c r="S50" i="3"/>
  <c r="R50" i="3"/>
  <c r="Q50" i="3"/>
  <c r="P50" i="3"/>
  <c r="P17" i="3" s="1"/>
  <c r="O50" i="3"/>
  <c r="O51" i="3" s="1"/>
  <c r="N50" i="3"/>
  <c r="N51" i="3" s="1"/>
  <c r="M50" i="3"/>
  <c r="L50" i="3"/>
  <c r="L51" i="3" s="1"/>
  <c r="K50" i="3"/>
  <c r="J50" i="3"/>
  <c r="J17" i="3" s="1"/>
  <c r="I50" i="3"/>
  <c r="H50" i="3"/>
  <c r="G50" i="3"/>
  <c r="F50" i="3"/>
  <c r="E50" i="3"/>
  <c r="D50" i="3"/>
  <c r="AD49" i="3"/>
  <c r="AC49" i="3"/>
  <c r="AB49" i="3"/>
  <c r="AA49" i="3"/>
  <c r="AA16" i="3" s="1"/>
  <c r="Z49" i="3"/>
  <c r="Z47" i="3" s="1"/>
  <c r="Z52" i="3" s="1"/>
  <c r="Y49" i="3"/>
  <c r="Y47" i="3" s="1"/>
  <c r="X49" i="3"/>
  <c r="W49" i="3"/>
  <c r="W47" i="3" s="1"/>
  <c r="V49" i="3"/>
  <c r="U49" i="3"/>
  <c r="U16" i="3" s="1"/>
  <c r="U14" i="3" s="1"/>
  <c r="T49" i="3"/>
  <c r="S49" i="3"/>
  <c r="R49" i="3"/>
  <c r="Q49" i="3"/>
  <c r="P49" i="3"/>
  <c r="O49" i="3"/>
  <c r="N49" i="3"/>
  <c r="M49" i="3"/>
  <c r="L49" i="3"/>
  <c r="K49" i="3"/>
  <c r="K16" i="3" s="1"/>
  <c r="J49" i="3"/>
  <c r="J47" i="3" s="1"/>
  <c r="J52" i="3" s="1"/>
  <c r="I49" i="3"/>
  <c r="I16" i="3" s="1"/>
  <c r="I14" i="3" s="1"/>
  <c r="H49" i="3"/>
  <c r="G49" i="3"/>
  <c r="G47" i="3" s="1"/>
  <c r="F49" i="3"/>
  <c r="E49" i="3"/>
  <c r="E16" i="3" s="1"/>
  <c r="E14" i="3" s="1"/>
  <c r="D49" i="3"/>
  <c r="AD48" i="3"/>
  <c r="AC48" i="3"/>
  <c r="AC47" i="3" s="1"/>
  <c r="AC52" i="3" s="1"/>
  <c r="AB48" i="3"/>
  <c r="AA48" i="3"/>
  <c r="Z48" i="3"/>
  <c r="Y48" i="3"/>
  <c r="X48" i="3"/>
  <c r="V48" i="3"/>
  <c r="V47" i="3" s="1"/>
  <c r="V52" i="3" s="1"/>
  <c r="U48" i="3"/>
  <c r="U47" i="3" s="1"/>
  <c r="U52" i="3" s="1"/>
  <c r="T48" i="3"/>
  <c r="T47" i="3" s="1"/>
  <c r="T52" i="3" s="1"/>
  <c r="S48" i="3"/>
  <c r="S47" i="3" s="1"/>
  <c r="S52" i="3" s="1"/>
  <c r="R48" i="3"/>
  <c r="R47" i="3" s="1"/>
  <c r="Q48" i="3"/>
  <c r="Q47" i="3" s="1"/>
  <c r="Q52" i="3" s="1"/>
  <c r="P48" i="3"/>
  <c r="P15" i="3" s="1"/>
  <c r="P14" i="3" s="1"/>
  <c r="O48" i="3"/>
  <c r="N48" i="3"/>
  <c r="M48" i="3"/>
  <c r="M47" i="3" s="1"/>
  <c r="M52" i="3" s="1"/>
  <c r="L48" i="3"/>
  <c r="K48" i="3"/>
  <c r="J48" i="3"/>
  <c r="I48" i="3"/>
  <c r="I47" i="3" s="1"/>
  <c r="H48" i="3"/>
  <c r="G48" i="3"/>
  <c r="F48" i="3"/>
  <c r="F47" i="3" s="1"/>
  <c r="F52" i="3" s="1"/>
  <c r="E48" i="3"/>
  <c r="E47" i="3" s="1"/>
  <c r="E52" i="3" s="1"/>
  <c r="D48" i="3"/>
  <c r="D15" i="3" s="1"/>
  <c r="D14" i="3" s="1"/>
  <c r="AD47" i="3"/>
  <c r="AD52" i="3" s="1"/>
  <c r="AB47" i="3"/>
  <c r="AB52" i="3" s="1"/>
  <c r="AA47" i="3"/>
  <c r="X47" i="3"/>
  <c r="O47" i="3"/>
  <c r="O52" i="3" s="1"/>
  <c r="N47" i="3"/>
  <c r="N52" i="3" s="1"/>
  <c r="L47" i="3"/>
  <c r="L52" i="3" s="1"/>
  <c r="K47" i="3"/>
  <c r="K52" i="3" s="1"/>
  <c r="H47" i="3"/>
  <c r="AD46" i="3"/>
  <c r="AC46" i="3"/>
  <c r="AB46" i="3"/>
  <c r="AB13" i="3" s="1"/>
  <c r="AA46" i="3"/>
  <c r="AA51" i="3" s="1"/>
  <c r="Z46" i="3"/>
  <c r="Z51" i="3" s="1"/>
  <c r="Y46" i="3"/>
  <c r="Y51" i="3" s="1"/>
  <c r="X46" i="3"/>
  <c r="X51" i="3" s="1"/>
  <c r="X52" i="3" s="1"/>
  <c r="W46" i="3"/>
  <c r="W51" i="3" s="1"/>
  <c r="V46" i="3"/>
  <c r="V51" i="3" s="1"/>
  <c r="U46" i="3"/>
  <c r="U51" i="3" s="1"/>
  <c r="T46" i="3"/>
  <c r="S46" i="3"/>
  <c r="R46" i="3"/>
  <c r="R51" i="3" s="1"/>
  <c r="Q46" i="3"/>
  <c r="P46" i="3"/>
  <c r="O46" i="3"/>
  <c r="N46" i="3"/>
  <c r="M46" i="3"/>
  <c r="L46" i="3"/>
  <c r="L13" i="3" s="1"/>
  <c r="K46" i="3"/>
  <c r="K51" i="3" s="1"/>
  <c r="J46" i="3"/>
  <c r="J51" i="3" s="1"/>
  <c r="I46" i="3"/>
  <c r="I51" i="3" s="1"/>
  <c r="H46" i="3"/>
  <c r="H51" i="3" s="1"/>
  <c r="H52" i="3" s="1"/>
  <c r="G46" i="3"/>
  <c r="G51" i="3" s="1"/>
  <c r="F46" i="3"/>
  <c r="F51" i="3" s="1"/>
  <c r="E46" i="3"/>
  <c r="E51" i="3" s="1"/>
  <c r="D46" i="3"/>
  <c r="B34" i="3"/>
  <c r="AD32" i="3"/>
  <c r="AC32" i="3"/>
  <c r="Z32" i="3"/>
  <c r="V32" i="3"/>
  <c r="Q32" i="3"/>
  <c r="P32" i="3"/>
  <c r="O32" i="3"/>
  <c r="N32" i="3"/>
  <c r="M32" i="3"/>
  <c r="J32" i="3"/>
  <c r="F32" i="3"/>
  <c r="AD31" i="3"/>
  <c r="AC31" i="3"/>
  <c r="AC17" i="3" s="1"/>
  <c r="AC18" i="3" s="1"/>
  <c r="AB31" i="3"/>
  <c r="AB32" i="3" s="1"/>
  <c r="AA31" i="3"/>
  <c r="AA32" i="3" s="1"/>
  <c r="Z31" i="3"/>
  <c r="Y31" i="3"/>
  <c r="Y32" i="3" s="1"/>
  <c r="X31" i="3"/>
  <c r="W31" i="3"/>
  <c r="W17" i="3" s="1"/>
  <c r="V31" i="3"/>
  <c r="U31" i="3"/>
  <c r="T31" i="3"/>
  <c r="T17" i="3" s="1"/>
  <c r="S31" i="3"/>
  <c r="R31" i="3"/>
  <c r="Q31" i="3"/>
  <c r="P31" i="3"/>
  <c r="O31" i="3"/>
  <c r="N31" i="3"/>
  <c r="M31" i="3"/>
  <c r="M17" i="3" s="1"/>
  <c r="M18" i="3" s="1"/>
  <c r="L31" i="3"/>
  <c r="L32" i="3" s="1"/>
  <c r="K31" i="3"/>
  <c r="K32" i="3" s="1"/>
  <c r="J31" i="3"/>
  <c r="I31" i="3"/>
  <c r="I32" i="3" s="1"/>
  <c r="H31" i="3"/>
  <c r="G31" i="3"/>
  <c r="G17" i="3" s="1"/>
  <c r="F31" i="3"/>
  <c r="E31" i="3"/>
  <c r="D31" i="3"/>
  <c r="D17" i="3" s="1"/>
  <c r="AD30" i="3"/>
  <c r="AC30" i="3"/>
  <c r="AB30" i="3"/>
  <c r="AA30" i="3"/>
  <c r="Z30" i="3"/>
  <c r="Y30" i="3"/>
  <c r="X30" i="3"/>
  <c r="X16" i="3" s="1"/>
  <c r="W30" i="3"/>
  <c r="W16" i="3" s="1"/>
  <c r="W14" i="3" s="1"/>
  <c r="V30" i="3"/>
  <c r="V28" i="3" s="1"/>
  <c r="V33" i="3" s="1"/>
  <c r="U30" i="3"/>
  <c r="T30" i="3"/>
  <c r="T16" i="3" s="1"/>
  <c r="S30" i="3"/>
  <c r="R30" i="3"/>
  <c r="R16" i="3" s="1"/>
  <c r="Q30" i="3"/>
  <c r="P30" i="3"/>
  <c r="O30" i="3"/>
  <c r="O16" i="3" s="1"/>
  <c r="N30" i="3"/>
  <c r="M30" i="3"/>
  <c r="L30" i="3"/>
  <c r="K30" i="3"/>
  <c r="J30" i="3"/>
  <c r="I30" i="3"/>
  <c r="H30" i="3"/>
  <c r="H16" i="3" s="1"/>
  <c r="G30" i="3"/>
  <c r="G16" i="3" s="1"/>
  <c r="G14" i="3" s="1"/>
  <c r="F30" i="3"/>
  <c r="F28" i="3" s="1"/>
  <c r="F33" i="3" s="1"/>
  <c r="E30" i="3"/>
  <c r="D30" i="3"/>
  <c r="AD29" i="3"/>
  <c r="AD28" i="3" s="1"/>
  <c r="AD33" i="3" s="1"/>
  <c r="AC29" i="3"/>
  <c r="AC15" i="3" s="1"/>
  <c r="AC14" i="3" s="1"/>
  <c r="AC19" i="3" s="1"/>
  <c r="AB29" i="3"/>
  <c r="AA29" i="3"/>
  <c r="AA28" i="3" s="1"/>
  <c r="AA33" i="3" s="1"/>
  <c r="Z29" i="3"/>
  <c r="Z15" i="3" s="1"/>
  <c r="Y29" i="3"/>
  <c r="X29" i="3"/>
  <c r="W29" i="3"/>
  <c r="W28" i="3" s="1"/>
  <c r="V29" i="3"/>
  <c r="U29" i="3"/>
  <c r="T29" i="3"/>
  <c r="T28" i="3" s="1"/>
  <c r="S29" i="3"/>
  <c r="S28" i="3" s="1"/>
  <c r="S33" i="3" s="1"/>
  <c r="R29" i="3"/>
  <c r="R28" i="3" s="1"/>
  <c r="Q29" i="3"/>
  <c r="Q28" i="3" s="1"/>
  <c r="Q33" i="3" s="1"/>
  <c r="P29" i="3"/>
  <c r="P28" i="3" s="1"/>
  <c r="P33" i="3" s="1"/>
  <c r="O29" i="3"/>
  <c r="O15" i="3" s="1"/>
  <c r="O14" i="3" s="1"/>
  <c r="N29" i="3"/>
  <c r="N28" i="3" s="1"/>
  <c r="N33" i="3" s="1"/>
  <c r="M29" i="3"/>
  <c r="M15" i="3" s="1"/>
  <c r="M14" i="3" s="1"/>
  <c r="M19" i="3" s="1"/>
  <c r="L29" i="3"/>
  <c r="K29" i="3"/>
  <c r="K28" i="3" s="1"/>
  <c r="K33" i="3" s="1"/>
  <c r="J29" i="3"/>
  <c r="J15" i="3" s="1"/>
  <c r="I29" i="3"/>
  <c r="H29" i="3"/>
  <c r="G29" i="3"/>
  <c r="G28" i="3" s="1"/>
  <c r="F29" i="3"/>
  <c r="E29" i="3"/>
  <c r="D29" i="3"/>
  <c r="D28" i="3" s="1"/>
  <c r="AC28" i="3"/>
  <c r="AC33" i="3" s="1"/>
  <c r="AB28" i="3"/>
  <c r="AB33" i="3" s="1"/>
  <c r="Z28" i="3"/>
  <c r="Z33" i="3" s="1"/>
  <c r="Y28" i="3"/>
  <c r="Y33" i="3" s="1"/>
  <c r="X28" i="3"/>
  <c r="X33" i="3" s="1"/>
  <c r="U28" i="3"/>
  <c r="M28" i="3"/>
  <c r="M33" i="3" s="1"/>
  <c r="L28" i="3"/>
  <c r="J28" i="3"/>
  <c r="J33" i="3" s="1"/>
  <c r="I28" i="3"/>
  <c r="H28" i="3"/>
  <c r="E28" i="3"/>
  <c r="AD27" i="3"/>
  <c r="AC27" i="3"/>
  <c r="AB27" i="3"/>
  <c r="AA27" i="3"/>
  <c r="Z27" i="3"/>
  <c r="Y27" i="3"/>
  <c r="Y13" i="3" s="1"/>
  <c r="Y18" i="3" s="1"/>
  <c r="X27" i="3"/>
  <c r="X32" i="3" s="1"/>
  <c r="W27" i="3"/>
  <c r="W32" i="3" s="1"/>
  <c r="V27" i="3"/>
  <c r="U27" i="3"/>
  <c r="U13" i="3" s="1"/>
  <c r="U18" i="3" s="1"/>
  <c r="T27" i="3"/>
  <c r="T32" i="3" s="1"/>
  <c r="S27" i="3"/>
  <c r="S32" i="3" s="1"/>
  <c r="R27" i="3"/>
  <c r="R32" i="3" s="1"/>
  <c r="Q27" i="3"/>
  <c r="P27" i="3"/>
  <c r="P13" i="3" s="1"/>
  <c r="O27" i="3"/>
  <c r="N27" i="3"/>
  <c r="M27" i="3"/>
  <c r="L27" i="3"/>
  <c r="K27" i="3"/>
  <c r="J27" i="3"/>
  <c r="I27" i="3"/>
  <c r="I13" i="3" s="1"/>
  <c r="I18" i="3" s="1"/>
  <c r="H27" i="3"/>
  <c r="H32" i="3" s="1"/>
  <c r="G27" i="3"/>
  <c r="G32" i="3" s="1"/>
  <c r="F27" i="3"/>
  <c r="E27" i="3"/>
  <c r="E13" i="3" s="1"/>
  <c r="E18" i="3" s="1"/>
  <c r="D27" i="3"/>
  <c r="D32" i="3" s="1"/>
  <c r="AD18" i="3"/>
  <c r="AD17" i="3"/>
  <c r="Y17" i="3"/>
  <c r="X17" i="3"/>
  <c r="V17" i="3"/>
  <c r="U17" i="3"/>
  <c r="S17" i="3"/>
  <c r="R17" i="3"/>
  <c r="Q17" i="3"/>
  <c r="I17" i="3"/>
  <c r="H17" i="3"/>
  <c r="F17" i="3"/>
  <c r="E17" i="3"/>
  <c r="AD16" i="3"/>
  <c r="AC16" i="3"/>
  <c r="AB16" i="3"/>
  <c r="S16" i="3"/>
  <c r="Q16" i="3"/>
  <c r="P16" i="3"/>
  <c r="N16" i="3"/>
  <c r="M16" i="3"/>
  <c r="L16" i="3"/>
  <c r="D16" i="3"/>
  <c r="AD15" i="3"/>
  <c r="AD14" i="3" s="1"/>
  <c r="AD19" i="3" s="1"/>
  <c r="AB15" i="3"/>
  <c r="AB14" i="3" s="1"/>
  <c r="AA15" i="3"/>
  <c r="AA14" i="3" s="1"/>
  <c r="Y15" i="3"/>
  <c r="X15" i="3"/>
  <c r="X14" i="3" s="1"/>
  <c r="W15" i="3"/>
  <c r="U15" i="3"/>
  <c r="N15" i="3"/>
  <c r="N14" i="3" s="1"/>
  <c r="L15" i="3"/>
  <c r="L14" i="3" s="1"/>
  <c r="K15" i="3"/>
  <c r="I15" i="3"/>
  <c r="H15" i="3"/>
  <c r="G15" i="3"/>
  <c r="E15" i="3"/>
  <c r="AD13" i="3"/>
  <c r="AC13" i="3"/>
  <c r="AA13" i="3"/>
  <c r="T13" i="3"/>
  <c r="T18" i="3" s="1"/>
  <c r="R13" i="3"/>
  <c r="R18" i="3" s="1"/>
  <c r="Q13" i="3"/>
  <c r="Q18" i="3" s="1"/>
  <c r="O13" i="3"/>
  <c r="N13" i="3"/>
  <c r="M13" i="3"/>
  <c r="K13" i="3"/>
  <c r="D13" i="3"/>
  <c r="D18" i="3" s="1"/>
  <c r="K14" i="3" l="1"/>
  <c r="L33" i="3"/>
  <c r="O53" i="4"/>
  <c r="O74" i="4"/>
  <c r="H153" i="4"/>
  <c r="H102" i="4"/>
  <c r="H54" i="4"/>
  <c r="H78" i="4"/>
  <c r="P102" i="4"/>
  <c r="P153" i="4"/>
  <c r="P54" i="4"/>
  <c r="N71" i="4"/>
  <c r="T74" i="4"/>
  <c r="G100" i="4"/>
  <c r="L153" i="4"/>
  <c r="L102" i="4"/>
  <c r="L54" i="4"/>
  <c r="J27" i="4"/>
  <c r="R65" i="4"/>
  <c r="R52" i="4"/>
  <c r="U74" i="4"/>
  <c r="T151" i="4"/>
  <c r="E19" i="3"/>
  <c r="U19" i="3"/>
  <c r="M153" i="4"/>
  <c r="M102" i="4"/>
  <c r="M54" i="4"/>
  <c r="R54" i="4"/>
  <c r="R153" i="4"/>
  <c r="R102" i="4"/>
  <c r="O102" i="4"/>
  <c r="O54" i="4"/>
  <c r="O153" i="4"/>
  <c r="F52" i="4"/>
  <c r="V52" i="4"/>
  <c r="V53" i="4"/>
  <c r="H119" i="4"/>
  <c r="U120" i="4"/>
  <c r="U92" i="4"/>
  <c r="U119" i="4" s="1"/>
  <c r="S153" i="4"/>
  <c r="S102" i="4"/>
  <c r="S54" i="4"/>
  <c r="G52" i="4"/>
  <c r="P71" i="4"/>
  <c r="P44" i="4"/>
  <c r="R33" i="3"/>
  <c r="AA52" i="3"/>
  <c r="G52" i="3"/>
  <c r="W52" i="3"/>
  <c r="S27" i="4"/>
  <c r="D44" i="4"/>
  <c r="T44" i="4"/>
  <c r="V127" i="4"/>
  <c r="J151" i="4"/>
  <c r="J166" i="4"/>
  <c r="R52" i="3"/>
  <c r="I65" i="4"/>
  <c r="I53" i="4"/>
  <c r="I52" i="4"/>
  <c r="E44" i="4"/>
  <c r="U44" i="4"/>
  <c r="U70" i="4" s="1"/>
  <c r="U71" i="4"/>
  <c r="H123" i="4"/>
  <c r="D33" i="3"/>
  <c r="T33" i="3"/>
  <c r="I19" i="3"/>
  <c r="Y52" i="3"/>
  <c r="J65" i="4"/>
  <c r="J52" i="4"/>
  <c r="D52" i="4"/>
  <c r="G71" i="4"/>
  <c r="H74" i="4"/>
  <c r="N100" i="4"/>
  <c r="N114" i="4"/>
  <c r="L65" i="4"/>
  <c r="L52" i="4"/>
  <c r="H71" i="4"/>
  <c r="H44" i="4"/>
  <c r="H70" i="4" s="1"/>
  <c r="G33" i="3"/>
  <c r="I153" i="4"/>
  <c r="I54" i="4"/>
  <c r="I102" i="4"/>
  <c r="U123" i="4"/>
  <c r="P53" i="4"/>
  <c r="W33" i="3"/>
  <c r="J153" i="4"/>
  <c r="J54" i="4"/>
  <c r="J102" i="4"/>
  <c r="H27" i="4"/>
  <c r="J71" i="4"/>
  <c r="J44" i="4"/>
  <c r="J70" i="4" s="1"/>
  <c r="D100" i="4"/>
  <c r="T100" i="4"/>
  <c r="T101" i="4"/>
  <c r="P18" i="3"/>
  <c r="P19" i="3" s="1"/>
  <c r="H33" i="3"/>
  <c r="E74" i="4"/>
  <c r="Q120" i="4"/>
  <c r="D19" i="3"/>
  <c r="H14" i="3"/>
  <c r="I33" i="3"/>
  <c r="I52" i="3"/>
  <c r="L44" i="4"/>
  <c r="L71" i="4"/>
  <c r="L66" i="4"/>
  <c r="Q172" i="4"/>
  <c r="M39" i="4"/>
  <c r="N44" i="4"/>
  <c r="N70" i="4" s="1"/>
  <c r="J66" i="4"/>
  <c r="G121" i="4"/>
  <c r="G138" i="4"/>
  <c r="K172" i="4"/>
  <c r="F178" i="4"/>
  <c r="I28" i="5"/>
  <c r="I27" i="5"/>
  <c r="F28" i="5"/>
  <c r="V28" i="5"/>
  <c r="N45" i="5"/>
  <c r="N71" i="5" s="1"/>
  <c r="N72" i="5"/>
  <c r="U45" i="5"/>
  <c r="U75" i="5"/>
  <c r="S152" i="5"/>
  <c r="S167" i="5"/>
  <c r="S153" i="5"/>
  <c r="S173" i="5"/>
  <c r="S144" i="5"/>
  <c r="P144" i="5"/>
  <c r="F138" i="4"/>
  <c r="F168" i="4"/>
  <c r="K45" i="4"/>
  <c r="R48" i="4"/>
  <c r="S13" i="3"/>
  <c r="S18" i="3" s="1"/>
  <c r="K13" i="4"/>
  <c r="K26" i="4" s="1"/>
  <c r="I19" i="4"/>
  <c r="P22" i="4"/>
  <c r="P18" i="4" s="1"/>
  <c r="P27" i="4" s="1"/>
  <c r="N39" i="4"/>
  <c r="V71" i="4"/>
  <c r="I115" i="4"/>
  <c r="H121" i="4"/>
  <c r="N124" i="4"/>
  <c r="H138" i="4"/>
  <c r="H167" i="4"/>
  <c r="E138" i="4"/>
  <c r="E168" i="4"/>
  <c r="U138" i="4"/>
  <c r="U168" i="4"/>
  <c r="R169" i="4"/>
  <c r="O170" i="4"/>
  <c r="E176" i="4"/>
  <c r="U176" i="4"/>
  <c r="R177" i="4"/>
  <c r="O178" i="4"/>
  <c r="J27" i="5"/>
  <c r="J115" i="5"/>
  <c r="D14" i="5"/>
  <c r="D118" i="5"/>
  <c r="Q154" i="5"/>
  <c r="Q104" i="5"/>
  <c r="Q55" i="5"/>
  <c r="F20" i="5"/>
  <c r="F19" i="5" s="1"/>
  <c r="F73" i="5"/>
  <c r="V20" i="5"/>
  <c r="V19" i="5" s="1"/>
  <c r="V172" i="5" s="1"/>
  <c r="V73" i="5"/>
  <c r="S20" i="5"/>
  <c r="S74" i="5"/>
  <c r="N124" i="5"/>
  <c r="D27" i="6"/>
  <c r="P154" i="6"/>
  <c r="P104" i="6"/>
  <c r="P55" i="6"/>
  <c r="P47" i="3"/>
  <c r="P52" i="3" s="1"/>
  <c r="N13" i="4"/>
  <c r="N26" i="4" s="1"/>
  <c r="N27" i="4" s="1"/>
  <c r="Q39" i="4"/>
  <c r="E69" i="4"/>
  <c r="U69" i="4"/>
  <c r="L72" i="4"/>
  <c r="I73" i="4"/>
  <c r="V74" i="4"/>
  <c r="S75" i="4"/>
  <c r="P76" i="4"/>
  <c r="M77" i="4"/>
  <c r="D68" i="4"/>
  <c r="J72" i="4"/>
  <c r="I75" i="4"/>
  <c r="H87" i="4"/>
  <c r="L87" i="4"/>
  <c r="L115" i="4"/>
  <c r="I87" i="4"/>
  <c r="I116" i="4"/>
  <c r="F117" i="4"/>
  <c r="V117" i="4"/>
  <c r="S118" i="4"/>
  <c r="E93" i="4"/>
  <c r="I93" i="4"/>
  <c r="I121" i="4"/>
  <c r="F122" i="4"/>
  <c r="V122" i="4"/>
  <c r="H124" i="4"/>
  <c r="E125" i="4"/>
  <c r="U125" i="4"/>
  <c r="R126" i="4"/>
  <c r="E144" i="4"/>
  <c r="U172" i="4"/>
  <c r="H176" i="4"/>
  <c r="E177" i="4"/>
  <c r="U177" i="4"/>
  <c r="R178" i="4"/>
  <c r="E173" i="4"/>
  <c r="Q70" i="5"/>
  <c r="N94" i="5"/>
  <c r="N120" i="5" s="1"/>
  <c r="N121" i="5"/>
  <c r="K94" i="5"/>
  <c r="K120" i="5" s="1"/>
  <c r="K121" i="5"/>
  <c r="D167" i="5"/>
  <c r="N19" i="6"/>
  <c r="S85" i="9"/>
  <c r="J85" i="7"/>
  <c r="S85" i="7" s="1"/>
  <c r="F13" i="3"/>
  <c r="F18" i="3" s="1"/>
  <c r="F16" i="3"/>
  <c r="AA17" i="3"/>
  <c r="AA18" i="3" s="1"/>
  <c r="AA19" i="3" s="1"/>
  <c r="O28" i="3"/>
  <c r="O33" i="3" s="1"/>
  <c r="M19" i="4"/>
  <c r="M18" i="4" s="1"/>
  <c r="M27" i="4" s="1"/>
  <c r="D22" i="4"/>
  <c r="D74" i="4" s="1"/>
  <c r="T22" i="4"/>
  <c r="O66" i="4"/>
  <c r="L67" i="4"/>
  <c r="I68" i="4"/>
  <c r="F69" i="4"/>
  <c r="V69" i="4"/>
  <c r="M72" i="4"/>
  <c r="J73" i="4"/>
  <c r="G48" i="4"/>
  <c r="G74" i="4" s="1"/>
  <c r="D75" i="4"/>
  <c r="T75" i="4"/>
  <c r="Q76" i="4"/>
  <c r="N77" i="4"/>
  <c r="O52" i="4"/>
  <c r="H65" i="4"/>
  <c r="P66" i="4"/>
  <c r="K69" i="4"/>
  <c r="V73" i="4"/>
  <c r="J75" i="4"/>
  <c r="M87" i="4"/>
  <c r="F120" i="4"/>
  <c r="F92" i="4"/>
  <c r="F119" i="4" s="1"/>
  <c r="J93" i="4"/>
  <c r="J121" i="4"/>
  <c r="G93" i="4"/>
  <c r="G122" i="4"/>
  <c r="D123" i="4"/>
  <c r="I124" i="4"/>
  <c r="F125" i="4"/>
  <c r="V125" i="4"/>
  <c r="S126" i="4"/>
  <c r="H120" i="4"/>
  <c r="O121" i="4"/>
  <c r="D138" i="4"/>
  <c r="L167" i="4"/>
  <c r="I168" i="4"/>
  <c r="F169" i="4"/>
  <c r="V169" i="4"/>
  <c r="S170" i="4"/>
  <c r="F144" i="4"/>
  <c r="F173" i="4"/>
  <c r="V144" i="4"/>
  <c r="V173" i="4"/>
  <c r="S144" i="4"/>
  <c r="S174" i="4"/>
  <c r="M23" i="5"/>
  <c r="M76" i="5"/>
  <c r="J23" i="5"/>
  <c r="J77" i="5"/>
  <c r="S102" i="5"/>
  <c r="S103" i="5"/>
  <c r="S115" i="5"/>
  <c r="P103" i="5"/>
  <c r="P102" i="5"/>
  <c r="P115" i="5"/>
  <c r="O121" i="5"/>
  <c r="E45" i="6"/>
  <c r="E71" i="6" s="1"/>
  <c r="E72" i="6"/>
  <c r="V13" i="3"/>
  <c r="V18" i="3" s="1"/>
  <c r="W13" i="3"/>
  <c r="W18" i="3" s="1"/>
  <c r="W19" i="3" s="1"/>
  <c r="Q15" i="3"/>
  <c r="Q14" i="3" s="1"/>
  <c r="Q19" i="3" s="1"/>
  <c r="K17" i="3"/>
  <c r="K18" i="3" s="1"/>
  <c r="H13" i="3"/>
  <c r="H18" i="3" s="1"/>
  <c r="X13" i="3"/>
  <c r="X18" i="3" s="1"/>
  <c r="X19" i="3" s="1"/>
  <c r="R15" i="3"/>
  <c r="R14" i="3" s="1"/>
  <c r="R19" i="3" s="1"/>
  <c r="L17" i="3"/>
  <c r="L18" i="3" s="1"/>
  <c r="L19" i="3" s="1"/>
  <c r="AB17" i="3"/>
  <c r="AB18" i="3" s="1"/>
  <c r="AB19" i="3" s="1"/>
  <c r="S39" i="4"/>
  <c r="Q45" i="4"/>
  <c r="P52" i="4"/>
  <c r="O75" i="4"/>
  <c r="K93" i="4"/>
  <c r="E96" i="4"/>
  <c r="E123" i="4" s="1"/>
  <c r="J124" i="4"/>
  <c r="J96" i="4"/>
  <c r="J123" i="4" s="1"/>
  <c r="G125" i="4"/>
  <c r="G96" i="4"/>
  <c r="D126" i="4"/>
  <c r="T126" i="4"/>
  <c r="J114" i="4"/>
  <c r="P121" i="4"/>
  <c r="V124" i="4"/>
  <c r="M167" i="4"/>
  <c r="J168" i="4"/>
  <c r="G169" i="4"/>
  <c r="D170" i="4"/>
  <c r="T170" i="4"/>
  <c r="G172" i="4"/>
  <c r="G167" i="4"/>
  <c r="U173" i="4"/>
  <c r="F27" i="5"/>
  <c r="J40" i="5"/>
  <c r="P94" i="5"/>
  <c r="M94" i="5"/>
  <c r="L167" i="5"/>
  <c r="L152" i="5"/>
  <c r="R27" i="6"/>
  <c r="L102" i="6"/>
  <c r="I102" i="6"/>
  <c r="F53" i="7"/>
  <c r="O53" i="7" s="1"/>
  <c r="O53" i="8"/>
  <c r="F47" i="8"/>
  <c r="U153" i="4"/>
  <c r="U102" i="4"/>
  <c r="J103" i="4"/>
  <c r="S169" i="4"/>
  <c r="K87" i="4"/>
  <c r="K115" i="4"/>
  <c r="Q170" i="4"/>
  <c r="G13" i="3"/>
  <c r="G18" i="3" s="1"/>
  <c r="G19" i="3" s="1"/>
  <c r="V16" i="3"/>
  <c r="S15" i="3"/>
  <c r="S14" i="3" s="1"/>
  <c r="S19" i="3" s="1"/>
  <c r="E32" i="3"/>
  <c r="E33" i="3" s="1"/>
  <c r="U32" i="3"/>
  <c r="U33" i="3" s="1"/>
  <c r="Q13" i="4"/>
  <c r="Q26" i="4" s="1"/>
  <c r="Q27" i="4" s="1"/>
  <c r="O19" i="4"/>
  <c r="O18" i="4" s="1"/>
  <c r="O27" i="4" s="1"/>
  <c r="F22" i="4"/>
  <c r="F18" i="4" s="1"/>
  <c r="V22" i="4"/>
  <c r="V18" i="4" s="1"/>
  <c r="T39" i="4"/>
  <c r="O114" i="4"/>
  <c r="O115" i="4"/>
  <c r="L116" i="4"/>
  <c r="I117" i="4"/>
  <c r="F118" i="4"/>
  <c r="V118" i="4"/>
  <c r="L92" i="4"/>
  <c r="L120" i="4"/>
  <c r="K124" i="4"/>
  <c r="H125" i="4"/>
  <c r="E126" i="4"/>
  <c r="U126" i="4"/>
  <c r="R115" i="4"/>
  <c r="U121" i="4"/>
  <c r="I125" i="4"/>
  <c r="K152" i="4"/>
  <c r="K151" i="4"/>
  <c r="K166" i="4"/>
  <c r="N167" i="4"/>
  <c r="N138" i="4"/>
  <c r="K168" i="4"/>
  <c r="H169" i="4"/>
  <c r="E170" i="4"/>
  <c r="U170" i="4"/>
  <c r="H144" i="4"/>
  <c r="H173" i="4"/>
  <c r="E174" i="4"/>
  <c r="U174" i="4"/>
  <c r="K28" i="5"/>
  <c r="K27" i="5"/>
  <c r="P27" i="5"/>
  <c r="T27" i="5"/>
  <c r="K40" i="5"/>
  <c r="K67" i="5"/>
  <c r="H40" i="5"/>
  <c r="H68" i="5"/>
  <c r="H73" i="5"/>
  <c r="S121" i="5"/>
  <c r="Q122" i="5"/>
  <c r="Q95" i="5"/>
  <c r="T118" i="5"/>
  <c r="H152" i="5"/>
  <c r="F172" i="5"/>
  <c r="V153" i="5"/>
  <c r="K78" i="4"/>
  <c r="K81" i="4" s="1"/>
  <c r="V138" i="4"/>
  <c r="V168" i="4"/>
  <c r="T72" i="5"/>
  <c r="T169" i="4"/>
  <c r="Z13" i="3"/>
  <c r="Z18" i="3" s="1"/>
  <c r="T15" i="3"/>
  <c r="T14" i="3" s="1"/>
  <c r="T19" i="3" s="1"/>
  <c r="N17" i="3"/>
  <c r="N18" i="3" s="1"/>
  <c r="N19" i="3" s="1"/>
  <c r="D47" i="3"/>
  <c r="D52" i="3" s="1"/>
  <c r="G22" i="4"/>
  <c r="G18" i="4" s="1"/>
  <c r="G27" i="4" s="1"/>
  <c r="E39" i="4"/>
  <c r="U39" i="4"/>
  <c r="R66" i="4"/>
  <c r="O67" i="4"/>
  <c r="L68" i="4"/>
  <c r="I69" i="4"/>
  <c r="F44" i="4"/>
  <c r="F70" i="4" s="1"/>
  <c r="S45" i="4"/>
  <c r="P72" i="4"/>
  <c r="M73" i="4"/>
  <c r="G75" i="4"/>
  <c r="D76" i="4"/>
  <c r="T76" i="4"/>
  <c r="Q77" i="4"/>
  <c r="O65" i="4"/>
  <c r="Q75" i="4"/>
  <c r="P87" i="4"/>
  <c r="D92" i="4"/>
  <c r="D119" i="4" s="1"/>
  <c r="M92" i="4"/>
  <c r="M119" i="4" s="1"/>
  <c r="M120" i="4"/>
  <c r="M121" i="4"/>
  <c r="J122" i="4"/>
  <c r="I96" i="4"/>
  <c r="I123" i="4" s="1"/>
  <c r="L151" i="4"/>
  <c r="L166" i="4"/>
  <c r="L147" i="4"/>
  <c r="R174" i="4"/>
  <c r="V27" i="5"/>
  <c r="L54" i="5"/>
  <c r="L53" i="5"/>
  <c r="L66" i="5"/>
  <c r="I66" i="5"/>
  <c r="H72" i="5"/>
  <c r="E45" i="5"/>
  <c r="E71" i="5" s="1"/>
  <c r="T121" i="5"/>
  <c r="Q155" i="5"/>
  <c r="Q180" i="5"/>
  <c r="E153" i="4"/>
  <c r="E102" i="4"/>
  <c r="J167" i="4"/>
  <c r="J13" i="3"/>
  <c r="J18" i="3" s="1"/>
  <c r="Y16" i="3"/>
  <c r="Y14" i="3" s="1"/>
  <c r="Y19" i="3" s="1"/>
  <c r="O17" i="3"/>
  <c r="O18" i="3" s="1"/>
  <c r="O19" i="3" s="1"/>
  <c r="P65" i="4"/>
  <c r="R72" i="4"/>
  <c r="S87" i="4"/>
  <c r="Q87" i="4"/>
  <c r="N120" i="4"/>
  <c r="M151" i="4"/>
  <c r="M166" i="4"/>
  <c r="P167" i="4"/>
  <c r="P138" i="4"/>
  <c r="M168" i="4"/>
  <c r="J169" i="4"/>
  <c r="G170" i="4"/>
  <c r="K143" i="4"/>
  <c r="J173" i="4"/>
  <c r="G174" i="4"/>
  <c r="F175" i="4"/>
  <c r="M147" i="4"/>
  <c r="M175" i="4" s="1"/>
  <c r="M176" i="4"/>
  <c r="J147" i="4"/>
  <c r="J175" i="4" s="1"/>
  <c r="J177" i="4"/>
  <c r="G178" i="4"/>
  <c r="M27" i="5"/>
  <c r="Q28" i="5"/>
  <c r="M40" i="5"/>
  <c r="M67" i="5"/>
  <c r="G40" i="5"/>
  <c r="G69" i="5"/>
  <c r="D40" i="5"/>
  <c r="D70" i="5"/>
  <c r="T40" i="5"/>
  <c r="T70" i="5"/>
  <c r="I45" i="5"/>
  <c r="I71" i="5" s="1"/>
  <c r="I72" i="5"/>
  <c r="F72" i="5"/>
  <c r="V72" i="5"/>
  <c r="U74" i="5"/>
  <c r="T167" i="5"/>
  <c r="Q144" i="5"/>
  <c r="Q172" i="5" s="1"/>
  <c r="Q176" i="5"/>
  <c r="Q167" i="5"/>
  <c r="G67" i="6"/>
  <c r="G40" i="6"/>
  <c r="J16" i="3"/>
  <c r="J14" i="3" s="1"/>
  <c r="J19" i="3" s="1"/>
  <c r="Z16" i="3"/>
  <c r="Z14" i="3" s="1"/>
  <c r="Z19" i="3" s="1"/>
  <c r="F15" i="3"/>
  <c r="F14" i="3" s="1"/>
  <c r="F19" i="3" s="1"/>
  <c r="V15" i="3"/>
  <c r="V14" i="3" s="1"/>
  <c r="V19" i="3" s="1"/>
  <c r="D13" i="4"/>
  <c r="D26" i="4" s="1"/>
  <c r="T13" i="4"/>
  <c r="T26" i="4" s="1"/>
  <c r="R19" i="4"/>
  <c r="I22" i="4"/>
  <c r="I74" i="4" s="1"/>
  <c r="K55" i="4"/>
  <c r="L96" i="4"/>
  <c r="Q138" i="4"/>
  <c r="Q167" i="4"/>
  <c r="N168" i="4"/>
  <c r="K169" i="4"/>
  <c r="H170" i="4"/>
  <c r="K173" i="4"/>
  <c r="H174" i="4"/>
  <c r="H175" i="4"/>
  <c r="N175" i="4"/>
  <c r="K175" i="4"/>
  <c r="H178" i="4"/>
  <c r="T168" i="4"/>
  <c r="S154" i="5"/>
  <c r="S104" i="5"/>
  <c r="J19" i="5"/>
  <c r="J28" i="5" s="1"/>
  <c r="R19" i="5"/>
  <c r="R124" i="5"/>
  <c r="J72" i="5"/>
  <c r="G72" i="5"/>
  <c r="I53" i="5"/>
  <c r="U167" i="5"/>
  <c r="R176" i="5"/>
  <c r="R92" i="4"/>
  <c r="M123" i="4"/>
  <c r="O96" i="4"/>
  <c r="G116" i="4"/>
  <c r="S138" i="4"/>
  <c r="R167" i="4"/>
  <c r="O168" i="4"/>
  <c r="L169" i="4"/>
  <c r="I170" i="4"/>
  <c r="L173" i="4"/>
  <c r="L144" i="4"/>
  <c r="I174" i="4"/>
  <c r="I175" i="4"/>
  <c r="O147" i="4"/>
  <c r="O175" i="4" s="1"/>
  <c r="O176" i="4"/>
  <c r="L177" i="4"/>
  <c r="I178" i="4"/>
  <c r="K46" i="5"/>
  <c r="K73" i="5"/>
  <c r="E75" i="5"/>
  <c r="O76" i="5"/>
  <c r="I115" i="5"/>
  <c r="F115" i="5"/>
  <c r="F102" i="5"/>
  <c r="V115" i="5"/>
  <c r="V102" i="5"/>
  <c r="K173" i="5"/>
  <c r="K144" i="5"/>
  <c r="K172" i="5" s="1"/>
  <c r="U176" i="5"/>
  <c r="M102" i="5"/>
  <c r="M103" i="5"/>
  <c r="H154" i="6"/>
  <c r="H104" i="6"/>
  <c r="H55" i="6"/>
  <c r="U54" i="4"/>
  <c r="H55" i="4"/>
  <c r="M71" i="4"/>
  <c r="F13" i="4"/>
  <c r="F26" i="4" s="1"/>
  <c r="F127" i="4" s="1"/>
  <c r="V13" i="4"/>
  <c r="V26" i="4" s="1"/>
  <c r="D19" i="4"/>
  <c r="D18" i="4" s="1"/>
  <c r="D27" i="4" s="1"/>
  <c r="T19" i="4"/>
  <c r="T18" i="4" s="1"/>
  <c r="T27" i="4" s="1"/>
  <c r="K22" i="4"/>
  <c r="K123" i="4" s="1"/>
  <c r="F66" i="4"/>
  <c r="V66" i="4"/>
  <c r="S67" i="4"/>
  <c r="P68" i="4"/>
  <c r="M69" i="4"/>
  <c r="D72" i="4"/>
  <c r="T72" i="4"/>
  <c r="Q73" i="4"/>
  <c r="K75" i="4"/>
  <c r="H76" i="4"/>
  <c r="E77" i="4"/>
  <c r="U77" i="4"/>
  <c r="D115" i="4"/>
  <c r="T115" i="4"/>
  <c r="Q116" i="4"/>
  <c r="N117" i="4"/>
  <c r="K118" i="4"/>
  <c r="T120" i="4"/>
  <c r="Q121" i="4"/>
  <c r="N122" i="4"/>
  <c r="P96" i="4"/>
  <c r="P123" i="4" s="1"/>
  <c r="P124" i="4"/>
  <c r="M125" i="4"/>
  <c r="J126" i="4"/>
  <c r="R120" i="4"/>
  <c r="J127" i="4"/>
  <c r="J130" i="4" s="1"/>
  <c r="S167" i="4"/>
  <c r="P168" i="4"/>
  <c r="M169" i="4"/>
  <c r="J170" i="4"/>
  <c r="P175" i="4"/>
  <c r="L176" i="4"/>
  <c r="O19" i="5"/>
  <c r="N54" i="5"/>
  <c r="N53" i="5"/>
  <c r="O49" i="5"/>
  <c r="O75" i="5" s="1"/>
  <c r="J105" i="5"/>
  <c r="J128" i="5"/>
  <c r="G117" i="5"/>
  <c r="Q119" i="5"/>
  <c r="V94" i="5"/>
  <c r="V120" i="5" s="1"/>
  <c r="V124" i="5"/>
  <c r="D177" i="5"/>
  <c r="D148" i="5"/>
  <c r="T177" i="5"/>
  <c r="T148" i="5"/>
  <c r="G13" i="4"/>
  <c r="G26" i="4" s="1"/>
  <c r="E19" i="4"/>
  <c r="E18" i="4" s="1"/>
  <c r="E27" i="4" s="1"/>
  <c r="L22" i="4"/>
  <c r="L74" i="4" s="1"/>
  <c r="G66" i="4"/>
  <c r="D67" i="4"/>
  <c r="T67" i="4"/>
  <c r="Q68" i="4"/>
  <c r="N69" i="4"/>
  <c r="E72" i="4"/>
  <c r="U72" i="4"/>
  <c r="R73" i="4"/>
  <c r="L75" i="4"/>
  <c r="I76" i="4"/>
  <c r="F77" i="4"/>
  <c r="V77" i="4"/>
  <c r="H53" i="4"/>
  <c r="H79" i="4" s="1"/>
  <c r="E115" i="4"/>
  <c r="E87" i="4"/>
  <c r="U115" i="4"/>
  <c r="U87" i="4"/>
  <c r="R116" i="4"/>
  <c r="R87" i="4"/>
  <c r="O117" i="4"/>
  <c r="L118" i="4"/>
  <c r="R121" i="4"/>
  <c r="O122" i="4"/>
  <c r="S96" i="4"/>
  <c r="S123" i="4" s="1"/>
  <c r="Q96" i="4"/>
  <c r="Q123" i="4" s="1"/>
  <c r="Q124" i="4"/>
  <c r="N96" i="4"/>
  <c r="N123" i="4" s="1"/>
  <c r="N125" i="4"/>
  <c r="K126" i="4"/>
  <c r="R143" i="4"/>
  <c r="N173" i="4"/>
  <c r="K174" i="4"/>
  <c r="Q175" i="4"/>
  <c r="Q176" i="4"/>
  <c r="N177" i="4"/>
  <c r="K178" i="4"/>
  <c r="D72" i="5"/>
  <c r="K75" i="5"/>
  <c r="P75" i="5"/>
  <c r="M75" i="5"/>
  <c r="S55" i="5"/>
  <c r="N173" i="5"/>
  <c r="L168" i="6"/>
  <c r="L116" i="6"/>
  <c r="L14" i="6"/>
  <c r="L115" i="6" s="1"/>
  <c r="L67" i="6"/>
  <c r="I169" i="6"/>
  <c r="I117" i="6"/>
  <c r="I68" i="6"/>
  <c r="F118" i="6"/>
  <c r="F69" i="6"/>
  <c r="S119" i="6"/>
  <c r="S171" i="6"/>
  <c r="S14" i="6"/>
  <c r="S70" i="6"/>
  <c r="J115" i="4"/>
  <c r="P170" i="4"/>
  <c r="G19" i="5"/>
  <c r="G120" i="5" s="1"/>
  <c r="P180" i="6"/>
  <c r="P155" i="6"/>
  <c r="G168" i="4"/>
  <c r="M115" i="5"/>
  <c r="Q125" i="9"/>
  <c r="H120" i="9"/>
  <c r="K65" i="4"/>
  <c r="I71" i="4"/>
  <c r="P74" i="4"/>
  <c r="F115" i="4"/>
  <c r="V115" i="4"/>
  <c r="S116" i="4"/>
  <c r="P117" i="4"/>
  <c r="M118" i="4"/>
  <c r="V120" i="4"/>
  <c r="V92" i="4"/>
  <c r="V119" i="4" s="1"/>
  <c r="S121" i="4"/>
  <c r="S93" i="4"/>
  <c r="P122" i="4"/>
  <c r="P93" i="4"/>
  <c r="T123" i="4"/>
  <c r="F124" i="4"/>
  <c r="I143" i="4"/>
  <c r="I172" i="4"/>
  <c r="R175" i="4"/>
  <c r="P53" i="5"/>
  <c r="P66" i="5"/>
  <c r="L71" i="5"/>
  <c r="H120" i="5"/>
  <c r="E123" i="5"/>
  <c r="U94" i="5"/>
  <c r="I138" i="4"/>
  <c r="I167" i="4"/>
  <c r="D169" i="4"/>
  <c r="I66" i="4"/>
  <c r="F67" i="4"/>
  <c r="V67" i="4"/>
  <c r="S68" i="4"/>
  <c r="P69" i="4"/>
  <c r="G72" i="4"/>
  <c r="D73" i="4"/>
  <c r="T73" i="4"/>
  <c r="N75" i="4"/>
  <c r="K76" i="4"/>
  <c r="H77" i="4"/>
  <c r="D121" i="4"/>
  <c r="T121" i="4"/>
  <c r="Q122" i="4"/>
  <c r="O127" i="4"/>
  <c r="O103" i="4"/>
  <c r="J143" i="4"/>
  <c r="J171" i="4" s="1"/>
  <c r="P173" i="4"/>
  <c r="M174" i="4"/>
  <c r="V175" i="4"/>
  <c r="H14" i="5"/>
  <c r="H67" i="5"/>
  <c r="E14" i="5"/>
  <c r="E167" i="5" s="1"/>
  <c r="E68" i="5"/>
  <c r="U14" i="5"/>
  <c r="U68" i="5"/>
  <c r="V79" i="5"/>
  <c r="V56" i="5"/>
  <c r="R49" i="5"/>
  <c r="R75" i="5" s="1"/>
  <c r="R76" i="5"/>
  <c r="H115" i="5"/>
  <c r="Q118" i="5"/>
  <c r="G122" i="5"/>
  <c r="F167" i="5"/>
  <c r="V167" i="5"/>
  <c r="D169" i="5"/>
  <c r="Q170" i="5"/>
  <c r="G174" i="5"/>
  <c r="V177" i="5"/>
  <c r="V179" i="5"/>
  <c r="J168" i="6"/>
  <c r="J116" i="6"/>
  <c r="J14" i="6"/>
  <c r="G169" i="6"/>
  <c r="G117" i="6"/>
  <c r="D118" i="6"/>
  <c r="D170" i="6"/>
  <c r="Q119" i="6"/>
  <c r="Q171" i="6"/>
  <c r="J45" i="6"/>
  <c r="G45" i="6"/>
  <c r="G71" i="6" s="1"/>
  <c r="H180" i="6"/>
  <c r="H155" i="6"/>
  <c r="I176" i="6"/>
  <c r="I144" i="6"/>
  <c r="I67" i="5"/>
  <c r="F68" i="5"/>
  <c r="V68" i="5"/>
  <c r="G73" i="5"/>
  <c r="D74" i="5"/>
  <c r="T74" i="5"/>
  <c r="N76" i="5"/>
  <c r="K77" i="5"/>
  <c r="H78" i="5"/>
  <c r="L89" i="5"/>
  <c r="R94" i="5"/>
  <c r="R120" i="5" s="1"/>
  <c r="J98" i="5"/>
  <c r="J124" i="5" s="1"/>
  <c r="H122" i="5"/>
  <c r="H126" i="5"/>
  <c r="G152" i="5"/>
  <c r="J168" i="5"/>
  <c r="J139" i="5"/>
  <c r="G169" i="5"/>
  <c r="D170" i="5"/>
  <c r="T170" i="5"/>
  <c r="Q171" i="5"/>
  <c r="F169" i="5"/>
  <c r="S170" i="5"/>
  <c r="O122" i="6"/>
  <c r="O73" i="6"/>
  <c r="O20" i="6"/>
  <c r="L123" i="6"/>
  <c r="L74" i="6"/>
  <c r="Q125" i="6"/>
  <c r="Q76" i="6"/>
  <c r="Q23" i="6"/>
  <c r="Q19" i="6" s="1"/>
  <c r="N126" i="6"/>
  <c r="N77" i="6"/>
  <c r="K127" i="6"/>
  <c r="K78" i="6"/>
  <c r="K73" i="6"/>
  <c r="K46" i="6"/>
  <c r="G75" i="6"/>
  <c r="T69" i="6"/>
  <c r="G74" i="6"/>
  <c r="E95" i="6"/>
  <c r="E122" i="6"/>
  <c r="U95" i="6"/>
  <c r="U122" i="6"/>
  <c r="J152" i="6"/>
  <c r="J167" i="6"/>
  <c r="O168" i="6"/>
  <c r="L169" i="6"/>
  <c r="I170" i="6"/>
  <c r="H174" i="6"/>
  <c r="U175" i="6"/>
  <c r="T57" i="7"/>
  <c r="K56" i="7"/>
  <c r="S147" i="4"/>
  <c r="S175" i="4" s="1"/>
  <c r="N14" i="5"/>
  <c r="L20" i="5"/>
  <c r="L19" i="5" s="1"/>
  <c r="L28" i="5" s="1"/>
  <c r="F175" i="5"/>
  <c r="F123" i="5"/>
  <c r="V175" i="5"/>
  <c r="V123" i="5"/>
  <c r="S23" i="5"/>
  <c r="S75" i="5" s="1"/>
  <c r="P177" i="5"/>
  <c r="P125" i="5"/>
  <c r="M178" i="5"/>
  <c r="M126" i="5"/>
  <c r="J179" i="5"/>
  <c r="J127" i="5"/>
  <c r="Q40" i="5"/>
  <c r="R45" i="5"/>
  <c r="R71" i="5" s="1"/>
  <c r="O46" i="5"/>
  <c r="F49" i="5"/>
  <c r="F75" i="5" s="1"/>
  <c r="V49" i="5"/>
  <c r="V75" i="5" s="1"/>
  <c r="I73" i="5"/>
  <c r="F74" i="5"/>
  <c r="V74" i="5"/>
  <c r="P76" i="5"/>
  <c r="M77" i="5"/>
  <c r="O89" i="5"/>
  <c r="R122" i="5"/>
  <c r="O123" i="5"/>
  <c r="L98" i="5"/>
  <c r="M125" i="5"/>
  <c r="J126" i="5"/>
  <c r="G127" i="5"/>
  <c r="S117" i="5"/>
  <c r="U118" i="5"/>
  <c r="G121" i="5"/>
  <c r="Q123" i="5"/>
  <c r="G145" i="5"/>
  <c r="D173" i="5"/>
  <c r="T173" i="5"/>
  <c r="E177" i="5"/>
  <c r="U177" i="5"/>
  <c r="R178" i="5"/>
  <c r="O179" i="5"/>
  <c r="L174" i="5"/>
  <c r="K178" i="5"/>
  <c r="G14" i="6"/>
  <c r="R19" i="6"/>
  <c r="R28" i="6" s="1"/>
  <c r="E28" i="6"/>
  <c r="H46" i="6"/>
  <c r="M73" i="6"/>
  <c r="M46" i="6"/>
  <c r="J74" i="6"/>
  <c r="K70" i="6"/>
  <c r="U74" i="6"/>
  <c r="M116" i="6"/>
  <c r="M89" i="6"/>
  <c r="I98" i="6"/>
  <c r="I124" i="6" s="1"/>
  <c r="R167" i="6"/>
  <c r="Q139" i="6"/>
  <c r="N139" i="6"/>
  <c r="H171" i="6"/>
  <c r="J174" i="6"/>
  <c r="L177" i="6"/>
  <c r="L148" i="6"/>
  <c r="L176" i="6" s="1"/>
  <c r="D131" i="7"/>
  <c r="O138" i="4"/>
  <c r="M144" i="4"/>
  <c r="D147" i="4"/>
  <c r="D175" i="4" s="1"/>
  <c r="T147" i="4"/>
  <c r="T175" i="4" s="1"/>
  <c r="J172" i="4"/>
  <c r="G173" i="4"/>
  <c r="D174" i="4"/>
  <c r="T174" i="4"/>
  <c r="N176" i="4"/>
  <c r="K177" i="4"/>
  <c r="O14" i="5"/>
  <c r="M20" i="5"/>
  <c r="M19" i="5" s="1"/>
  <c r="M28" i="5" s="1"/>
  <c r="D23" i="5"/>
  <c r="D124" i="5" s="1"/>
  <c r="T23" i="5"/>
  <c r="T75" i="5" s="1"/>
  <c r="R40" i="5"/>
  <c r="P46" i="5"/>
  <c r="G49" i="5"/>
  <c r="G75" i="5" s="1"/>
  <c r="O66" i="5"/>
  <c r="L67" i="5"/>
  <c r="I68" i="5"/>
  <c r="M72" i="5"/>
  <c r="J73" i="5"/>
  <c r="G74" i="5"/>
  <c r="Q76" i="5"/>
  <c r="N77" i="5"/>
  <c r="V121" i="5"/>
  <c r="S122" i="5"/>
  <c r="P123" i="5"/>
  <c r="M124" i="5"/>
  <c r="H103" i="5"/>
  <c r="T117" i="5"/>
  <c r="H121" i="5"/>
  <c r="R123" i="5"/>
  <c r="D125" i="5"/>
  <c r="M167" i="5"/>
  <c r="H174" i="5"/>
  <c r="H145" i="5"/>
  <c r="E175" i="5"/>
  <c r="U175" i="5"/>
  <c r="M155" i="5"/>
  <c r="K169" i="5"/>
  <c r="E171" i="5"/>
  <c r="O174" i="5"/>
  <c r="U20" i="6"/>
  <c r="U19" i="6" s="1"/>
  <c r="U28" i="6" s="1"/>
  <c r="O49" i="6"/>
  <c r="Q75" i="6"/>
  <c r="Q70" i="6"/>
  <c r="S167" i="6"/>
  <c r="K173" i="6"/>
  <c r="N82" i="8"/>
  <c r="E82" i="7"/>
  <c r="M85" i="8"/>
  <c r="D85" i="7"/>
  <c r="M85" i="7" s="1"/>
  <c r="Q143" i="4"/>
  <c r="Q171" i="4" s="1"/>
  <c r="N144" i="4"/>
  <c r="E147" i="4"/>
  <c r="E175" i="4" s="1"/>
  <c r="U147" i="4"/>
  <c r="U175" i="4" s="1"/>
  <c r="S40" i="5"/>
  <c r="D45" i="5"/>
  <c r="T45" i="5"/>
  <c r="Q46" i="5"/>
  <c r="H49" i="5"/>
  <c r="H75" i="5" s="1"/>
  <c r="Q89" i="5"/>
  <c r="N89" i="5"/>
  <c r="K89" i="5"/>
  <c r="O98" i="5"/>
  <c r="O124" i="5" s="1"/>
  <c r="H102" i="5"/>
  <c r="V117" i="5"/>
  <c r="U127" i="5"/>
  <c r="O139" i="5"/>
  <c r="N139" i="5"/>
  <c r="K139" i="5"/>
  <c r="F173" i="5"/>
  <c r="U152" i="5"/>
  <c r="P174" i="5"/>
  <c r="N72" i="6"/>
  <c r="N45" i="6"/>
  <c r="P75" i="6"/>
  <c r="R76" i="6"/>
  <c r="R49" i="6"/>
  <c r="R75" i="6" s="1"/>
  <c r="J103" i="6"/>
  <c r="J102" i="6"/>
  <c r="J115" i="6"/>
  <c r="O116" i="6"/>
  <c r="L117" i="6"/>
  <c r="I118" i="6"/>
  <c r="F102" i="6"/>
  <c r="V102" i="6"/>
  <c r="H144" i="6"/>
  <c r="N67" i="5"/>
  <c r="H69" i="5"/>
  <c r="E70" i="5"/>
  <c r="U70" i="5"/>
  <c r="I74" i="5"/>
  <c r="S76" i="5"/>
  <c r="P77" i="5"/>
  <c r="M78" i="5"/>
  <c r="D121" i="5"/>
  <c r="P124" i="5"/>
  <c r="I102" i="5"/>
  <c r="R116" i="5"/>
  <c r="G125" i="5"/>
  <c r="P139" i="5"/>
  <c r="L169" i="5"/>
  <c r="I170" i="5"/>
  <c r="F171" i="5"/>
  <c r="V171" i="5"/>
  <c r="J144" i="5"/>
  <c r="J172" i="5" s="1"/>
  <c r="H177" i="5"/>
  <c r="E178" i="5"/>
  <c r="U178" i="5"/>
  <c r="R179" i="5"/>
  <c r="V152" i="5"/>
  <c r="F168" i="5"/>
  <c r="O169" i="5"/>
  <c r="I171" i="5"/>
  <c r="U174" i="5"/>
  <c r="O27" i="6"/>
  <c r="P28" i="6"/>
  <c r="P181" i="6" s="1"/>
  <c r="F125" i="6"/>
  <c r="F76" i="6"/>
  <c r="F177" i="6"/>
  <c r="F23" i="6"/>
  <c r="F124" i="6" s="1"/>
  <c r="V125" i="6"/>
  <c r="V76" i="6"/>
  <c r="V23" i="6"/>
  <c r="V124" i="6" s="1"/>
  <c r="S126" i="6"/>
  <c r="S77" i="6"/>
  <c r="P127" i="6"/>
  <c r="P78" i="6"/>
  <c r="P72" i="6"/>
  <c r="P45" i="6"/>
  <c r="P71" i="6" s="1"/>
  <c r="P102" i="6"/>
  <c r="P115" i="6"/>
  <c r="P116" i="6"/>
  <c r="J94" i="6"/>
  <c r="G94" i="6"/>
  <c r="G120" i="6" s="1"/>
  <c r="E124" i="6"/>
  <c r="L98" i="6"/>
  <c r="L124" i="6" s="1"/>
  <c r="L125" i="6"/>
  <c r="D167" i="6"/>
  <c r="D152" i="6"/>
  <c r="T153" i="6"/>
  <c r="T152" i="6"/>
  <c r="N170" i="6"/>
  <c r="K171" i="6"/>
  <c r="M173" i="6"/>
  <c r="M144" i="6"/>
  <c r="M172" i="6" s="1"/>
  <c r="O177" i="6"/>
  <c r="I179" i="6"/>
  <c r="M154" i="6"/>
  <c r="N178" i="6"/>
  <c r="R88" i="7"/>
  <c r="I87" i="7"/>
  <c r="R138" i="4"/>
  <c r="P144" i="4"/>
  <c r="G147" i="4"/>
  <c r="G175" i="4" s="1"/>
  <c r="R14" i="5"/>
  <c r="P20" i="5"/>
  <c r="P19" i="5" s="1"/>
  <c r="P28" i="5" s="1"/>
  <c r="G23" i="5"/>
  <c r="G176" i="5" s="1"/>
  <c r="E40" i="5"/>
  <c r="U40" i="5"/>
  <c r="S46" i="5"/>
  <c r="J49" i="5"/>
  <c r="J75" i="5" s="1"/>
  <c r="D94" i="5"/>
  <c r="E95" i="5"/>
  <c r="F122" i="5"/>
  <c r="V122" i="5"/>
  <c r="S123" i="5"/>
  <c r="T98" i="5"/>
  <c r="R115" i="5"/>
  <c r="V116" i="5"/>
  <c r="E118" i="5"/>
  <c r="O122" i="5"/>
  <c r="K125" i="5"/>
  <c r="R139" i="5"/>
  <c r="P168" i="5"/>
  <c r="M169" i="5"/>
  <c r="J170" i="5"/>
  <c r="G171" i="5"/>
  <c r="D144" i="5"/>
  <c r="E148" i="5"/>
  <c r="I177" i="5"/>
  <c r="F178" i="5"/>
  <c r="V178" i="5"/>
  <c r="S179" i="5"/>
  <c r="G168" i="5"/>
  <c r="M171" i="5"/>
  <c r="D175" i="5"/>
  <c r="Q168" i="6"/>
  <c r="Q116" i="6"/>
  <c r="Q67" i="6"/>
  <c r="Q14" i="6"/>
  <c r="N169" i="6"/>
  <c r="N117" i="6"/>
  <c r="N68" i="6"/>
  <c r="K118" i="6"/>
  <c r="K69" i="6"/>
  <c r="K170" i="6"/>
  <c r="H119" i="6"/>
  <c r="H70" i="6"/>
  <c r="L40" i="6"/>
  <c r="I40" i="6"/>
  <c r="S72" i="6"/>
  <c r="D76" i="6"/>
  <c r="D49" i="6"/>
  <c r="D75" i="6" s="1"/>
  <c r="T76" i="6"/>
  <c r="T49" i="6"/>
  <c r="T75" i="6" s="1"/>
  <c r="Q77" i="6"/>
  <c r="N78" i="6"/>
  <c r="R115" i="6"/>
  <c r="Q89" i="6"/>
  <c r="K122" i="6"/>
  <c r="K95" i="6"/>
  <c r="G124" i="6"/>
  <c r="I125" i="6"/>
  <c r="E168" i="6"/>
  <c r="U168" i="6"/>
  <c r="N144" i="6"/>
  <c r="J131" i="8"/>
  <c r="J126" i="7"/>
  <c r="S126" i="8"/>
  <c r="J125" i="8"/>
  <c r="S125" i="8" s="1"/>
  <c r="L27" i="5"/>
  <c r="O53" i="5"/>
  <c r="T102" i="5"/>
  <c r="F121" i="5"/>
  <c r="D117" i="5"/>
  <c r="P122" i="5"/>
  <c r="L125" i="5"/>
  <c r="Q153" i="5"/>
  <c r="Q181" i="5" s="1"/>
  <c r="L144" i="5"/>
  <c r="L172" i="5" s="1"/>
  <c r="I173" i="5"/>
  <c r="J177" i="5"/>
  <c r="G178" i="5"/>
  <c r="D179" i="5"/>
  <c r="T179" i="5"/>
  <c r="F153" i="5"/>
  <c r="F181" i="5" s="1"/>
  <c r="I168" i="5"/>
  <c r="T169" i="5"/>
  <c r="N171" i="5"/>
  <c r="M67" i="6"/>
  <c r="M40" i="6"/>
  <c r="T45" i="6"/>
  <c r="R72" i="6"/>
  <c r="R45" i="6"/>
  <c r="R71" i="6" s="1"/>
  <c r="J67" i="6"/>
  <c r="F126" i="6"/>
  <c r="P172" i="6"/>
  <c r="O174" i="6"/>
  <c r="O176" i="6"/>
  <c r="Q177" i="6"/>
  <c r="N176" i="6"/>
  <c r="K179" i="6"/>
  <c r="J123" i="7"/>
  <c r="S123" i="7" s="1"/>
  <c r="S123" i="8"/>
  <c r="T126" i="9"/>
  <c r="K125" i="9"/>
  <c r="F94" i="5"/>
  <c r="J94" i="5"/>
  <c r="T115" i="5"/>
  <c r="F117" i="5"/>
  <c r="T122" i="5"/>
  <c r="N125" i="5"/>
  <c r="T152" i="5"/>
  <c r="M174" i="5"/>
  <c r="J175" i="5"/>
  <c r="H176" i="5"/>
  <c r="V169" i="5"/>
  <c r="J173" i="5"/>
  <c r="F177" i="5"/>
  <c r="F179" i="5"/>
  <c r="T14" i="6"/>
  <c r="T167" i="6" s="1"/>
  <c r="E54" i="6"/>
  <c r="E80" i="6" s="1"/>
  <c r="E53" i="6"/>
  <c r="E66" i="6"/>
  <c r="U45" i="6"/>
  <c r="H94" i="6"/>
  <c r="M122" i="6"/>
  <c r="J123" i="6"/>
  <c r="J124" i="6"/>
  <c r="M104" i="6"/>
  <c r="G139" i="6"/>
  <c r="G168" i="6"/>
  <c r="P176" i="6"/>
  <c r="R176" i="6"/>
  <c r="D168" i="6"/>
  <c r="K131" i="7"/>
  <c r="T112" i="7"/>
  <c r="Q112" i="8"/>
  <c r="Q47" i="8"/>
  <c r="K23" i="9"/>
  <c r="S116" i="5"/>
  <c r="P117" i="5"/>
  <c r="M118" i="5"/>
  <c r="J119" i="5"/>
  <c r="I121" i="5"/>
  <c r="U115" i="5"/>
  <c r="U122" i="5"/>
  <c r="O125" i="5"/>
  <c r="S168" i="5"/>
  <c r="P169" i="5"/>
  <c r="M170" i="5"/>
  <c r="J171" i="5"/>
  <c r="N174" i="5"/>
  <c r="K175" i="5"/>
  <c r="I153" i="5"/>
  <c r="I181" i="5" s="1"/>
  <c r="I175" i="5"/>
  <c r="H122" i="6"/>
  <c r="H20" i="6"/>
  <c r="H19" i="6" s="1"/>
  <c r="H28" i="6" s="1"/>
  <c r="E123" i="6"/>
  <c r="E175" i="6"/>
  <c r="O67" i="6"/>
  <c r="O40" i="6"/>
  <c r="L68" i="6"/>
  <c r="I69" i="6"/>
  <c r="F40" i="6"/>
  <c r="F70" i="6"/>
  <c r="V40" i="6"/>
  <c r="V70" i="6"/>
  <c r="D89" i="6"/>
  <c r="T89" i="6"/>
  <c r="K102" i="6"/>
  <c r="K115" i="6"/>
  <c r="I121" i="6"/>
  <c r="S173" i="6"/>
  <c r="T168" i="6"/>
  <c r="G92" i="7"/>
  <c r="J118" i="7"/>
  <c r="S118" i="7" s="1"/>
  <c r="S118" i="8"/>
  <c r="F66" i="5"/>
  <c r="V66" i="5"/>
  <c r="D116" i="5"/>
  <c r="T116" i="5"/>
  <c r="Q117" i="5"/>
  <c r="N118" i="5"/>
  <c r="K119" i="5"/>
  <c r="E125" i="5"/>
  <c r="U125" i="5"/>
  <c r="R126" i="5"/>
  <c r="O127" i="5"/>
  <c r="R103" i="5"/>
  <c r="H117" i="5"/>
  <c r="E127" i="5"/>
  <c r="D168" i="5"/>
  <c r="T168" i="5"/>
  <c r="Q169" i="5"/>
  <c r="N170" i="5"/>
  <c r="K171" i="5"/>
  <c r="I144" i="5"/>
  <c r="I172" i="5" s="1"/>
  <c r="Q173" i="5"/>
  <c r="O144" i="5"/>
  <c r="J148" i="5"/>
  <c r="J176" i="5" s="1"/>
  <c r="M177" i="5"/>
  <c r="J178" i="5"/>
  <c r="G179" i="5"/>
  <c r="E152" i="5"/>
  <c r="L177" i="5"/>
  <c r="E154" i="6"/>
  <c r="E104" i="6"/>
  <c r="U154" i="6"/>
  <c r="U104" i="6"/>
  <c r="J40" i="6"/>
  <c r="P67" i="6"/>
  <c r="G68" i="6"/>
  <c r="E116" i="6"/>
  <c r="U116" i="6"/>
  <c r="R117" i="6"/>
  <c r="O118" i="6"/>
  <c r="L119" i="6"/>
  <c r="N121" i="6"/>
  <c r="N94" i="6"/>
  <c r="O121" i="6"/>
  <c r="O94" i="6"/>
  <c r="O124" i="6"/>
  <c r="Q124" i="6"/>
  <c r="V126" i="6"/>
  <c r="R174" i="6"/>
  <c r="D176" i="6"/>
  <c r="D144" i="6"/>
  <c r="D172" i="6" s="1"/>
  <c r="T144" i="6"/>
  <c r="T176" i="6"/>
  <c r="Q169" i="6"/>
  <c r="G14" i="5"/>
  <c r="G167" i="5" s="1"/>
  <c r="E20" i="5"/>
  <c r="E19" i="5" s="1"/>
  <c r="U20" i="5"/>
  <c r="U19" i="5" s="1"/>
  <c r="L23" i="5"/>
  <c r="L75" i="5" s="1"/>
  <c r="D89" i="5"/>
  <c r="E116" i="5"/>
  <c r="U116" i="5"/>
  <c r="R117" i="5"/>
  <c r="O118" i="5"/>
  <c r="L119" i="5"/>
  <c r="I94" i="5"/>
  <c r="I120" i="5" s="1"/>
  <c r="E98" i="5"/>
  <c r="E124" i="5" s="1"/>
  <c r="G116" i="5"/>
  <c r="N119" i="5"/>
  <c r="F127" i="5"/>
  <c r="E168" i="5"/>
  <c r="U168" i="5"/>
  <c r="R169" i="5"/>
  <c r="O170" i="5"/>
  <c r="L171" i="5"/>
  <c r="R144" i="5"/>
  <c r="R172" i="5" s="1"/>
  <c r="N148" i="5"/>
  <c r="K176" i="5"/>
  <c r="F152" i="5"/>
  <c r="O173" i="5"/>
  <c r="N177" i="5"/>
  <c r="J122" i="6"/>
  <c r="J20" i="6"/>
  <c r="J19" i="6" s="1"/>
  <c r="P53" i="6"/>
  <c r="P66" i="6"/>
  <c r="Q40" i="6"/>
  <c r="N40" i="6"/>
  <c r="I49" i="6"/>
  <c r="I75" i="6" s="1"/>
  <c r="U72" i="6"/>
  <c r="V77" i="6"/>
  <c r="P121" i="6"/>
  <c r="P124" i="6"/>
  <c r="R125" i="6"/>
  <c r="R98" i="6"/>
  <c r="R124" i="6" s="1"/>
  <c r="S127" i="6"/>
  <c r="T170" i="6"/>
  <c r="O84" i="7"/>
  <c r="O117" i="7"/>
  <c r="N62" i="8"/>
  <c r="E62" i="7"/>
  <c r="E60" i="8"/>
  <c r="N60" i="8" s="1"/>
  <c r="E89" i="5"/>
  <c r="L95" i="5"/>
  <c r="U103" i="5"/>
  <c r="I116" i="5"/>
  <c r="S125" i="5"/>
  <c r="Q174" i="5"/>
  <c r="N175" i="5"/>
  <c r="M176" i="5"/>
  <c r="O177" i="5"/>
  <c r="O148" i="5"/>
  <c r="O176" i="5" s="1"/>
  <c r="L178" i="5"/>
  <c r="I179" i="5"/>
  <c r="M153" i="5"/>
  <c r="I167" i="5"/>
  <c r="Q168" i="5"/>
  <c r="R175" i="5"/>
  <c r="Q177" i="5"/>
  <c r="R54" i="6"/>
  <c r="R53" i="6"/>
  <c r="U55" i="6"/>
  <c r="H73" i="6"/>
  <c r="I78" i="6"/>
  <c r="G89" i="6"/>
  <c r="G116" i="6"/>
  <c r="U124" i="6"/>
  <c r="F176" i="6"/>
  <c r="F144" i="6"/>
  <c r="F172" i="6" s="1"/>
  <c r="V177" i="6"/>
  <c r="S144" i="6"/>
  <c r="Q123" i="7"/>
  <c r="K66" i="7"/>
  <c r="T66" i="7" s="1"/>
  <c r="T47" i="7"/>
  <c r="P56" i="7"/>
  <c r="R92" i="7"/>
  <c r="H125" i="5"/>
  <c r="E126" i="5"/>
  <c r="U126" i="5"/>
  <c r="R127" i="5"/>
  <c r="J116" i="5"/>
  <c r="K117" i="5"/>
  <c r="D122" i="5"/>
  <c r="U145" i="5"/>
  <c r="R174" i="5"/>
  <c r="O175" i="5"/>
  <c r="P176" i="5"/>
  <c r="T175" i="5"/>
  <c r="R177" i="5"/>
  <c r="F19" i="6"/>
  <c r="U54" i="6"/>
  <c r="U80" i="6" s="1"/>
  <c r="U53" i="6"/>
  <c r="U66" i="6"/>
  <c r="S54" i="6"/>
  <c r="D69" i="6"/>
  <c r="J73" i="6"/>
  <c r="S121" i="6"/>
  <c r="R95" i="6"/>
  <c r="D125" i="6"/>
  <c r="T125" i="6"/>
  <c r="Q126" i="6"/>
  <c r="N127" i="6"/>
  <c r="L152" i="6"/>
  <c r="L167" i="6"/>
  <c r="I153" i="6"/>
  <c r="I152" i="6"/>
  <c r="F152" i="6"/>
  <c r="F167" i="6"/>
  <c r="V152" i="6"/>
  <c r="E174" i="6"/>
  <c r="E145" i="6"/>
  <c r="U174" i="6"/>
  <c r="U145" i="6"/>
  <c r="O112" i="8"/>
  <c r="E73" i="5"/>
  <c r="G102" i="5"/>
  <c r="G115" i="5"/>
  <c r="H116" i="5"/>
  <c r="E117" i="5"/>
  <c r="U117" i="5"/>
  <c r="R118" i="5"/>
  <c r="O119" i="5"/>
  <c r="N122" i="5"/>
  <c r="K123" i="5"/>
  <c r="H124" i="5"/>
  <c r="I125" i="5"/>
  <c r="F126" i="5"/>
  <c r="V126" i="5"/>
  <c r="S127" i="5"/>
  <c r="K116" i="5"/>
  <c r="P118" i="5"/>
  <c r="R119" i="5"/>
  <c r="E122" i="5"/>
  <c r="D153" i="5"/>
  <c r="D152" i="5"/>
  <c r="H168" i="5"/>
  <c r="E169" i="5"/>
  <c r="U169" i="5"/>
  <c r="R170" i="5"/>
  <c r="O171" i="5"/>
  <c r="V173" i="5"/>
  <c r="S174" i="5"/>
  <c r="P175" i="5"/>
  <c r="K19" i="6"/>
  <c r="K28" i="6" s="1"/>
  <c r="O125" i="6"/>
  <c r="O23" i="6"/>
  <c r="K27" i="6"/>
  <c r="K79" i="6" s="1"/>
  <c r="D40" i="6"/>
  <c r="T40" i="6"/>
  <c r="K66" i="6"/>
  <c r="L49" i="6"/>
  <c r="L75" i="6" s="1"/>
  <c r="L76" i="6"/>
  <c r="R73" i="6"/>
  <c r="K27" i="7"/>
  <c r="T93" i="7"/>
  <c r="T124" i="9"/>
  <c r="T59" i="9"/>
  <c r="H40" i="6"/>
  <c r="I45" i="6"/>
  <c r="I71" i="6" s="1"/>
  <c r="F46" i="6"/>
  <c r="V46" i="6"/>
  <c r="M49" i="6"/>
  <c r="M75" i="6" s="1"/>
  <c r="H89" i="6"/>
  <c r="I94" i="6"/>
  <c r="I120" i="6" s="1"/>
  <c r="F95" i="6"/>
  <c r="V95" i="6"/>
  <c r="M98" i="6"/>
  <c r="M124" i="6" s="1"/>
  <c r="E115" i="6"/>
  <c r="U115" i="6"/>
  <c r="R169" i="6"/>
  <c r="O170" i="6"/>
  <c r="L171" i="6"/>
  <c r="F173" i="6"/>
  <c r="V173" i="6"/>
  <c r="S174" i="6"/>
  <c r="P175" i="6"/>
  <c r="M176" i="6"/>
  <c r="J177" i="6"/>
  <c r="G178" i="6"/>
  <c r="D179" i="6"/>
  <c r="T179" i="6"/>
  <c r="E167" i="6"/>
  <c r="U167" i="6"/>
  <c r="I177" i="6"/>
  <c r="D14" i="7"/>
  <c r="M112" i="7" s="1"/>
  <c r="I27" i="7"/>
  <c r="S50" i="7"/>
  <c r="R57" i="7"/>
  <c r="N61" i="7"/>
  <c r="E60" i="7"/>
  <c r="T79" i="7"/>
  <c r="O93" i="7"/>
  <c r="R113" i="7"/>
  <c r="P96" i="8"/>
  <c r="G31" i="7"/>
  <c r="P129" i="8"/>
  <c r="I50" i="7"/>
  <c r="R50" i="7" s="1"/>
  <c r="R50" i="8"/>
  <c r="M53" i="7"/>
  <c r="G54" i="7"/>
  <c r="P54" i="8"/>
  <c r="N58" i="8"/>
  <c r="E58" i="7"/>
  <c r="E87" i="8"/>
  <c r="N88" i="8"/>
  <c r="J129" i="7"/>
  <c r="S129" i="7" s="1"/>
  <c r="S129" i="8"/>
  <c r="T118" i="9"/>
  <c r="T85" i="9"/>
  <c r="K66" i="9"/>
  <c r="T56" i="9"/>
  <c r="K55" i="9"/>
  <c r="I66" i="9"/>
  <c r="R66" i="9" s="1"/>
  <c r="R65" i="9"/>
  <c r="F81" i="7"/>
  <c r="O81" i="9"/>
  <c r="I126" i="7"/>
  <c r="I125" i="9"/>
  <c r="N128" i="9"/>
  <c r="E128" i="7"/>
  <c r="N128" i="7" s="1"/>
  <c r="P43" i="10"/>
  <c r="P169" i="10"/>
  <c r="M43" i="10"/>
  <c r="M198" i="10" s="1"/>
  <c r="M170" i="10"/>
  <c r="O180" i="10"/>
  <c r="O257" i="10"/>
  <c r="F14" i="6"/>
  <c r="V14" i="6"/>
  <c r="D20" i="6"/>
  <c r="D19" i="6" s="1"/>
  <c r="D28" i="6" s="1"/>
  <c r="T20" i="6"/>
  <c r="K23" i="6"/>
  <c r="K75" i="6" s="1"/>
  <c r="S67" i="6"/>
  <c r="D72" i="6"/>
  <c r="Q73" i="6"/>
  <c r="H76" i="6"/>
  <c r="R102" i="6"/>
  <c r="R152" i="6"/>
  <c r="F14" i="7"/>
  <c r="O61" i="7"/>
  <c r="P89" i="7"/>
  <c r="P91" i="7"/>
  <c r="P93" i="7"/>
  <c r="N95" i="7"/>
  <c r="M96" i="7"/>
  <c r="N123" i="7"/>
  <c r="Q118" i="8"/>
  <c r="Q53" i="8"/>
  <c r="D23" i="8"/>
  <c r="K98" i="8"/>
  <c r="T98" i="8" s="1"/>
  <c r="K99" i="8"/>
  <c r="T99" i="8" s="1"/>
  <c r="T88" i="8"/>
  <c r="K87" i="8"/>
  <c r="T87" i="8" s="1"/>
  <c r="J91" i="7"/>
  <c r="S91" i="8"/>
  <c r="T62" i="9"/>
  <c r="T94" i="9"/>
  <c r="T116" i="9"/>
  <c r="G249" i="10"/>
  <c r="K139" i="6"/>
  <c r="H167" i="6"/>
  <c r="S170" i="6"/>
  <c r="U171" i="6"/>
  <c r="G174" i="6"/>
  <c r="I175" i="6"/>
  <c r="N177" i="6"/>
  <c r="P178" i="6"/>
  <c r="I14" i="7"/>
  <c r="T95" i="7"/>
  <c r="O54" i="7"/>
  <c r="P63" i="7"/>
  <c r="N65" i="7"/>
  <c r="R93" i="7"/>
  <c r="Q113" i="7"/>
  <c r="O122" i="7"/>
  <c r="F121" i="7"/>
  <c r="N124" i="7"/>
  <c r="Q126" i="7"/>
  <c r="Q128" i="7"/>
  <c r="Q97" i="8"/>
  <c r="N117" i="9"/>
  <c r="E117" i="7"/>
  <c r="R126" i="9"/>
  <c r="I14" i="6"/>
  <c r="G20" i="6"/>
  <c r="G19" i="6" s="1"/>
  <c r="N23" i="6"/>
  <c r="N75" i="6" s="1"/>
  <c r="E102" i="6"/>
  <c r="U102" i="6"/>
  <c r="J145" i="6"/>
  <c r="Q148" i="6"/>
  <c r="E152" i="6"/>
  <c r="U152" i="6"/>
  <c r="J14" i="7"/>
  <c r="N130" i="7"/>
  <c r="S47" i="7"/>
  <c r="R61" i="7"/>
  <c r="R63" i="7"/>
  <c r="M86" i="7"/>
  <c r="T126" i="7"/>
  <c r="K125" i="7"/>
  <c r="T125" i="7" s="1"/>
  <c r="M114" i="8"/>
  <c r="E19" i="7"/>
  <c r="N117" i="8"/>
  <c r="F30" i="7"/>
  <c r="O128" i="8"/>
  <c r="D57" i="7"/>
  <c r="M57" i="8"/>
  <c r="D56" i="8"/>
  <c r="P62" i="8"/>
  <c r="G62" i="7"/>
  <c r="P62" i="7" s="1"/>
  <c r="O85" i="8"/>
  <c r="S92" i="8"/>
  <c r="J115" i="7"/>
  <c r="S115" i="7" s="1"/>
  <c r="S115" i="8"/>
  <c r="T81" i="9"/>
  <c r="T49" i="9"/>
  <c r="T54" i="9"/>
  <c r="H64" i="7"/>
  <c r="Q64" i="7" s="1"/>
  <c r="Q64" i="9"/>
  <c r="E80" i="7"/>
  <c r="N80" i="9"/>
  <c r="E79" i="9"/>
  <c r="T93" i="9"/>
  <c r="D169" i="10"/>
  <c r="D91" i="10"/>
  <c r="D246" i="10"/>
  <c r="D43" i="10"/>
  <c r="D275" i="10" s="1"/>
  <c r="T169" i="10"/>
  <c r="T91" i="10"/>
  <c r="T43" i="10"/>
  <c r="Q170" i="10"/>
  <c r="Q92" i="10"/>
  <c r="M139" i="6"/>
  <c r="S153" i="6"/>
  <c r="L175" i="6"/>
  <c r="S178" i="6"/>
  <c r="N122" i="7"/>
  <c r="E23" i="7"/>
  <c r="M48" i="7"/>
  <c r="D47" i="7"/>
  <c r="M58" i="7"/>
  <c r="M84" i="7"/>
  <c r="G88" i="7"/>
  <c r="H121" i="7"/>
  <c r="O126" i="7"/>
  <c r="Q57" i="8"/>
  <c r="Q122" i="8"/>
  <c r="H23" i="8"/>
  <c r="H24" i="7"/>
  <c r="N52" i="8"/>
  <c r="E52" i="7"/>
  <c r="S97" i="8"/>
  <c r="T117" i="9"/>
  <c r="T84" i="9"/>
  <c r="D63" i="7"/>
  <c r="M63" i="7" s="1"/>
  <c r="M63" i="9"/>
  <c r="I20" i="6"/>
  <c r="I19" i="6" s="1"/>
  <c r="N89" i="6"/>
  <c r="L95" i="6"/>
  <c r="S98" i="6"/>
  <c r="V170" i="6"/>
  <c r="G47" i="23"/>
  <c r="O51" i="7"/>
  <c r="O58" i="7"/>
  <c r="T61" i="7"/>
  <c r="K60" i="7"/>
  <c r="T60" i="7" s="1"/>
  <c r="T63" i="7"/>
  <c r="S80" i="7"/>
  <c r="R91" i="7"/>
  <c r="O114" i="7"/>
  <c r="F112" i="7"/>
  <c r="M116" i="7"/>
  <c r="T128" i="7"/>
  <c r="P84" i="8"/>
  <c r="G19" i="7"/>
  <c r="P117" i="7" s="1"/>
  <c r="P117" i="8"/>
  <c r="E29" i="7"/>
  <c r="E27" i="7" s="1"/>
  <c r="N127" i="8"/>
  <c r="H30" i="7"/>
  <c r="Q128" i="8"/>
  <c r="Q63" i="8"/>
  <c r="G48" i="7"/>
  <c r="P48" i="8"/>
  <c r="G47" i="8"/>
  <c r="M49" i="8"/>
  <c r="K55" i="8"/>
  <c r="T55" i="8" s="1"/>
  <c r="T56" i="8"/>
  <c r="M81" i="8"/>
  <c r="D81" i="7"/>
  <c r="M81" i="7" s="1"/>
  <c r="Q85" i="8"/>
  <c r="H79" i="8"/>
  <c r="H85" i="7"/>
  <c r="Q85" i="7" s="1"/>
  <c r="O125" i="9"/>
  <c r="F120" i="9"/>
  <c r="I67" i="6"/>
  <c r="F68" i="6"/>
  <c r="V68" i="6"/>
  <c r="S69" i="6"/>
  <c r="P70" i="6"/>
  <c r="G73" i="6"/>
  <c r="D74" i="6"/>
  <c r="T74" i="6"/>
  <c r="N76" i="6"/>
  <c r="H78" i="6"/>
  <c r="O89" i="6"/>
  <c r="P94" i="6"/>
  <c r="P120" i="6" s="1"/>
  <c r="M95" i="6"/>
  <c r="D98" i="6"/>
  <c r="T98" i="6"/>
  <c r="I116" i="6"/>
  <c r="F117" i="6"/>
  <c r="P119" i="6"/>
  <c r="D123" i="6"/>
  <c r="T123" i="6"/>
  <c r="H127" i="6"/>
  <c r="O139" i="6"/>
  <c r="E171" i="6"/>
  <c r="L174" i="6"/>
  <c r="S177" i="6"/>
  <c r="O48" i="7"/>
  <c r="F47" i="7"/>
  <c r="I90" i="23"/>
  <c r="R65" i="7"/>
  <c r="T91" i="7"/>
  <c r="R97" i="7"/>
  <c r="M118" i="7"/>
  <c r="J23" i="8"/>
  <c r="S57" i="8"/>
  <c r="D26" i="7"/>
  <c r="M124" i="7" s="1"/>
  <c r="M124" i="8"/>
  <c r="M51" i="7"/>
  <c r="M61" i="8"/>
  <c r="D61" i="7"/>
  <c r="D60" i="8"/>
  <c r="H89" i="7"/>
  <c r="Q89" i="8"/>
  <c r="H88" i="8"/>
  <c r="N92" i="8"/>
  <c r="J128" i="7"/>
  <c r="S128" i="7" s="1"/>
  <c r="S128" i="8"/>
  <c r="T123" i="9"/>
  <c r="T61" i="9"/>
  <c r="P246" i="10"/>
  <c r="M247" i="10"/>
  <c r="J248" i="10"/>
  <c r="D250" i="10"/>
  <c r="T250" i="10"/>
  <c r="Q251" i="10"/>
  <c r="N252" i="10"/>
  <c r="K253" i="10"/>
  <c r="H254" i="10"/>
  <c r="E255" i="10"/>
  <c r="U255" i="10"/>
  <c r="R256" i="10"/>
  <c r="L259" i="10"/>
  <c r="F261" i="10"/>
  <c r="V261" i="10"/>
  <c r="S262" i="10"/>
  <c r="P263" i="10"/>
  <c r="M264" i="10"/>
  <c r="J265" i="10"/>
  <c r="G266" i="10"/>
  <c r="D267" i="10"/>
  <c r="T267" i="10"/>
  <c r="N269" i="10"/>
  <c r="K270" i="10"/>
  <c r="G170" i="6"/>
  <c r="D171" i="6"/>
  <c r="T171" i="6"/>
  <c r="N173" i="6"/>
  <c r="K174" i="6"/>
  <c r="H175" i="6"/>
  <c r="E176" i="6"/>
  <c r="U176" i="6"/>
  <c r="R177" i="6"/>
  <c r="O178" i="6"/>
  <c r="L179" i="6"/>
  <c r="N174" i="6"/>
  <c r="U177" i="6"/>
  <c r="R94" i="7"/>
  <c r="Q47" i="7"/>
  <c r="J55" i="7"/>
  <c r="H131" i="7"/>
  <c r="Q112" i="7"/>
  <c r="R122" i="7"/>
  <c r="N127" i="7"/>
  <c r="E125" i="7"/>
  <c r="E120" i="7" s="1"/>
  <c r="Q114" i="8"/>
  <c r="Q49" i="8"/>
  <c r="G27" i="8"/>
  <c r="P127" i="8"/>
  <c r="P94" i="8"/>
  <c r="G29" i="7"/>
  <c r="I48" i="7"/>
  <c r="R48" i="8"/>
  <c r="I47" i="8"/>
  <c r="M53" i="8"/>
  <c r="N84" i="8"/>
  <c r="E84" i="7"/>
  <c r="N84" i="7" s="1"/>
  <c r="J117" i="7"/>
  <c r="S117" i="7" s="1"/>
  <c r="S117" i="8"/>
  <c r="J122" i="7"/>
  <c r="S122" i="8"/>
  <c r="H83" i="7"/>
  <c r="Q83" i="7" s="1"/>
  <c r="Q83" i="9"/>
  <c r="R99" i="9"/>
  <c r="N14" i="6"/>
  <c r="L20" i="6"/>
  <c r="L19" i="6" s="1"/>
  <c r="S23" i="6"/>
  <c r="S176" i="6" s="1"/>
  <c r="O145" i="6"/>
  <c r="V148" i="6"/>
  <c r="F170" i="6"/>
  <c r="S94" i="7"/>
  <c r="S58" i="7"/>
  <c r="M62" i="7"/>
  <c r="M64" i="7"/>
  <c r="T65" i="7"/>
  <c r="O127" i="7"/>
  <c r="O129" i="7"/>
  <c r="D27" i="8"/>
  <c r="M126" i="8"/>
  <c r="D28" i="7"/>
  <c r="M126" i="7" s="1"/>
  <c r="M130" i="8"/>
  <c r="O51" i="8"/>
  <c r="M59" i="8"/>
  <c r="D59" i="7"/>
  <c r="M59" i="7" s="1"/>
  <c r="O61" i="8"/>
  <c r="F60" i="8"/>
  <c r="O60" i="8" s="1"/>
  <c r="G64" i="7"/>
  <c r="P64" i="7" s="1"/>
  <c r="P64" i="8"/>
  <c r="M65" i="8"/>
  <c r="T79" i="8"/>
  <c r="F87" i="8"/>
  <c r="S89" i="8"/>
  <c r="J88" i="8"/>
  <c r="J89" i="7"/>
  <c r="O95" i="8"/>
  <c r="O34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T80" i="9"/>
  <c r="T48" i="9"/>
  <c r="T64" i="9"/>
  <c r="Q63" i="9"/>
  <c r="H63" i="7"/>
  <c r="K92" i="9"/>
  <c r="T92" i="9" s="1"/>
  <c r="F171" i="6"/>
  <c r="V171" i="6"/>
  <c r="P173" i="6"/>
  <c r="M174" i="6"/>
  <c r="J175" i="6"/>
  <c r="G148" i="6"/>
  <c r="G176" i="6" s="1"/>
  <c r="D177" i="6"/>
  <c r="T177" i="6"/>
  <c r="Q178" i="6"/>
  <c r="N179" i="6"/>
  <c r="H170" i="6"/>
  <c r="K23" i="7"/>
  <c r="T94" i="7"/>
  <c r="T127" i="7"/>
  <c r="O96" i="7"/>
  <c r="G173" i="17"/>
  <c r="G98" i="7"/>
  <c r="O82" i="7"/>
  <c r="Q116" i="7"/>
  <c r="P129" i="7"/>
  <c r="J14" i="8"/>
  <c r="S112" i="8" s="1"/>
  <c r="S49" i="8"/>
  <c r="O116" i="8"/>
  <c r="N119" i="8"/>
  <c r="E21" i="7"/>
  <c r="N86" i="7" s="1"/>
  <c r="T48" i="8"/>
  <c r="K47" i="8"/>
  <c r="Q81" i="8"/>
  <c r="J114" i="7"/>
  <c r="S114" i="7" s="1"/>
  <c r="S114" i="8"/>
  <c r="T83" i="9"/>
  <c r="N52" i="9"/>
  <c r="E47" i="9"/>
  <c r="D60" i="9"/>
  <c r="M62" i="9"/>
  <c r="S83" i="9"/>
  <c r="J79" i="9"/>
  <c r="T90" i="9"/>
  <c r="P167" i="6"/>
  <c r="O119" i="7"/>
  <c r="I79" i="7"/>
  <c r="O90" i="7"/>
  <c r="Q94" i="7"/>
  <c r="T97" i="7"/>
  <c r="Q118" i="7"/>
  <c r="G125" i="7"/>
  <c r="P80" i="8"/>
  <c r="G15" i="7"/>
  <c r="G14" i="8"/>
  <c r="P121" i="8"/>
  <c r="P88" i="8"/>
  <c r="G22" i="8"/>
  <c r="F27" i="8"/>
  <c r="O126" i="8"/>
  <c r="O59" i="8"/>
  <c r="F59" i="7"/>
  <c r="I64" i="7"/>
  <c r="R64" i="7" s="1"/>
  <c r="R64" i="8"/>
  <c r="D88" i="7"/>
  <c r="J119" i="7"/>
  <c r="S119" i="7" s="1"/>
  <c r="S119" i="8"/>
  <c r="J130" i="7"/>
  <c r="S130" i="8"/>
  <c r="T119" i="9"/>
  <c r="T86" i="9"/>
  <c r="I112" i="9"/>
  <c r="T114" i="9"/>
  <c r="T246" i="10"/>
  <c r="Q247" i="10"/>
  <c r="M78" i="6"/>
  <c r="R145" i="6"/>
  <c r="P179" i="6"/>
  <c r="N126" i="7"/>
  <c r="N57" i="7"/>
  <c r="S60" i="7"/>
  <c r="R62" i="7"/>
  <c r="O86" i="7"/>
  <c r="O88" i="7"/>
  <c r="P96" i="7"/>
  <c r="O123" i="7"/>
  <c r="R127" i="7"/>
  <c r="P119" i="8"/>
  <c r="P86" i="8"/>
  <c r="G21" i="7"/>
  <c r="J98" i="8"/>
  <c r="M83" i="8"/>
  <c r="D83" i="7"/>
  <c r="M83" i="7" s="1"/>
  <c r="P113" i="8"/>
  <c r="J127" i="7"/>
  <c r="S127" i="7" s="1"/>
  <c r="S127" i="8"/>
  <c r="T122" i="9"/>
  <c r="T57" i="9"/>
  <c r="T53" i="9"/>
  <c r="F60" i="9"/>
  <c r="O62" i="9"/>
  <c r="T63" i="9"/>
  <c r="N123" i="9"/>
  <c r="E121" i="9"/>
  <c r="F43" i="10"/>
  <c r="V43" i="10"/>
  <c r="F119" i="6"/>
  <c r="V119" i="6"/>
  <c r="Q48" i="7"/>
  <c r="O113" i="7"/>
  <c r="E22" i="8"/>
  <c r="N121" i="8"/>
  <c r="S59" i="8"/>
  <c r="J26" i="7"/>
  <c r="Q60" i="8"/>
  <c r="Q125" i="8"/>
  <c r="Q130" i="8"/>
  <c r="H32" i="7"/>
  <c r="Q130" i="7" s="1"/>
  <c r="Q65" i="8"/>
  <c r="T64" i="8"/>
  <c r="K60" i="8"/>
  <c r="T60" i="8" s="1"/>
  <c r="O79" i="9"/>
  <c r="N115" i="9"/>
  <c r="E115" i="7"/>
  <c r="Q129" i="9"/>
  <c r="H129" i="7"/>
  <c r="Q129" i="7" s="1"/>
  <c r="I120" i="10"/>
  <c r="S86" i="7"/>
  <c r="M52" i="7"/>
  <c r="H66" i="7"/>
  <c r="R89" i="7"/>
  <c r="M93" i="7"/>
  <c r="G112" i="7"/>
  <c r="S51" i="8"/>
  <c r="D47" i="8"/>
  <c r="P56" i="8"/>
  <c r="F63" i="7"/>
  <c r="O63" i="8"/>
  <c r="O83" i="8"/>
  <c r="F83" i="7"/>
  <c r="O83" i="7" s="1"/>
  <c r="F79" i="8"/>
  <c r="J116" i="7"/>
  <c r="S116" i="7" s="1"/>
  <c r="S116" i="8"/>
  <c r="J124" i="7"/>
  <c r="S124" i="8"/>
  <c r="K14" i="9"/>
  <c r="T112" i="9" s="1"/>
  <c r="T60" i="9"/>
  <c r="H60" i="9"/>
  <c r="Q62" i="9"/>
  <c r="K33" i="7"/>
  <c r="Q61" i="7"/>
  <c r="O52" i="7"/>
  <c r="Q57" i="7"/>
  <c r="N59" i="7"/>
  <c r="J66" i="7"/>
  <c r="O85" i="7"/>
  <c r="N91" i="7"/>
  <c r="N93" i="7"/>
  <c r="E92" i="7"/>
  <c r="O94" i="7"/>
  <c r="S96" i="7"/>
  <c r="I121" i="7"/>
  <c r="R123" i="7"/>
  <c r="D125" i="7"/>
  <c r="E17" i="7"/>
  <c r="N115" i="8"/>
  <c r="O118" i="8"/>
  <c r="S60" i="8"/>
  <c r="J32" i="7"/>
  <c r="S65" i="8"/>
  <c r="M51" i="8"/>
  <c r="N86" i="8"/>
  <c r="M97" i="8"/>
  <c r="D97" i="7"/>
  <c r="J113" i="7"/>
  <c r="S113" i="8"/>
  <c r="J121" i="8"/>
  <c r="T82" i="9"/>
  <c r="T50" i="9"/>
  <c r="T115" i="9"/>
  <c r="N89" i="9"/>
  <c r="E89" i="7"/>
  <c r="E88" i="9"/>
  <c r="O57" i="7"/>
  <c r="I58" i="7"/>
  <c r="R58" i="7" s="1"/>
  <c r="Q80" i="7"/>
  <c r="J81" i="7"/>
  <c r="F95" i="7"/>
  <c r="O95" i="7" s="1"/>
  <c r="Q96" i="7"/>
  <c r="J97" i="7"/>
  <c r="M113" i="7"/>
  <c r="P114" i="7"/>
  <c r="H125" i="7"/>
  <c r="M129" i="7"/>
  <c r="P130" i="7"/>
  <c r="T17" i="8"/>
  <c r="M52" i="8"/>
  <c r="R56" i="8"/>
  <c r="T58" i="8"/>
  <c r="N61" i="8"/>
  <c r="S81" i="8"/>
  <c r="M84" i="8"/>
  <c r="O93" i="8"/>
  <c r="I131" i="8"/>
  <c r="R131" i="8" s="1"/>
  <c r="M14" i="9"/>
  <c r="M15" i="9"/>
  <c r="M17" i="9"/>
  <c r="M19" i="9"/>
  <c r="M21" i="9"/>
  <c r="M25" i="9"/>
  <c r="M26" i="9"/>
  <c r="S34" i="9"/>
  <c r="R47" i="9"/>
  <c r="R48" i="9"/>
  <c r="R50" i="9"/>
  <c r="T52" i="9"/>
  <c r="M80" i="9"/>
  <c r="R89" i="9"/>
  <c r="D98" i="9"/>
  <c r="M98" i="9" s="1"/>
  <c r="R122" i="9"/>
  <c r="E125" i="9"/>
  <c r="N125" i="9" s="1"/>
  <c r="M128" i="9"/>
  <c r="Q43" i="10"/>
  <c r="N43" i="10"/>
  <c r="K43" i="10"/>
  <c r="K120" i="10" s="1"/>
  <c r="H82" i="10"/>
  <c r="S104" i="10"/>
  <c r="P105" i="10"/>
  <c r="M106" i="10"/>
  <c r="J107" i="10"/>
  <c r="G108" i="10"/>
  <c r="D109" i="10"/>
  <c r="T109" i="10"/>
  <c r="Q110" i="10"/>
  <c r="O195" i="10"/>
  <c r="L196" i="10"/>
  <c r="H169" i="10"/>
  <c r="V175" i="10"/>
  <c r="H42" i="12"/>
  <c r="P42" i="12"/>
  <c r="P120" i="12" s="1"/>
  <c r="Q95" i="7"/>
  <c r="M123" i="7"/>
  <c r="P124" i="7"/>
  <c r="M50" i="8"/>
  <c r="T80" i="8"/>
  <c r="M82" i="8"/>
  <c r="N90" i="8"/>
  <c r="Q93" i="8"/>
  <c r="R95" i="9"/>
  <c r="T113" i="9"/>
  <c r="T129" i="9"/>
  <c r="S43" i="10"/>
  <c r="J82" i="10"/>
  <c r="G82" i="10"/>
  <c r="G120" i="10" s="1"/>
  <c r="D93" i="10"/>
  <c r="T93" i="10"/>
  <c r="Q94" i="10"/>
  <c r="N95" i="10"/>
  <c r="K96" i="10"/>
  <c r="H97" i="10"/>
  <c r="E98" i="10"/>
  <c r="U98" i="10"/>
  <c r="R99" i="10"/>
  <c r="O100" i="10"/>
  <c r="L101" i="10"/>
  <c r="I102" i="10"/>
  <c r="N82" i="10"/>
  <c r="N120" i="10" s="1"/>
  <c r="L169" i="10"/>
  <c r="I170" i="10"/>
  <c r="F171" i="10"/>
  <c r="V171" i="10"/>
  <c r="S172" i="10"/>
  <c r="P173" i="10"/>
  <c r="M174" i="10"/>
  <c r="J175" i="10"/>
  <c r="G176" i="10"/>
  <c r="D177" i="10"/>
  <c r="T177" i="10"/>
  <c r="Q178" i="10"/>
  <c r="N179" i="10"/>
  <c r="K180" i="10"/>
  <c r="Q195" i="10"/>
  <c r="N196" i="10"/>
  <c r="K197" i="10"/>
  <c r="E170" i="10"/>
  <c r="S176" i="10"/>
  <c r="N183" i="10"/>
  <c r="I250" i="10"/>
  <c r="K182" i="11"/>
  <c r="K46" i="11"/>
  <c r="K47" i="11" s="1"/>
  <c r="K184" i="11"/>
  <c r="K100" i="11"/>
  <c r="K186" i="11"/>
  <c r="K102" i="11"/>
  <c r="K188" i="11"/>
  <c r="K104" i="11"/>
  <c r="K190" i="11"/>
  <c r="K106" i="11"/>
  <c r="K192" i="11"/>
  <c r="K108" i="11"/>
  <c r="K194" i="11"/>
  <c r="K110" i="11"/>
  <c r="K198" i="11"/>
  <c r="K114" i="11"/>
  <c r="K200" i="11"/>
  <c r="K116" i="11"/>
  <c r="K202" i="11"/>
  <c r="K118" i="11"/>
  <c r="K204" i="11"/>
  <c r="K120" i="11"/>
  <c r="K206" i="11"/>
  <c r="K122" i="11"/>
  <c r="K208" i="11"/>
  <c r="K124" i="11"/>
  <c r="K210" i="11"/>
  <c r="K126" i="11"/>
  <c r="K212" i="11"/>
  <c r="K128" i="11"/>
  <c r="I129" i="11"/>
  <c r="M117" i="7"/>
  <c r="M48" i="8"/>
  <c r="M64" i="8"/>
  <c r="M80" i="8"/>
  <c r="P90" i="8"/>
  <c r="Q91" i="8"/>
  <c r="S93" i="8"/>
  <c r="M96" i="8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R60" i="9"/>
  <c r="I55" i="9"/>
  <c r="Q131" i="9"/>
  <c r="E169" i="10"/>
  <c r="E43" i="10"/>
  <c r="U169" i="10"/>
  <c r="U43" i="10"/>
  <c r="L91" i="10"/>
  <c r="I92" i="10"/>
  <c r="F93" i="10"/>
  <c r="V93" i="10"/>
  <c r="S94" i="10"/>
  <c r="P95" i="10"/>
  <c r="M96" i="10"/>
  <c r="J97" i="10"/>
  <c r="G98" i="10"/>
  <c r="D99" i="10"/>
  <c r="T99" i="10"/>
  <c r="Q100" i="10"/>
  <c r="N101" i="10"/>
  <c r="K102" i="10"/>
  <c r="U170" i="10"/>
  <c r="P177" i="10"/>
  <c r="E246" i="10"/>
  <c r="U246" i="10"/>
  <c r="R247" i="10"/>
  <c r="O248" i="10"/>
  <c r="L249" i="10"/>
  <c r="F251" i="10"/>
  <c r="V251" i="10"/>
  <c r="S252" i="10"/>
  <c r="P253" i="10"/>
  <c r="M254" i="10"/>
  <c r="G256" i="10"/>
  <c r="D257" i="10"/>
  <c r="T257" i="10"/>
  <c r="Q259" i="10"/>
  <c r="N260" i="10"/>
  <c r="K261" i="10"/>
  <c r="H262" i="10"/>
  <c r="M122" i="7"/>
  <c r="P123" i="7"/>
  <c r="D14" i="8"/>
  <c r="E56" i="8"/>
  <c r="I60" i="8"/>
  <c r="R60" i="8" s="1"/>
  <c r="M63" i="8"/>
  <c r="D79" i="8"/>
  <c r="M95" i="8"/>
  <c r="M113" i="8"/>
  <c r="M115" i="8"/>
  <c r="M117" i="8"/>
  <c r="M122" i="8"/>
  <c r="M127" i="8"/>
  <c r="M128" i="8"/>
  <c r="M129" i="8"/>
  <c r="H79" i="9"/>
  <c r="T91" i="9"/>
  <c r="M82" i="10"/>
  <c r="M120" i="10" s="1"/>
  <c r="D82" i="10"/>
  <c r="T82" i="10"/>
  <c r="T120" i="10" s="1"/>
  <c r="H104" i="10"/>
  <c r="E105" i="10"/>
  <c r="U105" i="10"/>
  <c r="R106" i="10"/>
  <c r="O107" i="10"/>
  <c r="L108" i="10"/>
  <c r="I109" i="10"/>
  <c r="F110" i="10"/>
  <c r="V110" i="10"/>
  <c r="S111" i="10"/>
  <c r="P112" i="10"/>
  <c r="M113" i="10"/>
  <c r="J114" i="10"/>
  <c r="G115" i="10"/>
  <c r="Q117" i="10"/>
  <c r="N118" i="10"/>
  <c r="K119" i="10"/>
  <c r="O169" i="10"/>
  <c r="O159" i="10"/>
  <c r="K184" i="10"/>
  <c r="M49" i="7"/>
  <c r="M65" i="7"/>
  <c r="Q93" i="7"/>
  <c r="M127" i="7"/>
  <c r="P128" i="7"/>
  <c r="E14" i="8"/>
  <c r="T27" i="8"/>
  <c r="F56" i="8"/>
  <c r="M62" i="8"/>
  <c r="E79" i="8"/>
  <c r="M94" i="8"/>
  <c r="N113" i="8"/>
  <c r="N114" i="8"/>
  <c r="N116" i="8"/>
  <c r="N118" i="8"/>
  <c r="N123" i="8"/>
  <c r="N128" i="8"/>
  <c r="N129" i="8"/>
  <c r="N130" i="8"/>
  <c r="S31" i="9"/>
  <c r="G47" i="9"/>
  <c r="Q56" i="9"/>
  <c r="E60" i="9"/>
  <c r="R86" i="9"/>
  <c r="R93" i="9"/>
  <c r="E112" i="9"/>
  <c r="M119" i="9"/>
  <c r="M130" i="9"/>
  <c r="G91" i="10"/>
  <c r="G43" i="10"/>
  <c r="R171" i="10"/>
  <c r="M178" i="10"/>
  <c r="G236" i="10"/>
  <c r="G275" i="10" s="1"/>
  <c r="D247" i="10"/>
  <c r="T247" i="10"/>
  <c r="Q248" i="10"/>
  <c r="N249" i="10"/>
  <c r="K250" i="10"/>
  <c r="E252" i="10"/>
  <c r="U252" i="10"/>
  <c r="R253" i="10"/>
  <c r="O254" i="10"/>
  <c r="L255" i="10"/>
  <c r="I256" i="10"/>
  <c r="F257" i="10"/>
  <c r="V257" i="10"/>
  <c r="N54" i="8"/>
  <c r="M93" i="8"/>
  <c r="O115" i="8"/>
  <c r="H66" i="9"/>
  <c r="Q66" i="9" s="1"/>
  <c r="K87" i="9"/>
  <c r="T128" i="9"/>
  <c r="Q169" i="10"/>
  <c r="Q159" i="10"/>
  <c r="Q198" i="10" s="1"/>
  <c r="L182" i="10"/>
  <c r="I183" i="10"/>
  <c r="F184" i="10"/>
  <c r="V184" i="10"/>
  <c r="S185" i="10"/>
  <c r="P186" i="10"/>
  <c r="M187" i="10"/>
  <c r="J188" i="10"/>
  <c r="G189" i="10"/>
  <c r="D190" i="10"/>
  <c r="T190" i="10"/>
  <c r="Q191" i="10"/>
  <c r="N192" i="10"/>
  <c r="K193" i="10"/>
  <c r="H236" i="10"/>
  <c r="H246" i="10"/>
  <c r="U247" i="10"/>
  <c r="R248" i="10"/>
  <c r="O249" i="10"/>
  <c r="L250" i="10"/>
  <c r="I251" i="10"/>
  <c r="F252" i="10"/>
  <c r="V252" i="10"/>
  <c r="S253" i="10"/>
  <c r="P254" i="10"/>
  <c r="J256" i="10"/>
  <c r="G257" i="10"/>
  <c r="D259" i="10"/>
  <c r="T259" i="10"/>
  <c r="Q260" i="10"/>
  <c r="N261" i="10"/>
  <c r="K262" i="10"/>
  <c r="H263" i="10"/>
  <c r="E264" i="10"/>
  <c r="U264" i="10"/>
  <c r="R265" i="10"/>
  <c r="O266" i="10"/>
  <c r="L267" i="10"/>
  <c r="I268" i="10"/>
  <c r="F269" i="10"/>
  <c r="V269" i="10"/>
  <c r="S270" i="10"/>
  <c r="M272" i="10"/>
  <c r="J273" i="10"/>
  <c r="G274" i="10"/>
  <c r="O49" i="7"/>
  <c r="E54" i="7"/>
  <c r="N54" i="7" s="1"/>
  <c r="O65" i="7"/>
  <c r="Q84" i="7"/>
  <c r="H92" i="7"/>
  <c r="I112" i="7"/>
  <c r="D121" i="7"/>
  <c r="P122" i="7"/>
  <c r="T25" i="8"/>
  <c r="N53" i="8"/>
  <c r="G55" i="8"/>
  <c r="P55" i="8" s="1"/>
  <c r="D92" i="8"/>
  <c r="P112" i="8"/>
  <c r="P115" i="8"/>
  <c r="P116" i="8"/>
  <c r="D33" i="9"/>
  <c r="M33" i="9" s="1"/>
  <c r="I34" i="9"/>
  <c r="R33" i="9" s="1"/>
  <c r="J60" i="9"/>
  <c r="R84" i="9"/>
  <c r="O91" i="9"/>
  <c r="M117" i="9"/>
  <c r="O119" i="9"/>
  <c r="Q121" i="9"/>
  <c r="O130" i="9"/>
  <c r="P91" i="10"/>
  <c r="M92" i="10"/>
  <c r="J93" i="10"/>
  <c r="G94" i="10"/>
  <c r="D95" i="10"/>
  <c r="T95" i="10"/>
  <c r="Q96" i="10"/>
  <c r="N97" i="10"/>
  <c r="K98" i="10"/>
  <c r="H99" i="10"/>
  <c r="E100" i="10"/>
  <c r="U100" i="10"/>
  <c r="R101" i="10"/>
  <c r="O102" i="10"/>
  <c r="O172" i="10"/>
  <c r="J179" i="10"/>
  <c r="H185" i="10"/>
  <c r="F236" i="10"/>
  <c r="F275" i="10" s="1"/>
  <c r="M91" i="8"/>
  <c r="Q117" i="8"/>
  <c r="J66" i="9"/>
  <c r="S66" i="9" s="1"/>
  <c r="T97" i="9"/>
  <c r="P131" i="9"/>
  <c r="J43" i="10"/>
  <c r="J198" i="10" s="1"/>
  <c r="I197" i="10"/>
  <c r="I119" i="10"/>
  <c r="H43" i="10"/>
  <c r="H198" i="10" s="1"/>
  <c r="Q91" i="10"/>
  <c r="Q82" i="10"/>
  <c r="Q120" i="10" s="1"/>
  <c r="L104" i="10"/>
  <c r="I105" i="10"/>
  <c r="F106" i="10"/>
  <c r="V106" i="10"/>
  <c r="S107" i="10"/>
  <c r="P108" i="10"/>
  <c r="M109" i="10"/>
  <c r="J110" i="10"/>
  <c r="G111" i="10"/>
  <c r="D112" i="10"/>
  <c r="T112" i="10"/>
  <c r="Q113" i="10"/>
  <c r="N114" i="10"/>
  <c r="K115" i="10"/>
  <c r="J246" i="10"/>
  <c r="J236" i="10"/>
  <c r="G247" i="10"/>
  <c r="D248" i="10"/>
  <c r="T248" i="10"/>
  <c r="Q249" i="10"/>
  <c r="N250" i="10"/>
  <c r="K251" i="10"/>
  <c r="H252" i="10"/>
  <c r="E253" i="10"/>
  <c r="U253" i="10"/>
  <c r="R254" i="10"/>
  <c r="O255" i="10"/>
  <c r="L256" i="10"/>
  <c r="I257" i="10"/>
  <c r="F259" i="10"/>
  <c r="V259" i="10"/>
  <c r="S260" i="10"/>
  <c r="P261" i="10"/>
  <c r="M262" i="10"/>
  <c r="J263" i="10"/>
  <c r="G264" i="10"/>
  <c r="D265" i="10"/>
  <c r="T265" i="10"/>
  <c r="N267" i="10"/>
  <c r="K268" i="10"/>
  <c r="H269" i="10"/>
  <c r="E270" i="10"/>
  <c r="O272" i="10"/>
  <c r="L273" i="10"/>
  <c r="Q91" i="7"/>
  <c r="J92" i="7"/>
  <c r="S92" i="7" s="1"/>
  <c r="M115" i="7"/>
  <c r="P116" i="7"/>
  <c r="R21" i="8"/>
  <c r="T23" i="8"/>
  <c r="N51" i="8"/>
  <c r="Q61" i="8"/>
  <c r="M90" i="8"/>
  <c r="R112" i="8"/>
  <c r="R130" i="8"/>
  <c r="D132" i="8"/>
  <c r="O121" i="9"/>
  <c r="O88" i="9"/>
  <c r="M86" i="9"/>
  <c r="R91" i="9"/>
  <c r="O117" i="9"/>
  <c r="Q119" i="9"/>
  <c r="M124" i="9"/>
  <c r="M126" i="9"/>
  <c r="Q130" i="9"/>
  <c r="D159" i="10"/>
  <c r="D198" i="10" s="1"/>
  <c r="T159" i="10"/>
  <c r="T198" i="10" s="1"/>
  <c r="L173" i="10"/>
  <c r="G180" i="10"/>
  <c r="G246" i="10"/>
  <c r="E174" i="23"/>
  <c r="N97" i="7"/>
  <c r="P121" i="7"/>
  <c r="N50" i="8"/>
  <c r="M89" i="8"/>
  <c r="T96" i="9"/>
  <c r="J112" i="9"/>
  <c r="M121" i="9"/>
  <c r="D120" i="9"/>
  <c r="L43" i="10"/>
  <c r="L120" i="10" s="1"/>
  <c r="I43" i="10"/>
  <c r="I198" i="10" s="1"/>
  <c r="S91" i="10"/>
  <c r="S82" i="10"/>
  <c r="S120" i="10" s="1"/>
  <c r="E159" i="10"/>
  <c r="E198" i="10" s="1"/>
  <c r="U159" i="10"/>
  <c r="U198" i="10" s="1"/>
  <c r="R159" i="10"/>
  <c r="R198" i="10" s="1"/>
  <c r="L236" i="10"/>
  <c r="F248" i="10"/>
  <c r="V236" i="10"/>
  <c r="V275" i="10" s="1"/>
  <c r="S236" i="10"/>
  <c r="S275" i="10" s="1"/>
  <c r="P250" i="10"/>
  <c r="M251" i="10"/>
  <c r="G253" i="10"/>
  <c r="D254" i="10"/>
  <c r="T254" i="10"/>
  <c r="Q255" i="10"/>
  <c r="N256" i="10"/>
  <c r="K257" i="10"/>
  <c r="H259" i="10"/>
  <c r="E260" i="10"/>
  <c r="U260" i="10"/>
  <c r="R261" i="10"/>
  <c r="O262" i="10"/>
  <c r="I264" i="10"/>
  <c r="F265" i="10"/>
  <c r="V265" i="10"/>
  <c r="S266" i="10"/>
  <c r="P267" i="10"/>
  <c r="M268" i="10"/>
  <c r="J269" i="10"/>
  <c r="G270" i="10"/>
  <c r="Q272" i="10"/>
  <c r="N273" i="10"/>
  <c r="J255" i="10"/>
  <c r="K112" i="11"/>
  <c r="R54" i="7"/>
  <c r="Q82" i="7"/>
  <c r="J83" i="7"/>
  <c r="S83" i="7" s="1"/>
  <c r="Q90" i="7"/>
  <c r="P126" i="7"/>
  <c r="T21" i="8"/>
  <c r="N49" i="8"/>
  <c r="S61" i="8"/>
  <c r="N65" i="8"/>
  <c r="D88" i="8"/>
  <c r="Q91" i="9"/>
  <c r="Q124" i="9"/>
  <c r="R62" i="9"/>
  <c r="M65" i="9"/>
  <c r="M84" i="9"/>
  <c r="Q117" i="9"/>
  <c r="O126" i="9"/>
  <c r="T127" i="9"/>
  <c r="I174" i="10"/>
  <c r="I247" i="10"/>
  <c r="K89" i="11"/>
  <c r="K129" i="11"/>
  <c r="T86" i="7"/>
  <c r="M114" i="7"/>
  <c r="P115" i="7"/>
  <c r="M130" i="7"/>
  <c r="N48" i="8"/>
  <c r="N64" i="8"/>
  <c r="R56" i="9"/>
  <c r="R121" i="9"/>
  <c r="R123" i="9"/>
  <c r="R58" i="9"/>
  <c r="M83" i="9"/>
  <c r="T88" i="9"/>
  <c r="T95" i="9"/>
  <c r="M122" i="9"/>
  <c r="R124" i="9"/>
  <c r="O129" i="9"/>
  <c r="T130" i="9"/>
  <c r="E91" i="10"/>
  <c r="E82" i="10"/>
  <c r="E120" i="10" s="1"/>
  <c r="U91" i="10"/>
  <c r="U82" i="10"/>
  <c r="U120" i="10" s="1"/>
  <c r="R92" i="10"/>
  <c r="R82" i="10"/>
  <c r="R120" i="10" s="1"/>
  <c r="O93" i="10"/>
  <c r="L94" i="10"/>
  <c r="I95" i="10"/>
  <c r="F96" i="10"/>
  <c r="V96" i="10"/>
  <c r="S97" i="10"/>
  <c r="P98" i="10"/>
  <c r="M99" i="10"/>
  <c r="J100" i="10"/>
  <c r="G101" i="10"/>
  <c r="D102" i="10"/>
  <c r="T102" i="10"/>
  <c r="G169" i="10"/>
  <c r="D170" i="10"/>
  <c r="T170" i="10"/>
  <c r="Q171" i="10"/>
  <c r="N172" i="10"/>
  <c r="K173" i="10"/>
  <c r="H174" i="10"/>
  <c r="E175" i="10"/>
  <c r="U175" i="10"/>
  <c r="R176" i="10"/>
  <c r="O177" i="10"/>
  <c r="L178" i="10"/>
  <c r="I179" i="10"/>
  <c r="F180" i="10"/>
  <c r="V180" i="10"/>
  <c r="K236" i="10"/>
  <c r="K275" i="10" s="1"/>
  <c r="H81" i="7"/>
  <c r="H97" i="7"/>
  <c r="Q97" i="7" s="1"/>
  <c r="M119" i="7"/>
  <c r="G120" i="7"/>
  <c r="T19" i="8"/>
  <c r="F23" i="8"/>
  <c r="O88" i="8" s="1"/>
  <c r="T33" i="8"/>
  <c r="E47" i="8"/>
  <c r="N63" i="8"/>
  <c r="M86" i="8"/>
  <c r="M82" i="9"/>
  <c r="D88" i="9"/>
  <c r="F92" i="9"/>
  <c r="Q126" i="9"/>
  <c r="O43" i="10"/>
  <c r="F82" i="10"/>
  <c r="V82" i="10"/>
  <c r="V120" i="10" s="1"/>
  <c r="K159" i="10"/>
  <c r="K198" i="10" s="1"/>
  <c r="F175" i="10"/>
  <c r="F42" i="12"/>
  <c r="F91" i="12"/>
  <c r="V42" i="12"/>
  <c r="V91" i="12"/>
  <c r="K98" i="7"/>
  <c r="T98" i="7" s="1"/>
  <c r="H66" i="8"/>
  <c r="G98" i="8"/>
  <c r="F131" i="8"/>
  <c r="E33" i="9"/>
  <c r="J91" i="10"/>
  <c r="G92" i="10"/>
  <c r="L159" i="10"/>
  <c r="L198" i="10" s="1"/>
  <c r="I169" i="10"/>
  <c r="I236" i="10"/>
  <c r="I275" i="10" s="1"/>
  <c r="E236" i="10"/>
  <c r="E275" i="10" s="1"/>
  <c r="J260" i="10"/>
  <c r="E46" i="11"/>
  <c r="J98" i="11"/>
  <c r="J100" i="11"/>
  <c r="J102" i="11"/>
  <c r="J104" i="11"/>
  <c r="J106" i="11"/>
  <c r="J108" i="11"/>
  <c r="J110" i="11"/>
  <c r="J112" i="11"/>
  <c r="J114" i="11"/>
  <c r="J116" i="11"/>
  <c r="J118" i="11"/>
  <c r="J120" i="11"/>
  <c r="J122" i="11"/>
  <c r="J124" i="11"/>
  <c r="J126" i="11"/>
  <c r="J128" i="11"/>
  <c r="I99" i="11"/>
  <c r="E104" i="11"/>
  <c r="I112" i="11"/>
  <c r="E118" i="11"/>
  <c r="G267" i="11"/>
  <c r="G42" i="12"/>
  <c r="N159" i="12"/>
  <c r="J66" i="8"/>
  <c r="I98" i="8"/>
  <c r="R98" i="8" s="1"/>
  <c r="H131" i="8"/>
  <c r="G33" i="9"/>
  <c r="O82" i="10"/>
  <c r="N159" i="10"/>
  <c r="N198" i="10" s="1"/>
  <c r="H170" i="10"/>
  <c r="K246" i="10"/>
  <c r="H247" i="10"/>
  <c r="E248" i="10"/>
  <c r="U248" i="10"/>
  <c r="R249" i="10"/>
  <c r="O250" i="10"/>
  <c r="L251" i="10"/>
  <c r="I252" i="10"/>
  <c r="F253" i="10"/>
  <c r="V253" i="10"/>
  <c r="S254" i="10"/>
  <c r="P255" i="10"/>
  <c r="M256" i="10"/>
  <c r="J257" i="10"/>
  <c r="M253" i="10"/>
  <c r="R268" i="10"/>
  <c r="F272" i="10"/>
  <c r="E124" i="11"/>
  <c r="I182" i="11"/>
  <c r="G201" i="11"/>
  <c r="E269" i="11"/>
  <c r="E279" i="11"/>
  <c r="G289" i="11"/>
  <c r="I42" i="12"/>
  <c r="R42" i="12"/>
  <c r="R120" i="12" s="1"/>
  <c r="K129" i="13"/>
  <c r="P82" i="10"/>
  <c r="P120" i="10" s="1"/>
  <c r="O196" i="10"/>
  <c r="K248" i="10"/>
  <c r="Q257" i="10"/>
  <c r="M259" i="10"/>
  <c r="S267" i="10"/>
  <c r="G272" i="10"/>
  <c r="E99" i="11"/>
  <c r="E101" i="11"/>
  <c r="E103" i="11"/>
  <c r="E105" i="11"/>
  <c r="E107" i="11"/>
  <c r="E109" i="11"/>
  <c r="E111" i="11"/>
  <c r="E113" i="11"/>
  <c r="E115" i="11"/>
  <c r="E117" i="11"/>
  <c r="E119" i="11"/>
  <c r="E121" i="11"/>
  <c r="E123" i="11"/>
  <c r="E125" i="11"/>
  <c r="E127" i="11"/>
  <c r="E88" i="11"/>
  <c r="K113" i="11"/>
  <c r="J183" i="11"/>
  <c r="J185" i="11"/>
  <c r="G195" i="11"/>
  <c r="F265" i="11"/>
  <c r="F267" i="11"/>
  <c r="F269" i="11"/>
  <c r="F271" i="11"/>
  <c r="F273" i="11"/>
  <c r="F275" i="11"/>
  <c r="F279" i="11"/>
  <c r="F281" i="11"/>
  <c r="F283" i="11"/>
  <c r="F285" i="11"/>
  <c r="F287" i="11"/>
  <c r="F289" i="11"/>
  <c r="F291" i="11"/>
  <c r="F293" i="11"/>
  <c r="F295" i="11"/>
  <c r="G269" i="11"/>
  <c r="G279" i="11"/>
  <c r="Q159" i="12"/>
  <c r="Q198" i="12" s="1"/>
  <c r="P159" i="10"/>
  <c r="P198" i="10" s="1"/>
  <c r="M236" i="10"/>
  <c r="M275" i="10" s="1"/>
  <c r="L246" i="10"/>
  <c r="L248" i="10"/>
  <c r="Q263" i="10"/>
  <c r="F88" i="11"/>
  <c r="K109" i="11"/>
  <c r="E114" i="11"/>
  <c r="K213" i="11"/>
  <c r="K185" i="11"/>
  <c r="K187" i="11"/>
  <c r="K189" i="11"/>
  <c r="K191" i="11"/>
  <c r="K193" i="11"/>
  <c r="K195" i="11"/>
  <c r="K197" i="11"/>
  <c r="K199" i="11"/>
  <c r="K201" i="11"/>
  <c r="K203" i="11"/>
  <c r="K205" i="11"/>
  <c r="K207" i="11"/>
  <c r="K209" i="11"/>
  <c r="K211" i="11"/>
  <c r="G189" i="11"/>
  <c r="G296" i="11"/>
  <c r="E81" i="12"/>
  <c r="U81" i="12"/>
  <c r="M236" i="12"/>
  <c r="M276" i="12" s="1"/>
  <c r="G236" i="12"/>
  <c r="K131" i="8"/>
  <c r="T131" i="8" s="1"/>
  <c r="J33" i="9"/>
  <c r="S33" i="9" s="1"/>
  <c r="G120" i="9"/>
  <c r="P130" i="9"/>
  <c r="N236" i="10"/>
  <c r="M246" i="10"/>
  <c r="P252" i="10"/>
  <c r="U267" i="10"/>
  <c r="G99" i="11"/>
  <c r="G101" i="11"/>
  <c r="G103" i="11"/>
  <c r="G105" i="11"/>
  <c r="G107" i="11"/>
  <c r="G109" i="11"/>
  <c r="G111" i="11"/>
  <c r="G113" i="11"/>
  <c r="G115" i="11"/>
  <c r="G117" i="11"/>
  <c r="G119" i="11"/>
  <c r="G121" i="11"/>
  <c r="G123" i="11"/>
  <c r="G125" i="11"/>
  <c r="G127" i="11"/>
  <c r="G88" i="11"/>
  <c r="I100" i="11"/>
  <c r="K119" i="11"/>
  <c r="D182" i="11"/>
  <c r="D171" i="11"/>
  <c r="D184" i="11"/>
  <c r="G183" i="11"/>
  <c r="H265" i="11"/>
  <c r="H267" i="11"/>
  <c r="H269" i="11"/>
  <c r="H271" i="11"/>
  <c r="H273" i="11"/>
  <c r="H275" i="11"/>
  <c r="H277" i="11"/>
  <c r="H279" i="11"/>
  <c r="H281" i="11"/>
  <c r="H283" i="11"/>
  <c r="H285" i="11"/>
  <c r="H287" i="11"/>
  <c r="H289" i="11"/>
  <c r="H291" i="11"/>
  <c r="H293" i="11"/>
  <c r="H295" i="11"/>
  <c r="G291" i="11"/>
  <c r="L42" i="12"/>
  <c r="R104" i="12"/>
  <c r="O105" i="12"/>
  <c r="L106" i="12"/>
  <c r="I107" i="12"/>
  <c r="F108" i="12"/>
  <c r="V108" i="12"/>
  <c r="S109" i="12"/>
  <c r="P110" i="12"/>
  <c r="M111" i="12"/>
  <c r="D114" i="12"/>
  <c r="T114" i="12"/>
  <c r="K117" i="12"/>
  <c r="H118" i="12"/>
  <c r="Q197" i="10"/>
  <c r="N246" i="10"/>
  <c r="N247" i="10"/>
  <c r="T256" i="10"/>
  <c r="P274" i="10"/>
  <c r="H129" i="11"/>
  <c r="H89" i="11"/>
  <c r="K105" i="11"/>
  <c r="E120" i="11"/>
  <c r="E182" i="11"/>
  <c r="E171" i="11"/>
  <c r="E184" i="11"/>
  <c r="E186" i="11"/>
  <c r="E188" i="11"/>
  <c r="E190" i="11"/>
  <c r="E192" i="11"/>
  <c r="E196" i="11"/>
  <c r="E198" i="11"/>
  <c r="E200" i="11"/>
  <c r="E202" i="11"/>
  <c r="E204" i="11"/>
  <c r="E206" i="11"/>
  <c r="E208" i="11"/>
  <c r="E210" i="11"/>
  <c r="E212" i="11"/>
  <c r="I190" i="11"/>
  <c r="G209" i="11"/>
  <c r="I265" i="11"/>
  <c r="I267" i="11"/>
  <c r="I269" i="11"/>
  <c r="I271" i="11"/>
  <c r="I273" i="11"/>
  <c r="I275" i="11"/>
  <c r="I277" i="11"/>
  <c r="I279" i="11"/>
  <c r="I281" i="11"/>
  <c r="I283" i="11"/>
  <c r="G271" i="11"/>
  <c r="G281" i="11"/>
  <c r="G81" i="12"/>
  <c r="H81" i="12"/>
  <c r="H120" i="12" s="1"/>
  <c r="T159" i="12"/>
  <c r="P182" i="12"/>
  <c r="M183" i="12"/>
  <c r="J184" i="12"/>
  <c r="G185" i="12"/>
  <c r="D186" i="12"/>
  <c r="T186" i="12"/>
  <c r="Q187" i="12"/>
  <c r="N188" i="12"/>
  <c r="H190" i="12"/>
  <c r="U191" i="12"/>
  <c r="R192" i="12"/>
  <c r="O193" i="12"/>
  <c r="I195" i="12"/>
  <c r="F196" i="12"/>
  <c r="V196" i="12"/>
  <c r="S197" i="12"/>
  <c r="S159" i="10"/>
  <c r="S198" i="10" s="1"/>
  <c r="U194" i="10"/>
  <c r="O236" i="10"/>
  <c r="O246" i="10"/>
  <c r="O247" i="10"/>
  <c r="T262" i="10"/>
  <c r="J88" i="11"/>
  <c r="E106" i="11"/>
  <c r="K125" i="11"/>
  <c r="G203" i="11"/>
  <c r="J265" i="11"/>
  <c r="J267" i="11"/>
  <c r="J269" i="11"/>
  <c r="J271" i="11"/>
  <c r="J273" i="11"/>
  <c r="J275" i="11"/>
  <c r="J277" i="11"/>
  <c r="J279" i="11"/>
  <c r="J281" i="11"/>
  <c r="J283" i="11"/>
  <c r="J285" i="11"/>
  <c r="J287" i="11"/>
  <c r="J289" i="11"/>
  <c r="J291" i="11"/>
  <c r="J293" i="11"/>
  <c r="J295" i="11"/>
  <c r="E293" i="11"/>
  <c r="N42" i="12"/>
  <c r="O42" i="12"/>
  <c r="I81" i="12"/>
  <c r="U198" i="12"/>
  <c r="P247" i="12"/>
  <c r="P236" i="12"/>
  <c r="P276" i="12" s="1"/>
  <c r="J182" i="13"/>
  <c r="J46" i="13"/>
  <c r="J98" i="13"/>
  <c r="J184" i="13"/>
  <c r="J100" i="13"/>
  <c r="J269" i="13"/>
  <c r="J186" i="13"/>
  <c r="J102" i="13"/>
  <c r="J265" i="13"/>
  <c r="J267" i="13"/>
  <c r="R91" i="10"/>
  <c r="O92" i="10"/>
  <c r="L93" i="10"/>
  <c r="I94" i="10"/>
  <c r="F95" i="10"/>
  <c r="V95" i="10"/>
  <c r="S96" i="10"/>
  <c r="P97" i="10"/>
  <c r="M98" i="10"/>
  <c r="J99" i="10"/>
  <c r="G100" i="10"/>
  <c r="D101" i="10"/>
  <c r="T101" i="10"/>
  <c r="Q102" i="10"/>
  <c r="M195" i="10"/>
  <c r="J196" i="10"/>
  <c r="G197" i="10"/>
  <c r="T196" i="10"/>
  <c r="P236" i="10"/>
  <c r="P275" i="10" s="1"/>
  <c r="S249" i="10"/>
  <c r="S251" i="10"/>
  <c r="U261" i="10"/>
  <c r="E267" i="10"/>
  <c r="J270" i="10"/>
  <c r="D265" i="11"/>
  <c r="D46" i="11"/>
  <c r="D129" i="11" s="1"/>
  <c r="K101" i="11"/>
  <c r="G182" i="11"/>
  <c r="G171" i="11"/>
  <c r="G184" i="11"/>
  <c r="G186" i="11"/>
  <c r="G188" i="11"/>
  <c r="G190" i="11"/>
  <c r="G192" i="11"/>
  <c r="G196" i="11"/>
  <c r="G198" i="11"/>
  <c r="G200" i="11"/>
  <c r="G202" i="11"/>
  <c r="G204" i="11"/>
  <c r="G206" i="11"/>
  <c r="G208" i="11"/>
  <c r="G210" i="11"/>
  <c r="G212" i="11"/>
  <c r="G197" i="11"/>
  <c r="K265" i="11"/>
  <c r="K267" i="11"/>
  <c r="K269" i="11"/>
  <c r="K271" i="11"/>
  <c r="K273" i="11"/>
  <c r="K275" i="11"/>
  <c r="K277" i="11"/>
  <c r="K279" i="11"/>
  <c r="K281" i="11"/>
  <c r="K283" i="11"/>
  <c r="K285" i="11"/>
  <c r="K287" i="11"/>
  <c r="K289" i="11"/>
  <c r="K291" i="11"/>
  <c r="K293" i="11"/>
  <c r="K295" i="11"/>
  <c r="E283" i="11"/>
  <c r="G293" i="11"/>
  <c r="F81" i="12"/>
  <c r="V81" i="12"/>
  <c r="V120" i="12" s="1"/>
  <c r="S81" i="12"/>
  <c r="S120" i="12" s="1"/>
  <c r="K81" i="12"/>
  <c r="V159" i="12"/>
  <c r="V198" i="12" s="1"/>
  <c r="S159" i="12"/>
  <c r="S198" i="12" s="1"/>
  <c r="P159" i="12"/>
  <c r="P198" i="12" s="1"/>
  <c r="M159" i="12"/>
  <c r="M198" i="12" s="1"/>
  <c r="N195" i="10"/>
  <c r="K196" i="10"/>
  <c r="H197" i="10"/>
  <c r="R169" i="10"/>
  <c r="F173" i="10"/>
  <c r="V173" i="10"/>
  <c r="G178" i="10"/>
  <c r="D179" i="10"/>
  <c r="E184" i="10"/>
  <c r="I188" i="10"/>
  <c r="F189" i="10"/>
  <c r="M192" i="10"/>
  <c r="Q236" i="10"/>
  <c r="Q275" i="10" s="1"/>
  <c r="Q246" i="10"/>
  <c r="K115" i="11"/>
  <c r="H182" i="11"/>
  <c r="H171" i="11"/>
  <c r="H184" i="11"/>
  <c r="H186" i="11"/>
  <c r="H188" i="11"/>
  <c r="H190" i="11"/>
  <c r="H192" i="11"/>
  <c r="H194" i="11"/>
  <c r="H196" i="11"/>
  <c r="H198" i="11"/>
  <c r="H200" i="11"/>
  <c r="H202" i="11"/>
  <c r="H204" i="11"/>
  <c r="H206" i="11"/>
  <c r="H208" i="11"/>
  <c r="H210" i="11"/>
  <c r="H212" i="11"/>
  <c r="G191" i="11"/>
  <c r="D255" i="11"/>
  <c r="F254" i="11"/>
  <c r="G273" i="11"/>
  <c r="G283" i="11"/>
  <c r="M42" i="12"/>
  <c r="N93" i="10"/>
  <c r="K94" i="10"/>
  <c r="H95" i="10"/>
  <c r="E96" i="10"/>
  <c r="U96" i="10"/>
  <c r="R97" i="10"/>
  <c r="O98" i="10"/>
  <c r="L99" i="10"/>
  <c r="I100" i="10"/>
  <c r="F101" i="10"/>
  <c r="V101" i="10"/>
  <c r="S102" i="10"/>
  <c r="M104" i="10"/>
  <c r="J105" i="10"/>
  <c r="G106" i="10"/>
  <c r="D107" i="10"/>
  <c r="T107" i="10"/>
  <c r="Q108" i="10"/>
  <c r="N109" i="10"/>
  <c r="K110" i="10"/>
  <c r="H111" i="10"/>
  <c r="E112" i="10"/>
  <c r="U112" i="10"/>
  <c r="R113" i="10"/>
  <c r="O114" i="10"/>
  <c r="L115" i="10"/>
  <c r="V117" i="10"/>
  <c r="S118" i="10"/>
  <c r="F159" i="10"/>
  <c r="F198" i="10" s="1"/>
  <c r="V159" i="10"/>
  <c r="V198" i="10" s="1"/>
  <c r="J172" i="10"/>
  <c r="O259" i="10"/>
  <c r="L260" i="10"/>
  <c r="I261" i="10"/>
  <c r="F262" i="10"/>
  <c r="V262" i="10"/>
  <c r="S263" i="10"/>
  <c r="P264" i="10"/>
  <c r="M265" i="10"/>
  <c r="J266" i="10"/>
  <c r="G267" i="10"/>
  <c r="D268" i="10"/>
  <c r="T268" i="10"/>
  <c r="Q269" i="10"/>
  <c r="N270" i="10"/>
  <c r="H272" i="10"/>
  <c r="E273" i="10"/>
  <c r="U273" i="10"/>
  <c r="R274" i="10"/>
  <c r="R236" i="10"/>
  <c r="R275" i="10" s="1"/>
  <c r="R246" i="10"/>
  <c r="D262" i="10"/>
  <c r="L270" i="10"/>
  <c r="D98" i="11"/>
  <c r="D100" i="11"/>
  <c r="G185" i="11"/>
  <c r="E296" i="11"/>
  <c r="E268" i="11"/>
  <c r="E270" i="11"/>
  <c r="E272" i="11"/>
  <c r="E274" i="11"/>
  <c r="E276" i="11"/>
  <c r="E278" i="11"/>
  <c r="E280" i="11"/>
  <c r="E282" i="11"/>
  <c r="E284" i="11"/>
  <c r="E286" i="11"/>
  <c r="E288" i="11"/>
  <c r="E290" i="11"/>
  <c r="E292" i="11"/>
  <c r="E294" i="11"/>
  <c r="H254" i="11"/>
  <c r="E295" i="11"/>
  <c r="Q42" i="12"/>
  <c r="H159" i="12"/>
  <c r="H198" i="12" s="1"/>
  <c r="F159" i="12"/>
  <c r="G159" i="10"/>
  <c r="G198" i="10" s="1"/>
  <c r="G184" i="10"/>
  <c r="K188" i="10"/>
  <c r="H189" i="10"/>
  <c r="O192" i="10"/>
  <c r="D197" i="10"/>
  <c r="S246" i="10"/>
  <c r="V248" i="10"/>
  <c r="E98" i="11"/>
  <c r="K121" i="11"/>
  <c r="J182" i="11"/>
  <c r="J184" i="11"/>
  <c r="J186" i="11"/>
  <c r="J188" i="11"/>
  <c r="J190" i="11"/>
  <c r="J192" i="11"/>
  <c r="J194" i="11"/>
  <c r="J196" i="11"/>
  <c r="J198" i="11"/>
  <c r="J200" i="11"/>
  <c r="J202" i="11"/>
  <c r="J204" i="11"/>
  <c r="J206" i="11"/>
  <c r="J208" i="11"/>
  <c r="J210" i="11"/>
  <c r="J212" i="11"/>
  <c r="G211" i="11"/>
  <c r="E275" i="11"/>
  <c r="G295" i="11"/>
  <c r="J159" i="12"/>
  <c r="Q248" i="12"/>
  <c r="E252" i="12"/>
  <c r="L255" i="12"/>
  <c r="S258" i="12"/>
  <c r="V268" i="10"/>
  <c r="S269" i="10"/>
  <c r="P270" i="10"/>
  <c r="J272" i="10"/>
  <c r="G273" i="10"/>
  <c r="D274" i="10"/>
  <c r="T274" i="10"/>
  <c r="T236" i="10"/>
  <c r="T275" i="10" s="1"/>
  <c r="K111" i="11"/>
  <c r="G205" i="11"/>
  <c r="G275" i="11"/>
  <c r="G285" i="11"/>
  <c r="M91" i="12"/>
  <c r="M81" i="12"/>
  <c r="M120" i="12" s="1"/>
  <c r="F246" i="10"/>
  <c r="V246" i="10"/>
  <c r="S247" i="10"/>
  <c r="P248" i="10"/>
  <c r="M249" i="10"/>
  <c r="J250" i="10"/>
  <c r="G251" i="10"/>
  <c r="D252" i="10"/>
  <c r="T252" i="10"/>
  <c r="Q253" i="10"/>
  <c r="N254" i="10"/>
  <c r="K255" i="10"/>
  <c r="H256" i="10"/>
  <c r="E257" i="10"/>
  <c r="U257" i="10"/>
  <c r="U236" i="10"/>
  <c r="U275" i="10" s="1"/>
  <c r="H98" i="11"/>
  <c r="K107" i="11"/>
  <c r="K127" i="11"/>
  <c r="J171" i="11"/>
  <c r="G199" i="11"/>
  <c r="G265" i="11"/>
  <c r="D42" i="12"/>
  <c r="T247" i="12"/>
  <c r="T42" i="12"/>
  <c r="T276" i="12" s="1"/>
  <c r="N81" i="12"/>
  <c r="N120" i="12" s="1"/>
  <c r="F247" i="12"/>
  <c r="P249" i="12"/>
  <c r="M250" i="12"/>
  <c r="J251" i="12"/>
  <c r="G252" i="12"/>
  <c r="D253" i="12"/>
  <c r="T253" i="12"/>
  <c r="Q254" i="12"/>
  <c r="N255" i="12"/>
  <c r="K256" i="12"/>
  <c r="H257" i="12"/>
  <c r="E258" i="12"/>
  <c r="U258" i="12"/>
  <c r="S259" i="10"/>
  <c r="P260" i="10"/>
  <c r="M261" i="10"/>
  <c r="J262" i="10"/>
  <c r="G263" i="10"/>
  <c r="D264" i="10"/>
  <c r="T264" i="10"/>
  <c r="Q265" i="10"/>
  <c r="N266" i="10"/>
  <c r="K267" i="10"/>
  <c r="H268" i="10"/>
  <c r="E269" i="10"/>
  <c r="U269" i="10"/>
  <c r="R270" i="10"/>
  <c r="L272" i="10"/>
  <c r="I273" i="10"/>
  <c r="F274" i="10"/>
  <c r="V274" i="10"/>
  <c r="G193" i="11"/>
  <c r="E42" i="12"/>
  <c r="E198" i="12" s="1"/>
  <c r="U42" i="12"/>
  <c r="U276" i="12" s="1"/>
  <c r="O91" i="12"/>
  <c r="O81" i="12"/>
  <c r="L169" i="12"/>
  <c r="L159" i="12"/>
  <c r="L198" i="12" s="1"/>
  <c r="J81" i="12"/>
  <c r="G91" i="12"/>
  <c r="H96" i="12"/>
  <c r="K159" i="12"/>
  <c r="P169" i="12"/>
  <c r="J172" i="12"/>
  <c r="V184" i="12"/>
  <c r="E188" i="12"/>
  <c r="M192" i="12"/>
  <c r="O236" i="12"/>
  <c r="O276" i="12" s="1"/>
  <c r="P253" i="12"/>
  <c r="H261" i="12"/>
  <c r="D99" i="13"/>
  <c r="D101" i="13"/>
  <c r="D103" i="13"/>
  <c r="D105" i="13"/>
  <c r="D107" i="13"/>
  <c r="D109" i="13"/>
  <c r="D111" i="13"/>
  <c r="D113" i="13"/>
  <c r="D115" i="13"/>
  <c r="D117" i="13"/>
  <c r="D119" i="13"/>
  <c r="D121" i="13"/>
  <c r="D123" i="13"/>
  <c r="D125" i="13"/>
  <c r="D127" i="13"/>
  <c r="D88" i="13"/>
  <c r="K81" i="14"/>
  <c r="K120" i="14" s="1"/>
  <c r="I254" i="11"/>
  <c r="S42" i="12"/>
  <c r="L81" i="12"/>
  <c r="L120" i="12" s="1"/>
  <c r="F92" i="12"/>
  <c r="V92" i="12"/>
  <c r="S93" i="12"/>
  <c r="D174" i="12"/>
  <c r="P186" i="12"/>
  <c r="Q236" i="12"/>
  <c r="L249" i="12"/>
  <c r="G256" i="12"/>
  <c r="P269" i="12"/>
  <c r="H213" i="13"/>
  <c r="H209" i="13"/>
  <c r="K296" i="13"/>
  <c r="K255" i="13"/>
  <c r="D170" i="15"/>
  <c r="K183" i="11"/>
  <c r="J254" i="11"/>
  <c r="S169" i="12"/>
  <c r="H177" i="12"/>
  <c r="T183" i="12"/>
  <c r="I188" i="12"/>
  <c r="N260" i="12"/>
  <c r="K261" i="12"/>
  <c r="H262" i="12"/>
  <c r="E263" i="12"/>
  <c r="U263" i="12"/>
  <c r="R264" i="12"/>
  <c r="O265" i="12"/>
  <c r="L266" i="12"/>
  <c r="I267" i="12"/>
  <c r="F268" i="12"/>
  <c r="V268" i="12"/>
  <c r="S269" i="12"/>
  <c r="P270" i="12"/>
  <c r="M271" i="12"/>
  <c r="G273" i="12"/>
  <c r="D274" i="12"/>
  <c r="T274" i="12"/>
  <c r="Q275" i="12"/>
  <c r="F267" i="12"/>
  <c r="D46" i="13"/>
  <c r="D213" i="13" s="1"/>
  <c r="H183" i="13"/>
  <c r="I296" i="13"/>
  <c r="N91" i="14"/>
  <c r="N81" i="14"/>
  <c r="N120" i="14" s="1"/>
  <c r="K254" i="11"/>
  <c r="F112" i="12"/>
  <c r="V112" i="12"/>
  <c r="S113" i="12"/>
  <c r="P114" i="12"/>
  <c r="M115" i="12"/>
  <c r="G117" i="12"/>
  <c r="D118" i="12"/>
  <c r="T118" i="12"/>
  <c r="Q119" i="12"/>
  <c r="O169" i="12"/>
  <c r="O159" i="12"/>
  <c r="O198" i="12" s="1"/>
  <c r="L170" i="12"/>
  <c r="I171" i="12"/>
  <c r="F172" i="12"/>
  <c r="V172" i="12"/>
  <c r="S173" i="12"/>
  <c r="P174" i="12"/>
  <c r="M175" i="12"/>
  <c r="J176" i="12"/>
  <c r="G177" i="12"/>
  <c r="D178" i="12"/>
  <c r="T178" i="12"/>
  <c r="Q179" i="12"/>
  <c r="N180" i="12"/>
  <c r="U169" i="12"/>
  <c r="J171" i="12"/>
  <c r="Q175" i="12"/>
  <c r="K182" i="12"/>
  <c r="J188" i="12"/>
  <c r="T195" i="12"/>
  <c r="S247" i="12"/>
  <c r="P248" i="12"/>
  <c r="M249" i="12"/>
  <c r="J250" i="12"/>
  <c r="G251" i="12"/>
  <c r="D252" i="12"/>
  <c r="T252" i="12"/>
  <c r="Q253" i="12"/>
  <c r="N254" i="12"/>
  <c r="K255" i="12"/>
  <c r="H256" i="12"/>
  <c r="E257" i="12"/>
  <c r="U257" i="12"/>
  <c r="R258" i="12"/>
  <c r="V251" i="12"/>
  <c r="Q258" i="12"/>
  <c r="J213" i="13"/>
  <c r="J172" i="13"/>
  <c r="J296" i="13"/>
  <c r="F171" i="11"/>
  <c r="U178" i="12"/>
  <c r="L182" i="12"/>
  <c r="N185" i="12"/>
  <c r="V189" i="12"/>
  <c r="U195" i="12"/>
  <c r="P260" i="12"/>
  <c r="M261" i="12"/>
  <c r="J262" i="12"/>
  <c r="G263" i="12"/>
  <c r="D264" i="12"/>
  <c r="T264" i="12"/>
  <c r="Q265" i="12"/>
  <c r="N266" i="12"/>
  <c r="K267" i="12"/>
  <c r="H268" i="12"/>
  <c r="E269" i="12"/>
  <c r="U269" i="12"/>
  <c r="R270" i="12"/>
  <c r="O271" i="12"/>
  <c r="I273" i="12"/>
  <c r="F274" i="12"/>
  <c r="V274" i="12"/>
  <c r="S275" i="12"/>
  <c r="Q247" i="12"/>
  <c r="E262" i="12"/>
  <c r="R275" i="12"/>
  <c r="K172" i="13"/>
  <c r="K213" i="13"/>
  <c r="M81" i="14"/>
  <c r="M120" i="14" s="1"/>
  <c r="H99" i="11"/>
  <c r="D266" i="11"/>
  <c r="H112" i="12"/>
  <c r="E113" i="12"/>
  <c r="U113" i="12"/>
  <c r="R114" i="12"/>
  <c r="O115" i="12"/>
  <c r="I117" i="12"/>
  <c r="F118" i="12"/>
  <c r="V118" i="12"/>
  <c r="S119" i="12"/>
  <c r="O119" i="12"/>
  <c r="M182" i="12"/>
  <c r="J183" i="12"/>
  <c r="G184" i="12"/>
  <c r="D185" i="12"/>
  <c r="T185" i="12"/>
  <c r="Q186" i="12"/>
  <c r="N187" i="12"/>
  <c r="K188" i="12"/>
  <c r="H189" i="12"/>
  <c r="E190" i="12"/>
  <c r="U190" i="12"/>
  <c r="R191" i="12"/>
  <c r="O192" i="12"/>
  <c r="L193" i="12"/>
  <c r="F195" i="12"/>
  <c r="V195" i="12"/>
  <c r="S196" i="12"/>
  <c r="P197" i="12"/>
  <c r="D173" i="12"/>
  <c r="K177" i="12"/>
  <c r="D190" i="12"/>
  <c r="N197" i="12"/>
  <c r="E247" i="12"/>
  <c r="U247" i="12"/>
  <c r="R248" i="12"/>
  <c r="O249" i="12"/>
  <c r="L250" i="12"/>
  <c r="I251" i="12"/>
  <c r="F252" i="12"/>
  <c r="V252" i="12"/>
  <c r="S253" i="12"/>
  <c r="P254" i="12"/>
  <c r="M255" i="12"/>
  <c r="J256" i="12"/>
  <c r="G257" i="12"/>
  <c r="D258" i="12"/>
  <c r="T258" i="12"/>
  <c r="Q260" i="12"/>
  <c r="N261" i="12"/>
  <c r="K262" i="12"/>
  <c r="H263" i="12"/>
  <c r="E264" i="12"/>
  <c r="U264" i="12"/>
  <c r="R265" i="12"/>
  <c r="O266" i="12"/>
  <c r="L267" i="12"/>
  <c r="I268" i="12"/>
  <c r="F269" i="12"/>
  <c r="V269" i="12"/>
  <c r="S270" i="12"/>
  <c r="P271" i="12"/>
  <c r="J273" i="12"/>
  <c r="G274" i="12"/>
  <c r="D275" i="12"/>
  <c r="T275" i="12"/>
  <c r="R247" i="12"/>
  <c r="M254" i="12"/>
  <c r="E266" i="11"/>
  <c r="Q81" i="12"/>
  <c r="Q120" i="12" s="1"/>
  <c r="N91" i="12"/>
  <c r="O96" i="12"/>
  <c r="D105" i="12"/>
  <c r="Q106" i="12"/>
  <c r="K108" i="12"/>
  <c r="H109" i="12"/>
  <c r="U110" i="12"/>
  <c r="R159" i="12"/>
  <c r="R198" i="12" s="1"/>
  <c r="M171" i="12"/>
  <c r="O180" i="12"/>
  <c r="F184" i="12"/>
  <c r="F236" i="12"/>
  <c r="V236" i="12"/>
  <c r="V276" i="12" s="1"/>
  <c r="S236" i="12"/>
  <c r="S276" i="12" s="1"/>
  <c r="R260" i="12"/>
  <c r="O261" i="12"/>
  <c r="L262" i="12"/>
  <c r="I263" i="12"/>
  <c r="F264" i="12"/>
  <c r="V264" i="12"/>
  <c r="S265" i="12"/>
  <c r="P266" i="12"/>
  <c r="M267" i="12"/>
  <c r="J268" i="12"/>
  <c r="G269" i="12"/>
  <c r="D270" i="12"/>
  <c r="T270" i="12"/>
  <c r="Q271" i="12"/>
  <c r="K273" i="12"/>
  <c r="H274" i="12"/>
  <c r="E275" i="12"/>
  <c r="U275" i="12"/>
  <c r="H266" i="13"/>
  <c r="H99" i="13"/>
  <c r="H101" i="13"/>
  <c r="H268" i="13"/>
  <c r="H103" i="13"/>
  <c r="H270" i="13"/>
  <c r="H272" i="13"/>
  <c r="H105" i="13"/>
  <c r="H107" i="13"/>
  <c r="H274" i="13"/>
  <c r="H276" i="13"/>
  <c r="H109" i="13"/>
  <c r="H278" i="13"/>
  <c r="H111" i="13"/>
  <c r="H113" i="13"/>
  <c r="H280" i="13"/>
  <c r="H282" i="13"/>
  <c r="H115" i="13"/>
  <c r="H117" i="13"/>
  <c r="H284" i="13"/>
  <c r="H119" i="13"/>
  <c r="H286" i="13"/>
  <c r="H288" i="13"/>
  <c r="H121" i="13"/>
  <c r="H123" i="13"/>
  <c r="H290" i="13"/>
  <c r="H292" i="13"/>
  <c r="H125" i="13"/>
  <c r="H294" i="13"/>
  <c r="H127" i="13"/>
  <c r="H211" i="13"/>
  <c r="E182" i="13"/>
  <c r="E184" i="13"/>
  <c r="E186" i="13"/>
  <c r="E188" i="13"/>
  <c r="E190" i="13"/>
  <c r="E192" i="13"/>
  <c r="E196" i="13"/>
  <c r="E198" i="13"/>
  <c r="E200" i="13"/>
  <c r="H185" i="13"/>
  <c r="H193" i="13"/>
  <c r="H201" i="13"/>
  <c r="U111" i="12"/>
  <c r="I115" i="12"/>
  <c r="P118" i="12"/>
  <c r="O182" i="12"/>
  <c r="L183" i="12"/>
  <c r="I184" i="12"/>
  <c r="F185" i="12"/>
  <c r="V185" i="12"/>
  <c r="S186" i="12"/>
  <c r="P187" i="12"/>
  <c r="M188" i="12"/>
  <c r="J189" i="12"/>
  <c r="G190" i="12"/>
  <c r="D191" i="12"/>
  <c r="T191" i="12"/>
  <c r="Q192" i="12"/>
  <c r="N193" i="12"/>
  <c r="H195" i="12"/>
  <c r="E196" i="12"/>
  <c r="U196" i="12"/>
  <c r="R197" i="12"/>
  <c r="Q174" i="12"/>
  <c r="E179" i="12"/>
  <c r="G247" i="12"/>
  <c r="D248" i="12"/>
  <c r="T248" i="12"/>
  <c r="Q249" i="12"/>
  <c r="N250" i="12"/>
  <c r="K251" i="12"/>
  <c r="H252" i="12"/>
  <c r="E253" i="12"/>
  <c r="U253" i="12"/>
  <c r="R254" i="12"/>
  <c r="O255" i="12"/>
  <c r="L256" i="12"/>
  <c r="I257" i="12"/>
  <c r="F258" i="12"/>
  <c r="V258" i="12"/>
  <c r="V247" i="12"/>
  <c r="I250" i="12"/>
  <c r="D257" i="12"/>
  <c r="J42" i="12"/>
  <c r="M92" i="12"/>
  <c r="G94" i="12"/>
  <c r="K98" i="12"/>
  <c r="E100" i="12"/>
  <c r="R101" i="12"/>
  <c r="I114" i="12"/>
  <c r="D169" i="12"/>
  <c r="T169" i="12"/>
  <c r="Q170" i="12"/>
  <c r="N171" i="12"/>
  <c r="K172" i="12"/>
  <c r="H173" i="12"/>
  <c r="E174" i="12"/>
  <c r="U174" i="12"/>
  <c r="R175" i="12"/>
  <c r="O176" i="12"/>
  <c r="L177" i="12"/>
  <c r="I178" i="12"/>
  <c r="F179" i="12"/>
  <c r="V179" i="12"/>
  <c r="S180" i="12"/>
  <c r="G173" i="12"/>
  <c r="S185" i="12"/>
  <c r="K190" i="12"/>
  <c r="J193" i="12"/>
  <c r="H247" i="12"/>
  <c r="H236" i="12"/>
  <c r="H276" i="12" s="1"/>
  <c r="E248" i="12"/>
  <c r="U248" i="12"/>
  <c r="R249" i="12"/>
  <c r="O250" i="12"/>
  <c r="L236" i="12"/>
  <c r="L276" i="12" s="1"/>
  <c r="L251" i="12"/>
  <c r="I252" i="12"/>
  <c r="F253" i="12"/>
  <c r="V253" i="12"/>
  <c r="S254" i="12"/>
  <c r="P255" i="12"/>
  <c r="M256" i="12"/>
  <c r="J257" i="12"/>
  <c r="G258" i="12"/>
  <c r="D260" i="12"/>
  <c r="T260" i="12"/>
  <c r="Q261" i="12"/>
  <c r="N262" i="12"/>
  <c r="K263" i="12"/>
  <c r="H264" i="12"/>
  <c r="E265" i="12"/>
  <c r="U265" i="12"/>
  <c r="R266" i="12"/>
  <c r="O267" i="12"/>
  <c r="L268" i="12"/>
  <c r="I269" i="12"/>
  <c r="F270" i="12"/>
  <c r="V270" i="12"/>
  <c r="S271" i="12"/>
  <c r="M273" i="12"/>
  <c r="J274" i="12"/>
  <c r="G275" i="12"/>
  <c r="D236" i="12"/>
  <c r="D276" i="12" s="1"/>
  <c r="L265" i="12"/>
  <c r="K42" i="12"/>
  <c r="D81" i="12"/>
  <c r="D120" i="12" s="1"/>
  <c r="T81" i="12"/>
  <c r="J104" i="12"/>
  <c r="G105" i="12"/>
  <c r="D106" i="12"/>
  <c r="T106" i="12"/>
  <c r="Q107" i="12"/>
  <c r="N108" i="12"/>
  <c r="K109" i="12"/>
  <c r="H110" i="12"/>
  <c r="E111" i="12"/>
  <c r="K115" i="12"/>
  <c r="R118" i="12"/>
  <c r="Q182" i="12"/>
  <c r="N183" i="12"/>
  <c r="K184" i="12"/>
  <c r="H185" i="12"/>
  <c r="E186" i="12"/>
  <c r="U186" i="12"/>
  <c r="R187" i="12"/>
  <c r="O188" i="12"/>
  <c r="L189" i="12"/>
  <c r="I190" i="12"/>
  <c r="F191" i="12"/>
  <c r="V191" i="12"/>
  <c r="S192" i="12"/>
  <c r="P193" i="12"/>
  <c r="J195" i="12"/>
  <c r="G196" i="12"/>
  <c r="D197" i="12"/>
  <c r="T197" i="12"/>
  <c r="E169" i="12"/>
  <c r="M170" i="12"/>
  <c r="R180" i="12"/>
  <c r="I247" i="12"/>
  <c r="F248" i="12"/>
  <c r="V248" i="12"/>
  <c r="S249" i="12"/>
  <c r="P250" i="12"/>
  <c r="M251" i="12"/>
  <c r="J252" i="12"/>
  <c r="G253" i="12"/>
  <c r="D254" i="12"/>
  <c r="T254" i="12"/>
  <c r="Q255" i="12"/>
  <c r="N256" i="12"/>
  <c r="K257" i="12"/>
  <c r="H258" i="12"/>
  <c r="E260" i="12"/>
  <c r="U260" i="12"/>
  <c r="R261" i="12"/>
  <c r="O262" i="12"/>
  <c r="L263" i="12"/>
  <c r="I264" i="12"/>
  <c r="F265" i="12"/>
  <c r="V265" i="12"/>
  <c r="S266" i="12"/>
  <c r="P267" i="12"/>
  <c r="M268" i="12"/>
  <c r="J269" i="12"/>
  <c r="G270" i="12"/>
  <c r="D271" i="12"/>
  <c r="T271" i="12"/>
  <c r="N273" i="12"/>
  <c r="K274" i="12"/>
  <c r="H275" i="12"/>
  <c r="E236" i="12"/>
  <c r="E276" i="12" s="1"/>
  <c r="S252" i="12"/>
  <c r="G268" i="12"/>
  <c r="O92" i="12"/>
  <c r="F95" i="12"/>
  <c r="J99" i="12"/>
  <c r="T101" i="12"/>
  <c r="F169" i="12"/>
  <c r="V169" i="12"/>
  <c r="S170" i="12"/>
  <c r="P171" i="12"/>
  <c r="M172" i="12"/>
  <c r="J173" i="12"/>
  <c r="G174" i="12"/>
  <c r="D175" i="12"/>
  <c r="T175" i="12"/>
  <c r="Q176" i="12"/>
  <c r="N177" i="12"/>
  <c r="K178" i="12"/>
  <c r="H179" i="12"/>
  <c r="E180" i="12"/>
  <c r="U180" i="12"/>
  <c r="R182" i="12"/>
  <c r="O183" i="12"/>
  <c r="L184" i="12"/>
  <c r="I185" i="12"/>
  <c r="F186" i="12"/>
  <c r="V186" i="12"/>
  <c r="S187" i="12"/>
  <c r="P188" i="12"/>
  <c r="M189" i="12"/>
  <c r="J190" i="12"/>
  <c r="G191" i="12"/>
  <c r="D192" i="12"/>
  <c r="T192" i="12"/>
  <c r="Q193" i="12"/>
  <c r="K195" i="12"/>
  <c r="H196" i="12"/>
  <c r="E197" i="12"/>
  <c r="U197" i="12"/>
  <c r="T174" i="12"/>
  <c r="M187" i="12"/>
  <c r="D195" i="12"/>
  <c r="J236" i="12"/>
  <c r="J276" i="12" s="1"/>
  <c r="G98" i="13"/>
  <c r="G88" i="13"/>
  <c r="I182" i="13"/>
  <c r="I171" i="13"/>
  <c r="H187" i="13"/>
  <c r="H195" i="13"/>
  <c r="H203" i="13"/>
  <c r="D254" i="13"/>
  <c r="D265" i="13"/>
  <c r="P92" i="12"/>
  <c r="N98" i="12"/>
  <c r="I105" i="12"/>
  <c r="G111" i="12"/>
  <c r="L114" i="12"/>
  <c r="N115" i="12"/>
  <c r="S117" i="12"/>
  <c r="G159" i="12"/>
  <c r="G198" i="12" s="1"/>
  <c r="K247" i="12"/>
  <c r="K236" i="12"/>
  <c r="K276" i="12" s="1"/>
  <c r="H248" i="12"/>
  <c r="E249" i="12"/>
  <c r="U249" i="12"/>
  <c r="R250" i="12"/>
  <c r="O251" i="12"/>
  <c r="L252" i="12"/>
  <c r="I253" i="12"/>
  <c r="F254" i="12"/>
  <c r="V254" i="12"/>
  <c r="S255" i="12"/>
  <c r="P256" i="12"/>
  <c r="M257" i="12"/>
  <c r="J258" i="12"/>
  <c r="G260" i="12"/>
  <c r="D261" i="12"/>
  <c r="T261" i="12"/>
  <c r="Q262" i="12"/>
  <c r="N263" i="12"/>
  <c r="K264" i="12"/>
  <c r="H265" i="12"/>
  <c r="E266" i="12"/>
  <c r="U266" i="12"/>
  <c r="R267" i="12"/>
  <c r="O268" i="12"/>
  <c r="L269" i="12"/>
  <c r="I270" i="12"/>
  <c r="F271" i="12"/>
  <c r="V271" i="12"/>
  <c r="P273" i="12"/>
  <c r="M274" i="12"/>
  <c r="J275" i="12"/>
  <c r="I236" i="12"/>
  <c r="I276" i="12" s="1"/>
  <c r="E98" i="13"/>
  <c r="E46" i="13"/>
  <c r="E129" i="13" s="1"/>
  <c r="E126" i="13"/>
  <c r="E210" i="13"/>
  <c r="H129" i="13"/>
  <c r="H89" i="13"/>
  <c r="H169" i="12"/>
  <c r="E170" i="12"/>
  <c r="U170" i="12"/>
  <c r="R171" i="12"/>
  <c r="O172" i="12"/>
  <c r="L173" i="12"/>
  <c r="I174" i="12"/>
  <c r="F175" i="12"/>
  <c r="V175" i="12"/>
  <c r="S176" i="12"/>
  <c r="P177" i="12"/>
  <c r="M178" i="12"/>
  <c r="J179" i="12"/>
  <c r="G180" i="12"/>
  <c r="D159" i="12"/>
  <c r="D198" i="12" s="1"/>
  <c r="Q196" i="12"/>
  <c r="L247" i="12"/>
  <c r="I248" i="12"/>
  <c r="F249" i="12"/>
  <c r="V249" i="12"/>
  <c r="S250" i="12"/>
  <c r="P251" i="12"/>
  <c r="M252" i="12"/>
  <c r="J253" i="12"/>
  <c r="G254" i="12"/>
  <c r="D255" i="12"/>
  <c r="T255" i="12"/>
  <c r="Q256" i="12"/>
  <c r="N257" i="12"/>
  <c r="K258" i="12"/>
  <c r="S268" i="12"/>
  <c r="F255" i="13"/>
  <c r="E81" i="14"/>
  <c r="I169" i="12"/>
  <c r="I159" i="12"/>
  <c r="D176" i="12"/>
  <c r="T176" i="12"/>
  <c r="Q177" i="12"/>
  <c r="N178" i="12"/>
  <c r="K179" i="12"/>
  <c r="H180" i="12"/>
  <c r="E182" i="12"/>
  <c r="U182" i="12"/>
  <c r="R183" i="12"/>
  <c r="O184" i="12"/>
  <c r="L185" i="12"/>
  <c r="I186" i="12"/>
  <c r="F187" i="12"/>
  <c r="V187" i="12"/>
  <c r="S188" i="12"/>
  <c r="P189" i="12"/>
  <c r="M190" i="12"/>
  <c r="J191" i="12"/>
  <c r="G192" i="12"/>
  <c r="D193" i="12"/>
  <c r="T193" i="12"/>
  <c r="N195" i="12"/>
  <c r="K196" i="12"/>
  <c r="H197" i="12"/>
  <c r="M247" i="12"/>
  <c r="J248" i="12"/>
  <c r="G249" i="12"/>
  <c r="D250" i="12"/>
  <c r="T250" i="12"/>
  <c r="Q251" i="12"/>
  <c r="N252" i="12"/>
  <c r="K253" i="12"/>
  <c r="H254" i="12"/>
  <c r="E255" i="12"/>
  <c r="U255" i="12"/>
  <c r="R256" i="12"/>
  <c r="O257" i="12"/>
  <c r="L258" i="12"/>
  <c r="I260" i="12"/>
  <c r="F261" i="12"/>
  <c r="V261" i="12"/>
  <c r="S262" i="12"/>
  <c r="P263" i="12"/>
  <c r="M264" i="12"/>
  <c r="J265" i="12"/>
  <c r="G266" i="12"/>
  <c r="D267" i="12"/>
  <c r="T267" i="12"/>
  <c r="Q268" i="12"/>
  <c r="N269" i="12"/>
  <c r="K270" i="12"/>
  <c r="H271" i="12"/>
  <c r="U272" i="12"/>
  <c r="R273" i="12"/>
  <c r="O274" i="12"/>
  <c r="L275" i="12"/>
  <c r="R236" i="12"/>
  <c r="R276" i="12" s="1"/>
  <c r="S248" i="12"/>
  <c r="J129" i="13"/>
  <c r="J89" i="13"/>
  <c r="D211" i="13"/>
  <c r="F81" i="14"/>
  <c r="F120" i="14" s="1"/>
  <c r="V81" i="14"/>
  <c r="L81" i="14"/>
  <c r="L120" i="14" s="1"/>
  <c r="I88" i="13"/>
  <c r="H118" i="13"/>
  <c r="H120" i="13"/>
  <c r="H122" i="13"/>
  <c r="H124" i="13"/>
  <c r="H126" i="13"/>
  <c r="H128" i="13"/>
  <c r="K266" i="13"/>
  <c r="J279" i="13"/>
  <c r="J295" i="13"/>
  <c r="L42" i="14"/>
  <c r="I81" i="14"/>
  <c r="Q91" i="14"/>
  <c r="T179" i="14"/>
  <c r="E261" i="14"/>
  <c r="R262" i="14"/>
  <c r="S267" i="14"/>
  <c r="M269" i="14"/>
  <c r="H264" i="15"/>
  <c r="H45" i="15"/>
  <c r="H181" i="15"/>
  <c r="H97" i="15"/>
  <c r="H187" i="15"/>
  <c r="H270" i="15"/>
  <c r="H103" i="15"/>
  <c r="H272" i="15"/>
  <c r="H189" i="15"/>
  <c r="H274" i="15"/>
  <c r="H191" i="15"/>
  <c r="H195" i="15"/>
  <c r="H278" i="15"/>
  <c r="H280" i="15"/>
  <c r="H197" i="15"/>
  <c r="H282" i="15"/>
  <c r="H199" i="15"/>
  <c r="H115" i="15"/>
  <c r="H284" i="15"/>
  <c r="H201" i="15"/>
  <c r="H288" i="15"/>
  <c r="H205" i="15"/>
  <c r="H292" i="15"/>
  <c r="H125" i="15"/>
  <c r="H209" i="15"/>
  <c r="F283" i="13"/>
  <c r="M42" i="14"/>
  <c r="M91" i="14"/>
  <c r="O168" i="14"/>
  <c r="L169" i="14"/>
  <c r="I170" i="14"/>
  <c r="F171" i="14"/>
  <c r="V171" i="14"/>
  <c r="P173" i="14"/>
  <c r="J175" i="14"/>
  <c r="D177" i="14"/>
  <c r="T177" i="14"/>
  <c r="Q178" i="14"/>
  <c r="N179" i="14"/>
  <c r="U169" i="14"/>
  <c r="D295" i="15"/>
  <c r="D254" i="15"/>
  <c r="I205" i="13"/>
  <c r="E265" i="13"/>
  <c r="E267" i="13"/>
  <c r="E269" i="13"/>
  <c r="E271" i="13"/>
  <c r="E273" i="13"/>
  <c r="E275" i="13"/>
  <c r="E279" i="13"/>
  <c r="E281" i="13"/>
  <c r="E283" i="13"/>
  <c r="E285" i="13"/>
  <c r="E287" i="13"/>
  <c r="E289" i="13"/>
  <c r="E291" i="13"/>
  <c r="E293" i="13"/>
  <c r="E295" i="13"/>
  <c r="I255" i="13"/>
  <c r="F293" i="13"/>
  <c r="O42" i="14"/>
  <c r="Q42" i="14"/>
  <c r="O91" i="14"/>
  <c r="L92" i="14"/>
  <c r="I93" i="14"/>
  <c r="F94" i="14"/>
  <c r="V94" i="14"/>
  <c r="P96" i="14"/>
  <c r="M97" i="14"/>
  <c r="J98" i="14"/>
  <c r="G99" i="14"/>
  <c r="D100" i="14"/>
  <c r="T100" i="14"/>
  <c r="Q101" i="14"/>
  <c r="N102" i="14"/>
  <c r="Q159" i="14"/>
  <c r="N169" i="14"/>
  <c r="K170" i="14"/>
  <c r="H171" i="14"/>
  <c r="R173" i="14"/>
  <c r="O174" i="14"/>
  <c r="L175" i="14"/>
  <c r="F177" i="14"/>
  <c r="S178" i="14"/>
  <c r="P179" i="14"/>
  <c r="L181" i="14"/>
  <c r="I182" i="14"/>
  <c r="F183" i="14"/>
  <c r="S184" i="14"/>
  <c r="P185" i="14"/>
  <c r="M186" i="14"/>
  <c r="J187" i="14"/>
  <c r="Q190" i="14"/>
  <c r="N191" i="14"/>
  <c r="K192" i="14"/>
  <c r="E194" i="14"/>
  <c r="U194" i="14"/>
  <c r="Q181" i="14"/>
  <c r="F235" i="14"/>
  <c r="F274" i="14" s="1"/>
  <c r="V235" i="14"/>
  <c r="N259" i="14"/>
  <c r="K260" i="14"/>
  <c r="H261" i="14"/>
  <c r="E262" i="14"/>
  <c r="U262" i="14"/>
  <c r="O264" i="14"/>
  <c r="F267" i="14"/>
  <c r="V267" i="14"/>
  <c r="S268" i="14"/>
  <c r="P269" i="14"/>
  <c r="J271" i="14"/>
  <c r="D273" i="14"/>
  <c r="F46" i="13"/>
  <c r="J183" i="13"/>
  <c r="J255" i="13"/>
  <c r="H293" i="13"/>
  <c r="P42" i="14"/>
  <c r="P81" i="14"/>
  <c r="I110" i="14"/>
  <c r="V111" i="14"/>
  <c r="P113" i="14"/>
  <c r="M114" i="14"/>
  <c r="D117" i="14"/>
  <c r="Q118" i="14"/>
  <c r="E92" i="14"/>
  <c r="I171" i="14"/>
  <c r="S173" i="14"/>
  <c r="D178" i="14"/>
  <c r="Q179" i="14"/>
  <c r="M181" i="14"/>
  <c r="J182" i="14"/>
  <c r="N186" i="14"/>
  <c r="K187" i="14"/>
  <c r="R190" i="14"/>
  <c r="F194" i="14"/>
  <c r="K175" i="14"/>
  <c r="T235" i="14"/>
  <c r="T274" i="14" s="1"/>
  <c r="E99" i="13"/>
  <c r="K183" i="13"/>
  <c r="F212" i="13"/>
  <c r="G265" i="13"/>
  <c r="G267" i="13"/>
  <c r="G269" i="13"/>
  <c r="G271" i="13"/>
  <c r="G273" i="13"/>
  <c r="G275" i="13"/>
  <c r="G279" i="13"/>
  <c r="G281" i="13"/>
  <c r="G283" i="13"/>
  <c r="G285" i="13"/>
  <c r="G287" i="13"/>
  <c r="G289" i="13"/>
  <c r="G291" i="13"/>
  <c r="G293" i="13"/>
  <c r="G295" i="13"/>
  <c r="F271" i="13"/>
  <c r="F287" i="13"/>
  <c r="T184" i="14"/>
  <c r="T261" i="14"/>
  <c r="Q185" i="14"/>
  <c r="Q262" i="14"/>
  <c r="O191" i="14"/>
  <c r="O268" i="14"/>
  <c r="S272" i="14"/>
  <c r="S195" i="14"/>
  <c r="Q81" i="14"/>
  <c r="Q113" i="14"/>
  <c r="N114" i="14"/>
  <c r="K115" i="14"/>
  <c r="U117" i="14"/>
  <c r="F92" i="14"/>
  <c r="K113" i="14"/>
  <c r="K182" i="14"/>
  <c r="H183" i="14"/>
  <c r="L187" i="14"/>
  <c r="I188" i="14"/>
  <c r="P191" i="14"/>
  <c r="G194" i="14"/>
  <c r="D195" i="14"/>
  <c r="H245" i="14"/>
  <c r="E246" i="14"/>
  <c r="U235" i="14"/>
  <c r="U274" i="14" s="1"/>
  <c r="O248" i="14"/>
  <c r="I250" i="14"/>
  <c r="F251" i="14"/>
  <c r="V251" i="14"/>
  <c r="P253" i="14"/>
  <c r="J255" i="14"/>
  <c r="G256" i="14"/>
  <c r="E171" i="13"/>
  <c r="J277" i="13"/>
  <c r="J293" i="13"/>
  <c r="R168" i="14"/>
  <c r="R42" i="14"/>
  <c r="R120" i="14" s="1"/>
  <c r="O169" i="14"/>
  <c r="O246" i="14"/>
  <c r="P251" i="14"/>
  <c r="P174" i="14"/>
  <c r="N258" i="14"/>
  <c r="N181" i="14"/>
  <c r="U184" i="14"/>
  <c r="U261" i="14"/>
  <c r="O263" i="14"/>
  <c r="O186" i="14"/>
  <c r="T272" i="14"/>
  <c r="T195" i="14"/>
  <c r="M104" i="14"/>
  <c r="J105" i="14"/>
  <c r="G106" i="14"/>
  <c r="D107" i="14"/>
  <c r="T107" i="14"/>
  <c r="R113" i="14"/>
  <c r="O114" i="14"/>
  <c r="L115" i="14"/>
  <c r="S118" i="14"/>
  <c r="S81" i="14"/>
  <c r="S120" i="14" s="1"/>
  <c r="K98" i="14"/>
  <c r="E100" i="14"/>
  <c r="I235" i="14"/>
  <c r="F246" i="14"/>
  <c r="V246" i="14"/>
  <c r="P248" i="14"/>
  <c r="G251" i="14"/>
  <c r="D252" i="14"/>
  <c r="Q253" i="14"/>
  <c r="N254" i="14"/>
  <c r="K255" i="14"/>
  <c r="H256" i="14"/>
  <c r="D258" i="14"/>
  <c r="T258" i="14"/>
  <c r="Q259" i="14"/>
  <c r="N260" i="14"/>
  <c r="K261" i="14"/>
  <c r="H262" i="14"/>
  <c r="E263" i="14"/>
  <c r="R264" i="14"/>
  <c r="I267" i="14"/>
  <c r="F268" i="14"/>
  <c r="S269" i="14"/>
  <c r="M271" i="14"/>
  <c r="J272" i="14"/>
  <c r="G273" i="14"/>
  <c r="K235" i="14"/>
  <c r="K274" i="14" s="1"/>
  <c r="M252" i="14"/>
  <c r="I295" i="15"/>
  <c r="N236" i="12"/>
  <c r="N276" i="12" s="1"/>
  <c r="I46" i="13"/>
  <c r="I47" i="13" s="1"/>
  <c r="F171" i="13"/>
  <c r="F265" i="13"/>
  <c r="F281" i="13"/>
  <c r="V42" i="14"/>
  <c r="N104" i="14"/>
  <c r="K105" i="14"/>
  <c r="H106" i="14"/>
  <c r="E107" i="14"/>
  <c r="U107" i="14"/>
  <c r="R108" i="14"/>
  <c r="S113" i="14"/>
  <c r="P114" i="14"/>
  <c r="M115" i="14"/>
  <c r="G117" i="14"/>
  <c r="T81" i="14"/>
  <c r="T120" i="14" s="1"/>
  <c r="E159" i="14"/>
  <c r="E197" i="14" s="1"/>
  <c r="U168" i="14"/>
  <c r="R169" i="14"/>
  <c r="V173" i="14"/>
  <c r="S174" i="14"/>
  <c r="M176" i="14"/>
  <c r="J245" i="14"/>
  <c r="G246" i="14"/>
  <c r="Q248" i="14"/>
  <c r="K250" i="14"/>
  <c r="H251" i="14"/>
  <c r="L255" i="14"/>
  <c r="E258" i="14"/>
  <c r="O260" i="14"/>
  <c r="I262" i="14"/>
  <c r="F263" i="14"/>
  <c r="J267" i="14"/>
  <c r="D269" i="14"/>
  <c r="T269" i="14"/>
  <c r="N271" i="14"/>
  <c r="G209" i="13"/>
  <c r="G211" i="13"/>
  <c r="G171" i="13"/>
  <c r="H265" i="13"/>
  <c r="U81" i="14"/>
  <c r="U120" i="14" s="1"/>
  <c r="F168" i="14"/>
  <c r="F159" i="14"/>
  <c r="F197" i="14" s="1"/>
  <c r="V168" i="14"/>
  <c r="V159" i="14"/>
  <c r="S169" i="14"/>
  <c r="S159" i="14"/>
  <c r="S197" i="14" s="1"/>
  <c r="N182" i="14"/>
  <c r="H184" i="14"/>
  <c r="E185" i="14"/>
  <c r="U185" i="14"/>
  <c r="R186" i="14"/>
  <c r="O187" i="14"/>
  <c r="F190" i="14"/>
  <c r="P192" i="14"/>
  <c r="J194" i="14"/>
  <c r="G195" i="14"/>
  <c r="D196" i="14"/>
  <c r="F258" i="14"/>
  <c r="G263" i="14"/>
  <c r="T264" i="14"/>
  <c r="U269" i="14"/>
  <c r="O271" i="14"/>
  <c r="H273" i="14"/>
  <c r="F275" i="13"/>
  <c r="F291" i="13"/>
  <c r="F250" i="14"/>
  <c r="F173" i="14"/>
  <c r="G255" i="14"/>
  <c r="G178" i="14"/>
  <c r="E91" i="14"/>
  <c r="U91" i="14"/>
  <c r="R92" i="14"/>
  <c r="L94" i="14"/>
  <c r="F96" i="14"/>
  <c r="V96" i="14"/>
  <c r="S97" i="14"/>
  <c r="M99" i="14"/>
  <c r="J100" i="14"/>
  <c r="G101" i="14"/>
  <c r="D102" i="14"/>
  <c r="T102" i="14"/>
  <c r="K106" i="14"/>
  <c r="G168" i="14"/>
  <c r="D159" i="14"/>
  <c r="D197" i="14" s="1"/>
  <c r="T169" i="14"/>
  <c r="T159" i="14"/>
  <c r="T197" i="14" s="1"/>
  <c r="N171" i="14"/>
  <c r="H173" i="14"/>
  <c r="E174" i="14"/>
  <c r="U174" i="14"/>
  <c r="O176" i="14"/>
  <c r="L177" i="14"/>
  <c r="I178" i="14"/>
  <c r="F179" i="14"/>
  <c r="V179" i="14"/>
  <c r="L247" i="14"/>
  <c r="I211" i="13"/>
  <c r="D266" i="13"/>
  <c r="D268" i="13"/>
  <c r="D270" i="13"/>
  <c r="D272" i="13"/>
  <c r="D274" i="13"/>
  <c r="D276" i="13"/>
  <c r="D278" i="13"/>
  <c r="D280" i="13"/>
  <c r="D282" i="13"/>
  <c r="D284" i="13"/>
  <c r="D286" i="13"/>
  <c r="D288" i="13"/>
  <c r="D290" i="13"/>
  <c r="D292" i="13"/>
  <c r="D294" i="13"/>
  <c r="L110" i="14"/>
  <c r="U115" i="14"/>
  <c r="H159" i="14"/>
  <c r="E169" i="14"/>
  <c r="U159" i="14"/>
  <c r="U197" i="14" s="1"/>
  <c r="O171" i="14"/>
  <c r="I173" i="14"/>
  <c r="F174" i="14"/>
  <c r="V174" i="14"/>
  <c r="P176" i="14"/>
  <c r="M177" i="14"/>
  <c r="J178" i="14"/>
  <c r="G179" i="14"/>
  <c r="S181" i="14"/>
  <c r="P182" i="14"/>
  <c r="J184" i="14"/>
  <c r="D186" i="14"/>
  <c r="T186" i="14"/>
  <c r="Q187" i="14"/>
  <c r="H190" i="14"/>
  <c r="E191" i="14"/>
  <c r="L194" i="14"/>
  <c r="I195" i="14"/>
  <c r="F196" i="14"/>
  <c r="G177" i="14"/>
  <c r="R195" i="14"/>
  <c r="E254" i="13"/>
  <c r="F269" i="13"/>
  <c r="F285" i="13"/>
  <c r="G81" i="14"/>
  <c r="G120" i="14" s="1"/>
  <c r="D92" i="14"/>
  <c r="T92" i="14"/>
  <c r="N94" i="14"/>
  <c r="H96" i="14"/>
  <c r="E97" i="14"/>
  <c r="U97" i="14"/>
  <c r="O99" i="14"/>
  <c r="L100" i="14"/>
  <c r="I101" i="14"/>
  <c r="F102" i="14"/>
  <c r="V102" i="14"/>
  <c r="M100" i="14"/>
  <c r="I168" i="14"/>
  <c r="V169" i="14"/>
  <c r="P171" i="14"/>
  <c r="J173" i="14"/>
  <c r="G174" i="14"/>
  <c r="D175" i="14"/>
  <c r="Q176" i="14"/>
  <c r="N177" i="14"/>
  <c r="K178" i="14"/>
  <c r="H179" i="14"/>
  <c r="D181" i="14"/>
  <c r="T181" i="14"/>
  <c r="Q182" i="14"/>
  <c r="N183" i="14"/>
  <c r="H185" i="14"/>
  <c r="U186" i="14"/>
  <c r="R187" i="14"/>
  <c r="I190" i="14"/>
  <c r="F191" i="14"/>
  <c r="V191" i="14"/>
  <c r="S192" i="14"/>
  <c r="M194" i="14"/>
  <c r="J195" i="14"/>
  <c r="G196" i="14"/>
  <c r="G197" i="14"/>
  <c r="N235" i="14"/>
  <c r="N274" i="14" s="1"/>
  <c r="N245" i="14"/>
  <c r="H247" i="14"/>
  <c r="H235" i="14"/>
  <c r="F295" i="15"/>
  <c r="J192" i="13"/>
  <c r="J202" i="13"/>
  <c r="J208" i="13"/>
  <c r="G254" i="13"/>
  <c r="H42" i="14"/>
  <c r="H81" i="14"/>
  <c r="S104" i="14"/>
  <c r="P105" i="14"/>
  <c r="M106" i="14"/>
  <c r="J107" i="14"/>
  <c r="T109" i="14"/>
  <c r="L117" i="14"/>
  <c r="I118" i="14"/>
  <c r="F119" i="14"/>
  <c r="K173" i="14"/>
  <c r="O177" i="14"/>
  <c r="L178" i="14"/>
  <c r="I179" i="14"/>
  <c r="E181" i="14"/>
  <c r="U181" i="14"/>
  <c r="F186" i="14"/>
  <c r="S187" i="14"/>
  <c r="J190" i="14"/>
  <c r="G191" i="14"/>
  <c r="N194" i="14"/>
  <c r="J159" i="14"/>
  <c r="L235" i="14"/>
  <c r="I247" i="14"/>
  <c r="F248" i="14"/>
  <c r="V248" i="14"/>
  <c r="P250" i="14"/>
  <c r="J252" i="14"/>
  <c r="G253" i="14"/>
  <c r="D254" i="14"/>
  <c r="T254" i="14"/>
  <c r="Q255" i="14"/>
  <c r="L248" i="14"/>
  <c r="F171" i="15"/>
  <c r="G266" i="13"/>
  <c r="G268" i="13"/>
  <c r="G270" i="13"/>
  <c r="G272" i="13"/>
  <c r="G274" i="13"/>
  <c r="G276" i="13"/>
  <c r="G278" i="13"/>
  <c r="G280" i="13"/>
  <c r="G282" i="13"/>
  <c r="G284" i="13"/>
  <c r="G286" i="13"/>
  <c r="G288" i="13"/>
  <c r="G290" i="13"/>
  <c r="G292" i="13"/>
  <c r="G294" i="13"/>
  <c r="F279" i="13"/>
  <c r="F295" i="13"/>
  <c r="I42" i="14"/>
  <c r="I245" i="14"/>
  <c r="L261" i="14"/>
  <c r="L184" i="14"/>
  <c r="V263" i="14"/>
  <c r="V186" i="14"/>
  <c r="P265" i="14"/>
  <c r="P188" i="14"/>
  <c r="K195" i="14"/>
  <c r="K272" i="14"/>
  <c r="E42" i="14"/>
  <c r="E274" i="14" s="1"/>
  <c r="D104" i="14"/>
  <c r="T104" i="14"/>
  <c r="Q105" i="14"/>
  <c r="N106" i="14"/>
  <c r="K107" i="14"/>
  <c r="H108" i="14"/>
  <c r="R110" i="14"/>
  <c r="I113" i="14"/>
  <c r="M117" i="14"/>
  <c r="J118" i="14"/>
  <c r="G119" i="14"/>
  <c r="D81" i="14"/>
  <c r="D120" i="14" s="1"/>
  <c r="D118" i="14"/>
  <c r="F181" i="14"/>
  <c r="V181" i="14"/>
  <c r="S182" i="14"/>
  <c r="D187" i="14"/>
  <c r="T187" i="14"/>
  <c r="K190" i="14"/>
  <c r="H191" i="14"/>
  <c r="O194" i="14"/>
  <c r="E168" i="14"/>
  <c r="P245" i="14"/>
  <c r="M235" i="14"/>
  <c r="M274" i="14" s="1"/>
  <c r="G248" i="14"/>
  <c r="Q250" i="14"/>
  <c r="N251" i="14"/>
  <c r="H253" i="14"/>
  <c r="E254" i="14"/>
  <c r="U254" i="14"/>
  <c r="R255" i="14"/>
  <c r="O256" i="14"/>
  <c r="K258" i="14"/>
  <c r="H259" i="14"/>
  <c r="E260" i="14"/>
  <c r="R261" i="14"/>
  <c r="O262" i="14"/>
  <c r="I264" i="14"/>
  <c r="M268" i="14"/>
  <c r="J269" i="14"/>
  <c r="T271" i="14"/>
  <c r="Q272" i="14"/>
  <c r="R259" i="14"/>
  <c r="E269" i="14"/>
  <c r="F122" i="13"/>
  <c r="J42" i="14"/>
  <c r="J168" i="14"/>
  <c r="E175" i="14"/>
  <c r="E252" i="14"/>
  <c r="R176" i="14"/>
  <c r="R253" i="14"/>
  <c r="P183" i="14"/>
  <c r="P260" i="14"/>
  <c r="M261" i="14"/>
  <c r="M184" i="14"/>
  <c r="J262" i="14"/>
  <c r="J185" i="14"/>
  <c r="Q265" i="14"/>
  <c r="Q188" i="14"/>
  <c r="L195" i="14"/>
  <c r="L272" i="14"/>
  <c r="I196" i="14"/>
  <c r="I273" i="14"/>
  <c r="J81" i="14"/>
  <c r="L168" i="14"/>
  <c r="L159" i="14"/>
  <c r="L197" i="14" s="1"/>
  <c r="H168" i="14"/>
  <c r="Q245" i="14"/>
  <c r="N246" i="14"/>
  <c r="K247" i="14"/>
  <c r="H248" i="14"/>
  <c r="R250" i="14"/>
  <c r="O251" i="14"/>
  <c r="L252" i="14"/>
  <c r="I253" i="14"/>
  <c r="F254" i="14"/>
  <c r="V254" i="14"/>
  <c r="S255" i="14"/>
  <c r="L258" i="14"/>
  <c r="I259" i="14"/>
  <c r="F260" i="14"/>
  <c r="P262" i="14"/>
  <c r="M263" i="14"/>
  <c r="J264" i="14"/>
  <c r="Q267" i="14"/>
  <c r="N268" i="14"/>
  <c r="K269" i="14"/>
  <c r="E271" i="14"/>
  <c r="U271" i="14"/>
  <c r="I88" i="15"/>
  <c r="H113" i="15"/>
  <c r="F104" i="14"/>
  <c r="V104" i="14"/>
  <c r="S105" i="14"/>
  <c r="P106" i="14"/>
  <c r="M107" i="14"/>
  <c r="J108" i="14"/>
  <c r="G109" i="14"/>
  <c r="D110" i="14"/>
  <c r="H114" i="14"/>
  <c r="E115" i="14"/>
  <c r="I119" i="14"/>
  <c r="P91" i="14"/>
  <c r="M168" i="14"/>
  <c r="D169" i="14"/>
  <c r="R245" i="14"/>
  <c r="S250" i="14"/>
  <c r="J253" i="14"/>
  <c r="D255" i="14"/>
  <c r="T255" i="14"/>
  <c r="M258" i="14"/>
  <c r="G260" i="14"/>
  <c r="D261" i="14"/>
  <c r="H265" i="14"/>
  <c r="R267" i="14"/>
  <c r="L269" i="14"/>
  <c r="V271" i="14"/>
  <c r="K253" i="14"/>
  <c r="F264" i="15"/>
  <c r="F45" i="15"/>
  <c r="F46" i="15" s="1"/>
  <c r="F113" i="15"/>
  <c r="J170" i="15"/>
  <c r="J181" i="15"/>
  <c r="F191" i="15"/>
  <c r="G198" i="16"/>
  <c r="G91" i="14"/>
  <c r="H258" i="14"/>
  <c r="E259" i="14"/>
  <c r="U259" i="14"/>
  <c r="R260" i="14"/>
  <c r="O261" i="14"/>
  <c r="L262" i="14"/>
  <c r="I263" i="14"/>
  <c r="F264" i="14"/>
  <c r="V264" i="14"/>
  <c r="S265" i="14"/>
  <c r="M267" i="14"/>
  <c r="J268" i="14"/>
  <c r="G269" i="14"/>
  <c r="Q271" i="14"/>
  <c r="N272" i="14"/>
  <c r="K273" i="14"/>
  <c r="G45" i="15"/>
  <c r="G46" i="15" s="1"/>
  <c r="D105" i="15"/>
  <c r="K171" i="15"/>
  <c r="K187" i="15"/>
  <c r="K189" i="15"/>
  <c r="K191" i="15"/>
  <c r="K197" i="15"/>
  <c r="K199" i="15"/>
  <c r="K201" i="15"/>
  <c r="K205" i="15"/>
  <c r="K209" i="15"/>
  <c r="D199" i="15"/>
  <c r="E120" i="16"/>
  <c r="U92" i="16"/>
  <c r="R93" i="16"/>
  <c r="O94" i="16"/>
  <c r="I96" i="16"/>
  <c r="F97" i="16"/>
  <c r="P99" i="16"/>
  <c r="M100" i="16"/>
  <c r="J101" i="16"/>
  <c r="G102" i="16"/>
  <c r="Q105" i="16"/>
  <c r="N106" i="16"/>
  <c r="H108" i="16"/>
  <c r="E109" i="16"/>
  <c r="L112" i="16"/>
  <c r="V114" i="16"/>
  <c r="S115" i="16"/>
  <c r="G119" i="16"/>
  <c r="U120" i="16"/>
  <c r="K159" i="14"/>
  <c r="K197" i="14" s="1"/>
  <c r="E170" i="14"/>
  <c r="H177" i="14"/>
  <c r="O235" i="14"/>
  <c r="O274" i="14" s="1"/>
  <c r="M246" i="14"/>
  <c r="M247" i="14"/>
  <c r="N252" i="14"/>
  <c r="P254" i="14"/>
  <c r="I45" i="15"/>
  <c r="I46" i="15" s="1"/>
  <c r="F103" i="15"/>
  <c r="F105" i="15"/>
  <c r="F107" i="15"/>
  <c r="F115" i="15"/>
  <c r="F121" i="15"/>
  <c r="F97" i="15"/>
  <c r="E170" i="15"/>
  <c r="F186" i="15"/>
  <c r="G264" i="15"/>
  <c r="G272" i="15"/>
  <c r="G274" i="15"/>
  <c r="G280" i="15"/>
  <c r="G282" i="15"/>
  <c r="G284" i="15"/>
  <c r="G288" i="15"/>
  <c r="G292" i="15"/>
  <c r="K272" i="15"/>
  <c r="J120" i="16"/>
  <c r="D171" i="14"/>
  <c r="R254" i="14"/>
  <c r="F182" i="15"/>
  <c r="F192" i="15"/>
  <c r="F194" i="15"/>
  <c r="G170" i="15"/>
  <c r="D273" i="15"/>
  <c r="E92" i="16"/>
  <c r="M159" i="14"/>
  <c r="M197" i="14" s="1"/>
  <c r="G170" i="14"/>
  <c r="L185" i="14"/>
  <c r="O245" i="14"/>
  <c r="H105" i="15"/>
  <c r="H107" i="15"/>
  <c r="H111" i="15"/>
  <c r="H117" i="15"/>
  <c r="H121" i="15"/>
  <c r="J186" i="15"/>
  <c r="I270" i="15"/>
  <c r="I276" i="15"/>
  <c r="I278" i="15"/>
  <c r="I284" i="15"/>
  <c r="I292" i="15"/>
  <c r="N42" i="16"/>
  <c r="O81" i="14"/>
  <c r="O120" i="14" s="1"/>
  <c r="N159" i="14"/>
  <c r="N197" i="14" s="1"/>
  <c r="P235" i="14"/>
  <c r="P274" i="14" s="1"/>
  <c r="S253" i="14"/>
  <c r="D45" i="15"/>
  <c r="D128" i="15" s="1"/>
  <c r="I97" i="15"/>
  <c r="I103" i="15"/>
  <c r="I105" i="15"/>
  <c r="I107" i="15"/>
  <c r="I109" i="15"/>
  <c r="I111" i="15"/>
  <c r="I113" i="15"/>
  <c r="I115" i="15"/>
  <c r="I117" i="15"/>
  <c r="I121" i="15"/>
  <c r="I125" i="15"/>
  <c r="J276" i="15"/>
  <c r="J284" i="15"/>
  <c r="J292" i="15"/>
  <c r="F267" i="15"/>
  <c r="T104" i="16"/>
  <c r="O159" i="14"/>
  <c r="O197" i="14" s="1"/>
  <c r="Q235" i="14"/>
  <c r="Q274" i="14" s="1"/>
  <c r="J45" i="15"/>
  <c r="J87" i="15"/>
  <c r="J103" i="15"/>
  <c r="J107" i="15"/>
  <c r="J109" i="15"/>
  <c r="J121" i="15"/>
  <c r="J125" i="15"/>
  <c r="D111" i="15"/>
  <c r="I182" i="15"/>
  <c r="I184" i="15"/>
  <c r="I186" i="15"/>
  <c r="I190" i="15"/>
  <c r="I194" i="15"/>
  <c r="D181" i="15"/>
  <c r="K270" i="15"/>
  <c r="K274" i="15"/>
  <c r="K276" i="15"/>
  <c r="K278" i="15"/>
  <c r="K282" i="15"/>
  <c r="K284" i="15"/>
  <c r="K292" i="15"/>
  <c r="E108" i="14"/>
  <c r="U108" i="14"/>
  <c r="R109" i="14"/>
  <c r="O110" i="14"/>
  <c r="F113" i="14"/>
  <c r="V113" i="14"/>
  <c r="S114" i="14"/>
  <c r="P115" i="14"/>
  <c r="J117" i="14"/>
  <c r="G118" i="14"/>
  <c r="D119" i="14"/>
  <c r="O115" i="14"/>
  <c r="O181" i="14"/>
  <c r="L182" i="14"/>
  <c r="I183" i="14"/>
  <c r="F184" i="14"/>
  <c r="V184" i="14"/>
  <c r="S185" i="14"/>
  <c r="P186" i="14"/>
  <c r="M187" i="14"/>
  <c r="D190" i="14"/>
  <c r="T190" i="14"/>
  <c r="Q191" i="14"/>
  <c r="N192" i="14"/>
  <c r="H194" i="14"/>
  <c r="E195" i="14"/>
  <c r="U195" i="14"/>
  <c r="P159" i="14"/>
  <c r="P197" i="14" s="1"/>
  <c r="D245" i="14"/>
  <c r="T245" i="14"/>
  <c r="Q246" i="14"/>
  <c r="K248" i="14"/>
  <c r="E250" i="14"/>
  <c r="U250" i="14"/>
  <c r="R251" i="14"/>
  <c r="O252" i="14"/>
  <c r="L253" i="14"/>
  <c r="I254" i="14"/>
  <c r="F255" i="14"/>
  <c r="V255" i="14"/>
  <c r="S256" i="14"/>
  <c r="R235" i="14"/>
  <c r="R274" i="14" s="1"/>
  <c r="F190" i="15"/>
  <c r="F273" i="15"/>
  <c r="K45" i="15"/>
  <c r="K97" i="15"/>
  <c r="K103" i="15"/>
  <c r="K107" i="15"/>
  <c r="K109" i="15"/>
  <c r="K111" i="15"/>
  <c r="K113" i="15"/>
  <c r="F181" i="15"/>
  <c r="D267" i="15"/>
  <c r="D269" i="15"/>
  <c r="D275" i="15"/>
  <c r="D277" i="15"/>
  <c r="D281" i="15"/>
  <c r="D283" i="15"/>
  <c r="D285" i="15"/>
  <c r="D287" i="15"/>
  <c r="D289" i="15"/>
  <c r="D291" i="15"/>
  <c r="D293" i="15"/>
  <c r="J267" i="15"/>
  <c r="L120" i="16"/>
  <c r="P258" i="14"/>
  <c r="M259" i="14"/>
  <c r="J260" i="14"/>
  <c r="G261" i="14"/>
  <c r="D262" i="14"/>
  <c r="T262" i="14"/>
  <c r="Q263" i="14"/>
  <c r="N264" i="14"/>
  <c r="E267" i="14"/>
  <c r="U267" i="14"/>
  <c r="R268" i="14"/>
  <c r="O269" i="14"/>
  <c r="I271" i="14"/>
  <c r="F272" i="14"/>
  <c r="V272" i="14"/>
  <c r="S235" i="14"/>
  <c r="S274" i="14" s="1"/>
  <c r="U246" i="14"/>
  <c r="D88" i="15"/>
  <c r="D126" i="15"/>
  <c r="E87" i="15"/>
  <c r="F111" i="15"/>
  <c r="K184" i="15"/>
  <c r="K186" i="15"/>
  <c r="K200" i="15"/>
  <c r="K202" i="15"/>
  <c r="K204" i="15"/>
  <c r="K208" i="15"/>
  <c r="K210" i="15"/>
  <c r="H295" i="15"/>
  <c r="H254" i="15"/>
  <c r="G120" i="16"/>
  <c r="R159" i="14"/>
  <c r="R197" i="14" s="1"/>
  <c r="F87" i="15"/>
  <c r="J115" i="15"/>
  <c r="K181" i="15"/>
  <c r="F42" i="16"/>
  <c r="V42" i="16"/>
  <c r="S42" i="16"/>
  <c r="G42" i="16"/>
  <c r="G245" i="14"/>
  <c r="G235" i="14"/>
  <c r="G274" i="14" s="1"/>
  <c r="D246" i="14"/>
  <c r="T246" i="14"/>
  <c r="N248" i="14"/>
  <c r="H250" i="14"/>
  <c r="E251" i="14"/>
  <c r="U251" i="14"/>
  <c r="O253" i="14"/>
  <c r="L254" i="14"/>
  <c r="I255" i="14"/>
  <c r="F256" i="14"/>
  <c r="V256" i="14"/>
  <c r="V245" i="14"/>
  <c r="G128" i="15"/>
  <c r="J182" i="15"/>
  <c r="T42" i="16"/>
  <c r="S258" i="14"/>
  <c r="P259" i="14"/>
  <c r="M260" i="14"/>
  <c r="J261" i="14"/>
  <c r="G262" i="14"/>
  <c r="D263" i="14"/>
  <c r="T263" i="14"/>
  <c r="Q264" i="14"/>
  <c r="H267" i="14"/>
  <c r="E268" i="14"/>
  <c r="U268" i="14"/>
  <c r="R269" i="14"/>
  <c r="L271" i="14"/>
  <c r="I272" i="14"/>
  <c r="F273" i="14"/>
  <c r="F252" i="14"/>
  <c r="J190" i="15"/>
  <c r="J273" i="15"/>
  <c r="J192" i="15"/>
  <c r="J275" i="15"/>
  <c r="J277" i="15"/>
  <c r="J194" i="15"/>
  <c r="J281" i="15"/>
  <c r="J198" i="15"/>
  <c r="J200" i="15"/>
  <c r="J283" i="15"/>
  <c r="J285" i="15"/>
  <c r="J202" i="15"/>
  <c r="J289" i="15"/>
  <c r="J206" i="15"/>
  <c r="J208" i="15"/>
  <c r="J291" i="15"/>
  <c r="J293" i="15"/>
  <c r="J210" i="15"/>
  <c r="H87" i="15"/>
  <c r="F125" i="15"/>
  <c r="F187" i="15"/>
  <c r="F189" i="15"/>
  <c r="F195" i="15"/>
  <c r="F197" i="15"/>
  <c r="F201" i="15"/>
  <c r="F205" i="15"/>
  <c r="F209" i="15"/>
  <c r="K254" i="15"/>
  <c r="I159" i="14"/>
  <c r="I197" i="14" s="1"/>
  <c r="D235" i="14"/>
  <c r="D274" i="14" s="1"/>
  <c r="I128" i="15"/>
  <c r="J204" i="15"/>
  <c r="I265" i="15"/>
  <c r="I269" i="15"/>
  <c r="I273" i="15"/>
  <c r="I277" i="15"/>
  <c r="I281" i="15"/>
  <c r="I42" i="16"/>
  <c r="T120" i="16"/>
  <c r="J235" i="14"/>
  <c r="F245" i="14"/>
  <c r="D107" i="15"/>
  <c r="D191" i="15"/>
  <c r="D201" i="15"/>
  <c r="D117" i="15"/>
  <c r="I98" i="15"/>
  <c r="I100" i="15"/>
  <c r="I102" i="15"/>
  <c r="I110" i="15"/>
  <c r="I114" i="15"/>
  <c r="I116" i="15"/>
  <c r="K87" i="15"/>
  <c r="I264" i="15"/>
  <c r="F186" i="16"/>
  <c r="J100" i="15"/>
  <c r="J102" i="15"/>
  <c r="J116" i="15"/>
  <c r="J118" i="15"/>
  <c r="J120" i="15"/>
  <c r="J124" i="15"/>
  <c r="F117" i="15"/>
  <c r="I181" i="15"/>
  <c r="I170" i="15"/>
  <c r="I187" i="15"/>
  <c r="I189" i="15"/>
  <c r="I191" i="15"/>
  <c r="I193" i="15"/>
  <c r="I195" i="15"/>
  <c r="I197" i="15"/>
  <c r="I199" i="15"/>
  <c r="I201" i="15"/>
  <c r="I205" i="15"/>
  <c r="I209" i="15"/>
  <c r="K265" i="15"/>
  <c r="K267" i="15"/>
  <c r="K273" i="15"/>
  <c r="K275" i="15"/>
  <c r="K281" i="15"/>
  <c r="K283" i="15"/>
  <c r="K289" i="15"/>
  <c r="K291" i="15"/>
  <c r="K42" i="16"/>
  <c r="K120" i="16" s="1"/>
  <c r="Q98" i="16"/>
  <c r="N99" i="16"/>
  <c r="E102" i="16"/>
  <c r="U102" i="16"/>
  <c r="R104" i="16"/>
  <c r="O105" i="16"/>
  <c r="I107" i="16"/>
  <c r="F108" i="16"/>
  <c r="P110" i="16"/>
  <c r="M111" i="16"/>
  <c r="S120" i="16"/>
  <c r="R81" i="16"/>
  <c r="U112" i="16"/>
  <c r="F169" i="16"/>
  <c r="F159" i="16"/>
  <c r="F198" i="16" s="1"/>
  <c r="V169" i="16"/>
  <c r="V159" i="16"/>
  <c r="S170" i="16"/>
  <c r="S159" i="16"/>
  <c r="S198" i="16" s="1"/>
  <c r="P171" i="16"/>
  <c r="M172" i="16"/>
  <c r="J173" i="16"/>
  <c r="G174" i="16"/>
  <c r="D175" i="16"/>
  <c r="T175" i="16"/>
  <c r="Q176" i="16"/>
  <c r="N177" i="16"/>
  <c r="K178" i="16"/>
  <c r="H179" i="16"/>
  <c r="E180" i="16"/>
  <c r="U180" i="16"/>
  <c r="R182" i="16"/>
  <c r="L184" i="16"/>
  <c r="I185" i="16"/>
  <c r="V186" i="16"/>
  <c r="S187" i="16"/>
  <c r="P188" i="16"/>
  <c r="M189" i="16"/>
  <c r="J190" i="16"/>
  <c r="G191" i="16"/>
  <c r="D192" i="16"/>
  <c r="T192" i="16"/>
  <c r="Q193" i="16"/>
  <c r="K195" i="16"/>
  <c r="H196" i="16"/>
  <c r="E197" i="16"/>
  <c r="U197" i="16"/>
  <c r="Q172" i="16"/>
  <c r="G253" i="15"/>
  <c r="H267" i="15"/>
  <c r="H275" i="15"/>
  <c r="D92" i="16"/>
  <c r="D170" i="16"/>
  <c r="T170" i="16"/>
  <c r="Q171" i="16"/>
  <c r="N172" i="16"/>
  <c r="K173" i="16"/>
  <c r="H174" i="16"/>
  <c r="R176" i="16"/>
  <c r="L178" i="16"/>
  <c r="I179" i="16"/>
  <c r="V180" i="16"/>
  <c r="S182" i="16"/>
  <c r="P183" i="16"/>
  <c r="M184" i="16"/>
  <c r="J185" i="16"/>
  <c r="G186" i="16"/>
  <c r="T187" i="16"/>
  <c r="Q188" i="16"/>
  <c r="N189" i="16"/>
  <c r="K190" i="16"/>
  <c r="H191" i="16"/>
  <c r="E192" i="16"/>
  <c r="R193" i="16"/>
  <c r="I196" i="16"/>
  <c r="F197" i="16"/>
  <c r="V197" i="16"/>
  <c r="G259" i="16"/>
  <c r="D260" i="16"/>
  <c r="T260" i="16"/>
  <c r="Q261" i="16"/>
  <c r="N262" i="16"/>
  <c r="K263" i="16"/>
  <c r="H264" i="16"/>
  <c r="E265" i="16"/>
  <c r="U265" i="16"/>
  <c r="R266" i="16"/>
  <c r="O267" i="16"/>
  <c r="L268" i="16"/>
  <c r="I269" i="16"/>
  <c r="F270" i="16"/>
  <c r="V270" i="16"/>
  <c r="P272" i="16"/>
  <c r="M273" i="16"/>
  <c r="J274" i="16"/>
  <c r="F91" i="16"/>
  <c r="V91" i="16"/>
  <c r="S92" i="16"/>
  <c r="P93" i="16"/>
  <c r="M94" i="16"/>
  <c r="J95" i="16"/>
  <c r="G96" i="16"/>
  <c r="D97" i="16"/>
  <c r="T97" i="16"/>
  <c r="K100" i="16"/>
  <c r="H101" i="16"/>
  <c r="L106" i="16"/>
  <c r="V108" i="16"/>
  <c r="S109" i="16"/>
  <c r="J112" i="16"/>
  <c r="G113" i="16"/>
  <c r="Q115" i="16"/>
  <c r="K117" i="16"/>
  <c r="E119" i="16"/>
  <c r="U119" i="16"/>
  <c r="V81" i="16"/>
  <c r="G93" i="16"/>
  <c r="H106" i="16"/>
  <c r="R108" i="16"/>
  <c r="G118" i="16"/>
  <c r="Q119" i="16"/>
  <c r="I198" i="16"/>
  <c r="V170" i="16"/>
  <c r="S171" i="16"/>
  <c r="P172" i="16"/>
  <c r="M173" i="16"/>
  <c r="J174" i="16"/>
  <c r="G175" i="16"/>
  <c r="Q177" i="16"/>
  <c r="N178" i="16"/>
  <c r="K179" i="16"/>
  <c r="H180" i="16"/>
  <c r="E182" i="16"/>
  <c r="U182" i="16"/>
  <c r="R183" i="16"/>
  <c r="O184" i="16"/>
  <c r="J159" i="16"/>
  <c r="J198" i="16" s="1"/>
  <c r="O178" i="16"/>
  <c r="L195" i="16"/>
  <c r="M246" i="16"/>
  <c r="J247" i="16"/>
  <c r="J236" i="16"/>
  <c r="G248" i="16"/>
  <c r="D249" i="16"/>
  <c r="T249" i="16"/>
  <c r="Q250" i="16"/>
  <c r="N251" i="16"/>
  <c r="K252" i="16"/>
  <c r="H253" i="16"/>
  <c r="E254" i="16"/>
  <c r="U254" i="16"/>
  <c r="R255" i="16"/>
  <c r="O256" i="16"/>
  <c r="L257" i="16"/>
  <c r="I259" i="16"/>
  <c r="F260" i="16"/>
  <c r="V260" i="16"/>
  <c r="S261" i="16"/>
  <c r="P262" i="16"/>
  <c r="M263" i="16"/>
  <c r="J264" i="16"/>
  <c r="G265" i="16"/>
  <c r="D266" i="16"/>
  <c r="T266" i="16"/>
  <c r="Q267" i="16"/>
  <c r="N268" i="16"/>
  <c r="K269" i="16"/>
  <c r="U271" i="16"/>
  <c r="R272" i="16"/>
  <c r="O273" i="16"/>
  <c r="L274" i="16"/>
  <c r="F198" i="15"/>
  <c r="F200" i="15"/>
  <c r="F202" i="15"/>
  <c r="F204" i="15"/>
  <c r="F206" i="15"/>
  <c r="F208" i="15"/>
  <c r="F210" i="15"/>
  <c r="J246" i="16"/>
  <c r="J169" i="16"/>
  <c r="J42" i="16"/>
  <c r="T171" i="16"/>
  <c r="T248" i="16"/>
  <c r="N173" i="16"/>
  <c r="N250" i="16"/>
  <c r="H252" i="16"/>
  <c r="H175" i="16"/>
  <c r="E253" i="16"/>
  <c r="E176" i="16"/>
  <c r="R177" i="16"/>
  <c r="R254" i="16"/>
  <c r="L179" i="16"/>
  <c r="L256" i="16"/>
  <c r="I180" i="16"/>
  <c r="I257" i="16"/>
  <c r="P107" i="16"/>
  <c r="G170" i="16"/>
  <c r="D171" i="16"/>
  <c r="K174" i="16"/>
  <c r="U176" i="16"/>
  <c r="V182" i="16"/>
  <c r="D188" i="16"/>
  <c r="L196" i="16"/>
  <c r="T159" i="16"/>
  <c r="T198" i="16" s="1"/>
  <c r="Q173" i="16"/>
  <c r="H81" i="16"/>
  <c r="H120" i="16" s="1"/>
  <c r="V97" i="16"/>
  <c r="S98" i="16"/>
  <c r="D104" i="16"/>
  <c r="K107" i="16"/>
  <c r="U109" i="16"/>
  <c r="R110" i="16"/>
  <c r="O111" i="16"/>
  <c r="I113" i="16"/>
  <c r="F114" i="16"/>
  <c r="M117" i="16"/>
  <c r="J118" i="16"/>
  <c r="D81" i="16"/>
  <c r="D120" i="16" s="1"/>
  <c r="G91" i="16"/>
  <c r="K93" i="16"/>
  <c r="R96" i="16"/>
  <c r="S101" i="16"/>
  <c r="D109" i="16"/>
  <c r="U114" i="16"/>
  <c r="K169" i="16"/>
  <c r="K159" i="16"/>
  <c r="U171" i="16"/>
  <c r="R172" i="16"/>
  <c r="O173" i="16"/>
  <c r="L174" i="16"/>
  <c r="I175" i="16"/>
  <c r="F176" i="16"/>
  <c r="S177" i="16"/>
  <c r="P178" i="16"/>
  <c r="M179" i="16"/>
  <c r="J180" i="16"/>
  <c r="G182" i="16"/>
  <c r="T183" i="16"/>
  <c r="Q184" i="16"/>
  <c r="N185" i="16"/>
  <c r="K186" i="16"/>
  <c r="H187" i="16"/>
  <c r="E188" i="16"/>
  <c r="U188" i="16"/>
  <c r="R189" i="16"/>
  <c r="O190" i="16"/>
  <c r="L191" i="16"/>
  <c r="I192" i="16"/>
  <c r="F193" i="16"/>
  <c r="V193" i="16"/>
  <c r="P195" i="16"/>
  <c r="J197" i="16"/>
  <c r="V173" i="16"/>
  <c r="D179" i="16"/>
  <c r="I248" i="16"/>
  <c r="F249" i="16"/>
  <c r="V249" i="16"/>
  <c r="S250" i="16"/>
  <c r="P251" i="16"/>
  <c r="M252" i="16"/>
  <c r="J253" i="16"/>
  <c r="G254" i="16"/>
  <c r="D255" i="16"/>
  <c r="T255" i="16"/>
  <c r="Q256" i="16"/>
  <c r="K259" i="16"/>
  <c r="H260" i="16"/>
  <c r="E261" i="16"/>
  <c r="U261" i="16"/>
  <c r="O263" i="16"/>
  <c r="L264" i="16"/>
  <c r="I265" i="16"/>
  <c r="F266" i="16"/>
  <c r="V266" i="16"/>
  <c r="S267" i="16"/>
  <c r="P268" i="16"/>
  <c r="M269" i="16"/>
  <c r="J270" i="16"/>
  <c r="D272" i="16"/>
  <c r="T272" i="16"/>
  <c r="Q273" i="16"/>
  <c r="I81" i="16"/>
  <c r="I120" i="16" s="1"/>
  <c r="T98" i="16"/>
  <c r="K101" i="16"/>
  <c r="H102" i="16"/>
  <c r="I108" i="16"/>
  <c r="D115" i="16"/>
  <c r="H91" i="16"/>
  <c r="I169" i="16"/>
  <c r="M247" i="16"/>
  <c r="J248" i="16"/>
  <c r="G249" i="16"/>
  <c r="T250" i="16"/>
  <c r="Q251" i="16"/>
  <c r="N252" i="16"/>
  <c r="K253" i="16"/>
  <c r="H254" i="16"/>
  <c r="E255" i="16"/>
  <c r="U255" i="16"/>
  <c r="R256" i="16"/>
  <c r="O257" i="16"/>
  <c r="N113" i="16"/>
  <c r="N191" i="16"/>
  <c r="H115" i="16"/>
  <c r="H193" i="16"/>
  <c r="R99" i="16"/>
  <c r="F104" i="16"/>
  <c r="V104" i="16"/>
  <c r="S105" i="16"/>
  <c r="P106" i="16"/>
  <c r="M107" i="16"/>
  <c r="J108" i="16"/>
  <c r="G109" i="16"/>
  <c r="D110" i="16"/>
  <c r="T110" i="16"/>
  <c r="Q111" i="16"/>
  <c r="N112" i="16"/>
  <c r="K113" i="16"/>
  <c r="H114" i="16"/>
  <c r="E115" i="16"/>
  <c r="U115" i="16"/>
  <c r="O117" i="16"/>
  <c r="L118" i="16"/>
  <c r="I119" i="16"/>
  <c r="F81" i="16"/>
  <c r="I91" i="16"/>
  <c r="J92" i="16"/>
  <c r="M259" i="16"/>
  <c r="G261" i="16"/>
  <c r="H266" i="16"/>
  <c r="F272" i="16"/>
  <c r="V272" i="16"/>
  <c r="P274" i="16"/>
  <c r="D264" i="15"/>
  <c r="D270" i="15"/>
  <c r="D272" i="15"/>
  <c r="D274" i="15"/>
  <c r="D278" i="15"/>
  <c r="D280" i="15"/>
  <c r="D282" i="15"/>
  <c r="D284" i="15"/>
  <c r="D288" i="15"/>
  <c r="D292" i="15"/>
  <c r="F254" i="15"/>
  <c r="L42" i="16"/>
  <c r="S99" i="16"/>
  <c r="J102" i="16"/>
  <c r="G104" i="16"/>
  <c r="D105" i="16"/>
  <c r="K108" i="16"/>
  <c r="U110" i="16"/>
  <c r="R111" i="16"/>
  <c r="O112" i="16"/>
  <c r="I114" i="16"/>
  <c r="F115" i="16"/>
  <c r="P117" i="16"/>
  <c r="M118" i="16"/>
  <c r="J119" i="16"/>
  <c r="J91" i="16"/>
  <c r="L92" i="16"/>
  <c r="Q94" i="16"/>
  <c r="E112" i="16"/>
  <c r="N169" i="16"/>
  <c r="N159" i="16"/>
  <c r="N198" i="16" s="1"/>
  <c r="E264" i="15"/>
  <c r="E253" i="15"/>
  <c r="E270" i="15"/>
  <c r="E272" i="15"/>
  <c r="E274" i="15"/>
  <c r="E278" i="15"/>
  <c r="E280" i="15"/>
  <c r="E282" i="15"/>
  <c r="E284" i="15"/>
  <c r="E288" i="15"/>
  <c r="E292" i="15"/>
  <c r="O42" i="16"/>
  <c r="O120" i="16" s="1"/>
  <c r="M42" i="16"/>
  <c r="M120" i="16" s="1"/>
  <c r="K91" i="16"/>
  <c r="H98" i="16"/>
  <c r="Q110" i="16"/>
  <c r="U116" i="16"/>
  <c r="O159" i="16"/>
  <c r="O169" i="16"/>
  <c r="L170" i="16"/>
  <c r="L159" i="16"/>
  <c r="I171" i="16"/>
  <c r="F172" i="16"/>
  <c r="V172" i="16"/>
  <c r="S173" i="16"/>
  <c r="M175" i="16"/>
  <c r="J176" i="16"/>
  <c r="G177" i="16"/>
  <c r="T178" i="16"/>
  <c r="Q179" i="16"/>
  <c r="N180" i="16"/>
  <c r="K182" i="16"/>
  <c r="H183" i="16"/>
  <c r="E184" i="16"/>
  <c r="R185" i="16"/>
  <c r="O186" i="16"/>
  <c r="L187" i="16"/>
  <c r="I188" i="16"/>
  <c r="F189" i="16"/>
  <c r="V189" i="16"/>
  <c r="P191" i="16"/>
  <c r="M192" i="16"/>
  <c r="D195" i="16"/>
  <c r="T195" i="16"/>
  <c r="Q196" i="16"/>
  <c r="N197" i="16"/>
  <c r="S236" i="16"/>
  <c r="S275" i="16" s="1"/>
  <c r="P42" i="16"/>
  <c r="F105" i="16"/>
  <c r="V105" i="16"/>
  <c r="I104" i="16"/>
  <c r="S106" i="16"/>
  <c r="P169" i="16"/>
  <c r="P159" i="16"/>
  <c r="P198" i="16" s="1"/>
  <c r="M170" i="16"/>
  <c r="M159" i="16"/>
  <c r="M198" i="16" s="1"/>
  <c r="J171" i="16"/>
  <c r="T173" i="16"/>
  <c r="Q174" i="16"/>
  <c r="N175" i="16"/>
  <c r="K176" i="16"/>
  <c r="H177" i="16"/>
  <c r="E178" i="16"/>
  <c r="R179" i="16"/>
  <c r="O180" i="16"/>
  <c r="L182" i="16"/>
  <c r="I183" i="16"/>
  <c r="F184" i="16"/>
  <c r="V184" i="16"/>
  <c r="S185" i="16"/>
  <c r="M187" i="16"/>
  <c r="J188" i="16"/>
  <c r="D190" i="16"/>
  <c r="T190" i="16"/>
  <c r="Q191" i="16"/>
  <c r="N192" i="16"/>
  <c r="K193" i="16"/>
  <c r="E195" i="16"/>
  <c r="U195" i="16"/>
  <c r="R196" i="16"/>
  <c r="O197" i="16"/>
  <c r="Q259" i="16"/>
  <c r="Q42" i="16"/>
  <c r="M91" i="16"/>
  <c r="T94" i="16"/>
  <c r="H97" i="16"/>
  <c r="N170" i="16"/>
  <c r="E173" i="16"/>
  <c r="U173" i="16"/>
  <c r="I177" i="16"/>
  <c r="V178" i="16"/>
  <c r="U236" i="16"/>
  <c r="R236" i="16"/>
  <c r="N260" i="16"/>
  <c r="K261" i="16"/>
  <c r="H262" i="16"/>
  <c r="E263" i="16"/>
  <c r="U263" i="16"/>
  <c r="R264" i="16"/>
  <c r="O265" i="16"/>
  <c r="L266" i="16"/>
  <c r="I267" i="16"/>
  <c r="F268" i="16"/>
  <c r="V268" i="16"/>
  <c r="S269" i="16"/>
  <c r="P270" i="16"/>
  <c r="J272" i="16"/>
  <c r="T274" i="16"/>
  <c r="K130" i="17"/>
  <c r="K89" i="17"/>
  <c r="R246" i="16"/>
  <c r="R169" i="16"/>
  <c r="O247" i="16"/>
  <c r="O170" i="16"/>
  <c r="I249" i="16"/>
  <c r="I172" i="16"/>
  <c r="S174" i="16"/>
  <c r="S251" i="16"/>
  <c r="P252" i="16"/>
  <c r="P175" i="16"/>
  <c r="M176" i="16"/>
  <c r="M253" i="16"/>
  <c r="J177" i="16"/>
  <c r="J254" i="16"/>
  <c r="G255" i="16"/>
  <c r="G178" i="16"/>
  <c r="Q180" i="16"/>
  <c r="Q257" i="16"/>
  <c r="R42" i="16"/>
  <c r="D117" i="16"/>
  <c r="N119" i="16"/>
  <c r="O91" i="16"/>
  <c r="D111" i="16"/>
  <c r="L171" i="16"/>
  <c r="T179" i="16"/>
  <c r="U185" i="16"/>
  <c r="L188" i="16"/>
  <c r="P192" i="16"/>
  <c r="F246" i="16"/>
  <c r="V246" i="16"/>
  <c r="S247" i="16"/>
  <c r="P248" i="16"/>
  <c r="M249" i="16"/>
  <c r="J250" i="16"/>
  <c r="G251" i="16"/>
  <c r="D252" i="16"/>
  <c r="T252" i="16"/>
  <c r="Q253" i="16"/>
  <c r="K255" i="16"/>
  <c r="H256" i="16"/>
  <c r="E257" i="16"/>
  <c r="U257" i="16"/>
  <c r="G181" i="15"/>
  <c r="G187" i="15"/>
  <c r="G189" i="15"/>
  <c r="G191" i="15"/>
  <c r="G195" i="15"/>
  <c r="G197" i="15"/>
  <c r="G199" i="15"/>
  <c r="G201" i="15"/>
  <c r="G205" i="15"/>
  <c r="G209" i="15"/>
  <c r="P91" i="16"/>
  <c r="M92" i="16"/>
  <c r="J93" i="16"/>
  <c r="G94" i="16"/>
  <c r="D95" i="16"/>
  <c r="T95" i="16"/>
  <c r="Q96" i="16"/>
  <c r="K98" i="16"/>
  <c r="R101" i="16"/>
  <c r="L104" i="16"/>
  <c r="G111" i="16"/>
  <c r="E117" i="16"/>
  <c r="U117" i="16"/>
  <c r="N81" i="16"/>
  <c r="N120" i="16" s="1"/>
  <c r="T92" i="16"/>
  <c r="G236" i="16"/>
  <c r="T247" i="16"/>
  <c r="Q248" i="16"/>
  <c r="N249" i="16"/>
  <c r="K250" i="16"/>
  <c r="H251" i="16"/>
  <c r="E252" i="16"/>
  <c r="U252" i="16"/>
  <c r="R253" i="16"/>
  <c r="O254" i="16"/>
  <c r="L255" i="16"/>
  <c r="I256" i="16"/>
  <c r="F257" i="16"/>
  <c r="V257" i="16"/>
  <c r="S259" i="16"/>
  <c r="P260" i="16"/>
  <c r="M261" i="16"/>
  <c r="J262" i="16"/>
  <c r="G263" i="16"/>
  <c r="D264" i="16"/>
  <c r="T264" i="16"/>
  <c r="N266" i="16"/>
  <c r="K267" i="16"/>
  <c r="H268" i="16"/>
  <c r="E269" i="16"/>
  <c r="U269" i="16"/>
  <c r="R270" i="16"/>
  <c r="L272" i="16"/>
  <c r="I273" i="16"/>
  <c r="F274" i="16"/>
  <c r="V274" i="16"/>
  <c r="F47" i="17"/>
  <c r="Q81" i="16"/>
  <c r="O97" i="16"/>
  <c r="P102" i="16"/>
  <c r="M104" i="16"/>
  <c r="D107" i="16"/>
  <c r="T107" i="16"/>
  <c r="K110" i="16"/>
  <c r="H111" i="16"/>
  <c r="R113" i="16"/>
  <c r="O114" i="16"/>
  <c r="L115" i="16"/>
  <c r="F117" i="16"/>
  <c r="V117" i="16"/>
  <c r="K97" i="16"/>
  <c r="M108" i="16"/>
  <c r="H246" i="16"/>
  <c r="E247" i="16"/>
  <c r="U247" i="16"/>
  <c r="R248" i="16"/>
  <c r="O249" i="16"/>
  <c r="L250" i="16"/>
  <c r="F252" i="16"/>
  <c r="S253" i="16"/>
  <c r="P254" i="16"/>
  <c r="M255" i="16"/>
  <c r="M236" i="16"/>
  <c r="M275" i="16" s="1"/>
  <c r="D274" i="16"/>
  <c r="D119" i="16"/>
  <c r="U42" i="16"/>
  <c r="M98" i="16"/>
  <c r="J99" i="16"/>
  <c r="Q102" i="16"/>
  <c r="K105" i="16"/>
  <c r="F112" i="16"/>
  <c r="D118" i="16"/>
  <c r="T118" i="16"/>
  <c r="P81" i="16"/>
  <c r="P120" i="16" s="1"/>
  <c r="S91" i="16"/>
  <c r="D94" i="16"/>
  <c r="K114" i="16"/>
  <c r="E169" i="16"/>
  <c r="E159" i="16"/>
  <c r="E198" i="16" s="1"/>
  <c r="U169" i="16"/>
  <c r="U159" i="16"/>
  <c r="R159" i="16"/>
  <c r="O171" i="16"/>
  <c r="L172" i="16"/>
  <c r="I173" i="16"/>
  <c r="F174" i="16"/>
  <c r="V174" i="16"/>
  <c r="S175" i="16"/>
  <c r="P176" i="16"/>
  <c r="M177" i="16"/>
  <c r="J178" i="16"/>
  <c r="G179" i="16"/>
  <c r="D180" i="16"/>
  <c r="T180" i="16"/>
  <c r="Q182" i="16"/>
  <c r="N183" i="16"/>
  <c r="K184" i="16"/>
  <c r="H185" i="16"/>
  <c r="E186" i="16"/>
  <c r="U186" i="16"/>
  <c r="R187" i="16"/>
  <c r="O188" i="16"/>
  <c r="L189" i="16"/>
  <c r="F191" i="16"/>
  <c r="V191" i="16"/>
  <c r="S192" i="16"/>
  <c r="P193" i="16"/>
  <c r="J195" i="16"/>
  <c r="G196" i="16"/>
  <c r="D197" i="16"/>
  <c r="T197" i="16"/>
  <c r="H47" i="17"/>
  <c r="K246" i="16"/>
  <c r="H247" i="16"/>
  <c r="E248" i="16"/>
  <c r="U248" i="16"/>
  <c r="R249" i="16"/>
  <c r="O250" i="16"/>
  <c r="L251" i="16"/>
  <c r="I252" i="16"/>
  <c r="F253" i="16"/>
  <c r="V253" i="16"/>
  <c r="S254" i="16"/>
  <c r="P255" i="16"/>
  <c r="M256" i="16"/>
  <c r="J257" i="16"/>
  <c r="E266" i="17"/>
  <c r="E46" i="17"/>
  <c r="E271" i="17"/>
  <c r="V121" i="18"/>
  <c r="E97" i="16"/>
  <c r="U97" i="16"/>
  <c r="R98" i="16"/>
  <c r="O99" i="16"/>
  <c r="L100" i="16"/>
  <c r="I101" i="16"/>
  <c r="F102" i="16"/>
  <c r="V102" i="16"/>
  <c r="L169" i="16"/>
  <c r="I170" i="16"/>
  <c r="F171" i="16"/>
  <c r="V171" i="16"/>
  <c r="S172" i="16"/>
  <c r="P173" i="16"/>
  <c r="M174" i="16"/>
  <c r="J175" i="16"/>
  <c r="G176" i="16"/>
  <c r="D177" i="16"/>
  <c r="T177" i="16"/>
  <c r="Q178" i="16"/>
  <c r="N179" i="16"/>
  <c r="K180" i="16"/>
  <c r="H159" i="16"/>
  <c r="H198" i="16" s="1"/>
  <c r="K236" i="16"/>
  <c r="J89" i="17"/>
  <c r="N236" i="16"/>
  <c r="N275" i="16" s="1"/>
  <c r="J259" i="16"/>
  <c r="G260" i="16"/>
  <c r="D261" i="16"/>
  <c r="T261" i="16"/>
  <c r="Q262" i="16"/>
  <c r="N263" i="16"/>
  <c r="K264" i="16"/>
  <c r="H265" i="16"/>
  <c r="E266" i="16"/>
  <c r="U266" i="16"/>
  <c r="R267" i="16"/>
  <c r="O268" i="16"/>
  <c r="L269" i="16"/>
  <c r="I270" i="16"/>
  <c r="V271" i="16"/>
  <c r="S272" i="16"/>
  <c r="P273" i="16"/>
  <c r="M274" i="16"/>
  <c r="Q236" i="16"/>
  <c r="H117" i="17"/>
  <c r="H284" i="17"/>
  <c r="D88" i="17"/>
  <c r="E104" i="17"/>
  <c r="H172" i="17"/>
  <c r="H185" i="17"/>
  <c r="H187" i="17"/>
  <c r="H189" i="17"/>
  <c r="H191" i="17"/>
  <c r="H195" i="17"/>
  <c r="H197" i="17"/>
  <c r="H199" i="17"/>
  <c r="H201" i="17"/>
  <c r="H203" i="17"/>
  <c r="H205" i="17"/>
  <c r="H207" i="17"/>
  <c r="H209" i="17"/>
  <c r="H211" i="17"/>
  <c r="H213" i="17"/>
  <c r="E297" i="17"/>
  <c r="O236" i="16"/>
  <c r="L236" i="16"/>
  <c r="L275" i="16" s="1"/>
  <c r="J92" i="18"/>
  <c r="J82" i="18"/>
  <c r="D94" i="18"/>
  <c r="D82" i="18"/>
  <c r="P236" i="16"/>
  <c r="P275" i="16" s="1"/>
  <c r="L259" i="16"/>
  <c r="I260" i="16"/>
  <c r="F261" i="16"/>
  <c r="V261" i="16"/>
  <c r="S262" i="16"/>
  <c r="P263" i="16"/>
  <c r="M264" i="16"/>
  <c r="J265" i="16"/>
  <c r="G266" i="16"/>
  <c r="D267" i="16"/>
  <c r="T267" i="16"/>
  <c r="Q268" i="16"/>
  <c r="N269" i="16"/>
  <c r="K270" i="16"/>
  <c r="E272" i="16"/>
  <c r="U272" i="16"/>
  <c r="R273" i="16"/>
  <c r="O274" i="16"/>
  <c r="J99" i="17"/>
  <c r="J46" i="17"/>
  <c r="J47" i="17" s="1"/>
  <c r="F100" i="17"/>
  <c r="F102" i="17"/>
  <c r="F104" i="17"/>
  <c r="F106" i="17"/>
  <c r="F108" i="17"/>
  <c r="F110" i="17"/>
  <c r="F112" i="17"/>
  <c r="F114" i="17"/>
  <c r="J183" i="17"/>
  <c r="J185" i="17"/>
  <c r="J187" i="17"/>
  <c r="J189" i="17"/>
  <c r="J191" i="17"/>
  <c r="J193" i="17"/>
  <c r="G297" i="17"/>
  <c r="M182" i="16"/>
  <c r="J183" i="16"/>
  <c r="G184" i="16"/>
  <c r="D185" i="16"/>
  <c r="T185" i="16"/>
  <c r="Q186" i="16"/>
  <c r="N187" i="16"/>
  <c r="K188" i="16"/>
  <c r="H189" i="16"/>
  <c r="E190" i="16"/>
  <c r="U190" i="16"/>
  <c r="R191" i="16"/>
  <c r="O192" i="16"/>
  <c r="L193" i="16"/>
  <c r="F195" i="16"/>
  <c r="V195" i="16"/>
  <c r="S196" i="16"/>
  <c r="P197" i="16"/>
  <c r="H182" i="16"/>
  <c r="Q195" i="16"/>
  <c r="Q246" i="16"/>
  <c r="N247" i="16"/>
  <c r="K248" i="16"/>
  <c r="H249" i="16"/>
  <c r="E250" i="16"/>
  <c r="U250" i="16"/>
  <c r="R251" i="16"/>
  <c r="O252" i="16"/>
  <c r="L253" i="16"/>
  <c r="I254" i="16"/>
  <c r="F255" i="16"/>
  <c r="V255" i="16"/>
  <c r="S256" i="16"/>
  <c r="P257" i="16"/>
  <c r="L247" i="16"/>
  <c r="H266" i="17"/>
  <c r="H274" i="17"/>
  <c r="H276" i="17"/>
  <c r="H278" i="17"/>
  <c r="H280" i="17"/>
  <c r="H282" i="17"/>
  <c r="H288" i="17"/>
  <c r="H290" i="17"/>
  <c r="H294" i="17"/>
  <c r="H296" i="17"/>
  <c r="E99" i="16"/>
  <c r="U99" i="16"/>
  <c r="R100" i="16"/>
  <c r="O101" i="16"/>
  <c r="L102" i="16"/>
  <c r="N259" i="16"/>
  <c r="K260" i="16"/>
  <c r="H261" i="16"/>
  <c r="E262" i="16"/>
  <c r="U262" i="16"/>
  <c r="R263" i="16"/>
  <c r="O264" i="16"/>
  <c r="L265" i="16"/>
  <c r="I266" i="16"/>
  <c r="F267" i="16"/>
  <c r="V267" i="16"/>
  <c r="S268" i="16"/>
  <c r="P269" i="16"/>
  <c r="M270" i="16"/>
  <c r="G272" i="16"/>
  <c r="D273" i="16"/>
  <c r="T273" i="16"/>
  <c r="Q274" i="16"/>
  <c r="H130" i="17"/>
  <c r="H89" i="17"/>
  <c r="H102" i="17"/>
  <c r="H104" i="17"/>
  <c r="H106" i="17"/>
  <c r="H108" i="17"/>
  <c r="H110" i="17"/>
  <c r="H112" i="17"/>
  <c r="H114" i="17"/>
  <c r="D186" i="17"/>
  <c r="D188" i="17"/>
  <c r="I173" i="17"/>
  <c r="I214" i="17"/>
  <c r="Q159" i="16"/>
  <c r="S246" i="16"/>
  <c r="P247" i="16"/>
  <c r="M248" i="16"/>
  <c r="J249" i="16"/>
  <c r="G250" i="16"/>
  <c r="D251" i="16"/>
  <c r="T251" i="16"/>
  <c r="Q252" i="16"/>
  <c r="N253" i="16"/>
  <c r="K254" i="16"/>
  <c r="H255" i="16"/>
  <c r="E256" i="16"/>
  <c r="U256" i="16"/>
  <c r="R257" i="16"/>
  <c r="E186" i="17"/>
  <c r="E269" i="17"/>
  <c r="E273" i="17"/>
  <c r="E190" i="17"/>
  <c r="E192" i="17"/>
  <c r="E275" i="17"/>
  <c r="K173" i="17"/>
  <c r="K214" i="17"/>
  <c r="K82" i="18"/>
  <c r="D236" i="16"/>
  <c r="D275" i="16" s="1"/>
  <c r="T236" i="16"/>
  <c r="T275" i="16" s="1"/>
  <c r="G246" i="16"/>
  <c r="F184" i="17"/>
  <c r="F186" i="17"/>
  <c r="F188" i="17"/>
  <c r="F190" i="17"/>
  <c r="F192" i="17"/>
  <c r="F194" i="17"/>
  <c r="F196" i="17"/>
  <c r="F198" i="17"/>
  <c r="F200" i="17"/>
  <c r="F202" i="17"/>
  <c r="F204" i="17"/>
  <c r="F206" i="17"/>
  <c r="F208" i="17"/>
  <c r="F210" i="17"/>
  <c r="F212" i="17"/>
  <c r="E246" i="16"/>
  <c r="U246" i="16"/>
  <c r="R247" i="16"/>
  <c r="O248" i="16"/>
  <c r="L249" i="16"/>
  <c r="I250" i="16"/>
  <c r="F251" i="16"/>
  <c r="V251" i="16"/>
  <c r="S252" i="16"/>
  <c r="P253" i="16"/>
  <c r="M254" i="16"/>
  <c r="J255" i="16"/>
  <c r="G256" i="16"/>
  <c r="D257" i="16"/>
  <c r="T257" i="16"/>
  <c r="E184" i="17"/>
  <c r="H297" i="17"/>
  <c r="H256" i="17"/>
  <c r="F283" i="17"/>
  <c r="F236" i="16"/>
  <c r="F275" i="16" s="1"/>
  <c r="V236" i="16"/>
  <c r="V275" i="16" s="1"/>
  <c r="R259" i="16"/>
  <c r="O260" i="16"/>
  <c r="L261" i="16"/>
  <c r="I262" i="16"/>
  <c r="F263" i="16"/>
  <c r="V263" i="16"/>
  <c r="S264" i="16"/>
  <c r="P265" i="16"/>
  <c r="M266" i="16"/>
  <c r="J267" i="16"/>
  <c r="G268" i="16"/>
  <c r="D269" i="16"/>
  <c r="T269" i="16"/>
  <c r="Q270" i="16"/>
  <c r="K272" i="16"/>
  <c r="H273" i="16"/>
  <c r="E274" i="16"/>
  <c r="U274" i="16"/>
  <c r="E100" i="17"/>
  <c r="E108" i="17"/>
  <c r="H184" i="17"/>
  <c r="H186" i="17"/>
  <c r="H188" i="17"/>
  <c r="H190" i="17"/>
  <c r="H192" i="17"/>
  <c r="H194" i="17"/>
  <c r="H196" i="17"/>
  <c r="H198" i="17"/>
  <c r="H200" i="17"/>
  <c r="H202" i="17"/>
  <c r="H204" i="17"/>
  <c r="H206" i="17"/>
  <c r="H208" i="17"/>
  <c r="H210" i="17"/>
  <c r="H212" i="17"/>
  <c r="J297" i="17"/>
  <c r="N246" i="16"/>
  <c r="E99" i="17"/>
  <c r="E88" i="17"/>
  <c r="E101" i="17"/>
  <c r="E103" i="17"/>
  <c r="E105" i="17"/>
  <c r="E107" i="17"/>
  <c r="E109" i="17"/>
  <c r="E113" i="17"/>
  <c r="E115" i="17"/>
  <c r="E117" i="17"/>
  <c r="E119" i="17"/>
  <c r="E121" i="17"/>
  <c r="E123" i="17"/>
  <c r="E125" i="17"/>
  <c r="E129" i="17"/>
  <c r="D159" i="16"/>
  <c r="D198" i="16" s="1"/>
  <c r="H236" i="16"/>
  <c r="H275" i="16" s="1"/>
  <c r="D259" i="16"/>
  <c r="T259" i="16"/>
  <c r="Q260" i="16"/>
  <c r="N261" i="16"/>
  <c r="K262" i="16"/>
  <c r="H263" i="16"/>
  <c r="E264" i="16"/>
  <c r="U264" i="16"/>
  <c r="R265" i="16"/>
  <c r="O266" i="16"/>
  <c r="L267" i="16"/>
  <c r="I268" i="16"/>
  <c r="F269" i="16"/>
  <c r="V269" i="16"/>
  <c r="S270" i="16"/>
  <c r="M272" i="16"/>
  <c r="J273" i="16"/>
  <c r="G274" i="16"/>
  <c r="E236" i="16"/>
  <c r="E275" i="16" s="1"/>
  <c r="O246" i="16"/>
  <c r="I130" i="17"/>
  <c r="L185" i="16"/>
  <c r="I186" i="16"/>
  <c r="F187" i="16"/>
  <c r="V187" i="16"/>
  <c r="S188" i="16"/>
  <c r="P189" i="16"/>
  <c r="M190" i="16"/>
  <c r="J191" i="16"/>
  <c r="G192" i="16"/>
  <c r="D193" i="16"/>
  <c r="T193" i="16"/>
  <c r="N195" i="16"/>
  <c r="K196" i="16"/>
  <c r="H197" i="16"/>
  <c r="I246" i="16"/>
  <c r="F247" i="16"/>
  <c r="V247" i="16"/>
  <c r="S248" i="16"/>
  <c r="P249" i="16"/>
  <c r="M250" i="16"/>
  <c r="J251" i="16"/>
  <c r="G252" i="16"/>
  <c r="D253" i="16"/>
  <c r="T253" i="16"/>
  <c r="Q254" i="16"/>
  <c r="N255" i="16"/>
  <c r="K256" i="16"/>
  <c r="H257" i="16"/>
  <c r="E259" i="16"/>
  <c r="U259" i="16"/>
  <c r="R260" i="16"/>
  <c r="O261" i="16"/>
  <c r="L262" i="16"/>
  <c r="I263" i="16"/>
  <c r="F264" i="16"/>
  <c r="V264" i="16"/>
  <c r="S265" i="16"/>
  <c r="P266" i="16"/>
  <c r="M267" i="16"/>
  <c r="J268" i="16"/>
  <c r="G269" i="16"/>
  <c r="D270" i="16"/>
  <c r="T270" i="16"/>
  <c r="N272" i="16"/>
  <c r="K273" i="16"/>
  <c r="H274" i="16"/>
  <c r="P246" i="16"/>
  <c r="K47" i="17"/>
  <c r="G99" i="17"/>
  <c r="G88" i="17"/>
  <c r="H277" i="17"/>
  <c r="F259" i="16"/>
  <c r="V259" i="16"/>
  <c r="S260" i="16"/>
  <c r="P261" i="16"/>
  <c r="M262" i="16"/>
  <c r="J263" i="16"/>
  <c r="G264" i="16"/>
  <c r="D265" i="16"/>
  <c r="T265" i="16"/>
  <c r="Q266" i="16"/>
  <c r="N267" i="16"/>
  <c r="K268" i="16"/>
  <c r="H269" i="16"/>
  <c r="E270" i="16"/>
  <c r="U270" i="16"/>
  <c r="O272" i="16"/>
  <c r="L273" i="16"/>
  <c r="I274" i="16"/>
  <c r="I236" i="16"/>
  <c r="I275" i="16" s="1"/>
  <c r="D46" i="17"/>
  <c r="D47" i="17" s="1"/>
  <c r="H99" i="17"/>
  <c r="H101" i="17"/>
  <c r="H103" i="17"/>
  <c r="H105" i="17"/>
  <c r="H107" i="17"/>
  <c r="H109" i="17"/>
  <c r="H111" i="17"/>
  <c r="H113" i="17"/>
  <c r="H115" i="17"/>
  <c r="E102" i="17"/>
  <c r="E82" i="18"/>
  <c r="U82" i="18"/>
  <c r="V43" i="18"/>
  <c r="V247" i="18"/>
  <c r="H82" i="18"/>
  <c r="H121" i="18" s="1"/>
  <c r="I199" i="18"/>
  <c r="G46" i="17"/>
  <c r="J118" i="17"/>
  <c r="J172" i="17"/>
  <c r="K198" i="17"/>
  <c r="J204" i="17"/>
  <c r="K210" i="17"/>
  <c r="I255" i="17"/>
  <c r="K279" i="17"/>
  <c r="G283" i="17"/>
  <c r="E293" i="17"/>
  <c r="K295" i="17"/>
  <c r="I82" i="18"/>
  <c r="I121" i="18" s="1"/>
  <c r="P92" i="18"/>
  <c r="G94" i="18"/>
  <c r="K183" i="18"/>
  <c r="U185" i="18"/>
  <c r="S191" i="18"/>
  <c r="T196" i="18"/>
  <c r="E247" i="18"/>
  <c r="U247" i="18"/>
  <c r="R248" i="18"/>
  <c r="O249" i="18"/>
  <c r="L250" i="18"/>
  <c r="F252" i="18"/>
  <c r="V252" i="18"/>
  <c r="S253" i="18"/>
  <c r="P254" i="18"/>
  <c r="M255" i="18"/>
  <c r="J256" i="18"/>
  <c r="G257" i="18"/>
  <c r="D258" i="18"/>
  <c r="I261" i="18"/>
  <c r="I46" i="17"/>
  <c r="I47" i="17" s="1"/>
  <c r="H119" i="17"/>
  <c r="H121" i="17"/>
  <c r="H123" i="17"/>
  <c r="H125" i="17"/>
  <c r="H127" i="17"/>
  <c r="H129" i="17"/>
  <c r="G196" i="17"/>
  <c r="E202" i="17"/>
  <c r="E287" i="17"/>
  <c r="G293" i="17"/>
  <c r="K92" i="18"/>
  <c r="H93" i="18"/>
  <c r="E94" i="18"/>
  <c r="U94" i="18"/>
  <c r="R95" i="18"/>
  <c r="O96" i="18"/>
  <c r="L97" i="18"/>
  <c r="I98" i="18"/>
  <c r="F99" i="18"/>
  <c r="V99" i="18"/>
  <c r="S100" i="18"/>
  <c r="P101" i="18"/>
  <c r="M102" i="18"/>
  <c r="J103" i="18"/>
  <c r="G202" i="17"/>
  <c r="E208" i="17"/>
  <c r="I211" i="17"/>
  <c r="K267" i="17"/>
  <c r="G271" i="17"/>
  <c r="L92" i="18"/>
  <c r="I93" i="18"/>
  <c r="F94" i="18"/>
  <c r="V94" i="18"/>
  <c r="S95" i="18"/>
  <c r="P96" i="18"/>
  <c r="M97" i="18"/>
  <c r="J98" i="18"/>
  <c r="G99" i="18"/>
  <c r="D100" i="18"/>
  <c r="T100" i="18"/>
  <c r="Q101" i="18"/>
  <c r="N102" i="18"/>
  <c r="K103" i="18"/>
  <c r="U98" i="18"/>
  <c r="S160" i="18"/>
  <c r="S170" i="18"/>
  <c r="Q266" i="18"/>
  <c r="N267" i="18"/>
  <c r="H269" i="18"/>
  <c r="U270" i="18"/>
  <c r="M265" i="18"/>
  <c r="J115" i="17"/>
  <c r="J117" i="17"/>
  <c r="J119" i="17"/>
  <c r="J121" i="17"/>
  <c r="J123" i="17"/>
  <c r="J125" i="17"/>
  <c r="J127" i="17"/>
  <c r="J129" i="17"/>
  <c r="H100" i="17"/>
  <c r="E281" i="17"/>
  <c r="K283" i="17"/>
  <c r="G287" i="17"/>
  <c r="G183" i="18"/>
  <c r="G260" i="18"/>
  <c r="G105" i="18"/>
  <c r="D184" i="18"/>
  <c r="D106" i="18"/>
  <c r="T184" i="18"/>
  <c r="T106" i="18"/>
  <c r="Q185" i="18"/>
  <c r="Q262" i="18"/>
  <c r="Q107" i="18"/>
  <c r="N263" i="18"/>
  <c r="N108" i="18"/>
  <c r="K187" i="18"/>
  <c r="K109" i="18"/>
  <c r="H188" i="18"/>
  <c r="H110" i="18"/>
  <c r="R190" i="18"/>
  <c r="R112" i="18"/>
  <c r="O268" i="18"/>
  <c r="O113" i="18"/>
  <c r="L269" i="18"/>
  <c r="L192" i="18"/>
  <c r="L114" i="18"/>
  <c r="I193" i="18"/>
  <c r="I115" i="18"/>
  <c r="F271" i="18"/>
  <c r="F116" i="18"/>
  <c r="V194" i="18"/>
  <c r="V116" i="18"/>
  <c r="P196" i="18"/>
  <c r="P273" i="18"/>
  <c r="P118" i="18"/>
  <c r="M274" i="18"/>
  <c r="M197" i="18"/>
  <c r="M119" i="18"/>
  <c r="J198" i="18"/>
  <c r="J275" i="18"/>
  <c r="J120" i="18"/>
  <c r="J43" i="18"/>
  <c r="M82" i="18"/>
  <c r="M121" i="18" s="1"/>
  <c r="L82" i="18"/>
  <c r="L121" i="18" s="1"/>
  <c r="V237" i="18"/>
  <c r="V276" i="18" s="1"/>
  <c r="U266" i="18"/>
  <c r="F46" i="19"/>
  <c r="I100" i="17"/>
  <c r="D183" i="17"/>
  <c r="D185" i="17"/>
  <c r="D187" i="17"/>
  <c r="D189" i="17"/>
  <c r="D191" i="17"/>
  <c r="D193" i="17"/>
  <c r="D197" i="17"/>
  <c r="D199" i="17"/>
  <c r="D201" i="17"/>
  <c r="D203" i="17"/>
  <c r="D205" i="17"/>
  <c r="D207" i="17"/>
  <c r="D209" i="17"/>
  <c r="D211" i="17"/>
  <c r="D213" i="17"/>
  <c r="J208" i="17"/>
  <c r="G256" i="17"/>
  <c r="V249" i="18"/>
  <c r="V172" i="18"/>
  <c r="K43" i="18"/>
  <c r="N82" i="18"/>
  <c r="N121" i="18" s="1"/>
  <c r="N92" i="18"/>
  <c r="K93" i="18"/>
  <c r="H94" i="18"/>
  <c r="E95" i="18"/>
  <c r="U95" i="18"/>
  <c r="R96" i="18"/>
  <c r="O97" i="18"/>
  <c r="L98" i="18"/>
  <c r="I99" i="18"/>
  <c r="F100" i="18"/>
  <c r="V100" i="18"/>
  <c r="S101" i="18"/>
  <c r="P102" i="18"/>
  <c r="M103" i="18"/>
  <c r="E170" i="18"/>
  <c r="E160" i="18"/>
  <c r="E199" i="18" s="1"/>
  <c r="U170" i="18"/>
  <c r="U160" i="18"/>
  <c r="U199" i="18" s="1"/>
  <c r="R160" i="18"/>
  <c r="R199" i="18" s="1"/>
  <c r="O172" i="18"/>
  <c r="L173" i="18"/>
  <c r="I174" i="18"/>
  <c r="F175" i="18"/>
  <c r="V175" i="18"/>
  <c r="S176" i="18"/>
  <c r="P177" i="18"/>
  <c r="M178" i="18"/>
  <c r="J179" i="18"/>
  <c r="G180" i="18"/>
  <c r="D181" i="18"/>
  <c r="T181" i="18"/>
  <c r="E189" i="18"/>
  <c r="F247" i="18"/>
  <c r="E183" i="17"/>
  <c r="E172" i="17"/>
  <c r="E185" i="17"/>
  <c r="E187" i="17"/>
  <c r="E189" i="17"/>
  <c r="E191" i="17"/>
  <c r="E193" i="17"/>
  <c r="E197" i="17"/>
  <c r="E199" i="17"/>
  <c r="E201" i="17"/>
  <c r="E203" i="17"/>
  <c r="E205" i="17"/>
  <c r="E207" i="17"/>
  <c r="E209" i="17"/>
  <c r="E211" i="17"/>
  <c r="E213" i="17"/>
  <c r="I185" i="17"/>
  <c r="K202" i="17"/>
  <c r="K208" i="17"/>
  <c r="D266" i="17"/>
  <c r="D268" i="17"/>
  <c r="D270" i="17"/>
  <c r="D272" i="17"/>
  <c r="D274" i="17"/>
  <c r="D276" i="17"/>
  <c r="D280" i="17"/>
  <c r="D282" i="17"/>
  <c r="D284" i="17"/>
  <c r="D286" i="17"/>
  <c r="D288" i="17"/>
  <c r="D290" i="17"/>
  <c r="D292" i="17"/>
  <c r="D294" i="17"/>
  <c r="D296" i="17"/>
  <c r="G281" i="17"/>
  <c r="L43" i="18"/>
  <c r="O82" i="18"/>
  <c r="O121" i="18" s="1"/>
  <c r="R82" i="18"/>
  <c r="R121" i="18" s="1"/>
  <c r="F170" i="18"/>
  <c r="F160" i="18"/>
  <c r="F199" i="18" s="1"/>
  <c r="V170" i="18"/>
  <c r="S171" i="18"/>
  <c r="P172" i="18"/>
  <c r="M173" i="18"/>
  <c r="J174" i="18"/>
  <c r="G175" i="18"/>
  <c r="D176" i="18"/>
  <c r="T176" i="18"/>
  <c r="Q177" i="18"/>
  <c r="N178" i="18"/>
  <c r="K179" i="18"/>
  <c r="H180" i="18"/>
  <c r="U181" i="18"/>
  <c r="Q183" i="18"/>
  <c r="N184" i="18"/>
  <c r="K185" i="18"/>
  <c r="E187" i="18"/>
  <c r="U187" i="18"/>
  <c r="R188" i="18"/>
  <c r="O189" i="18"/>
  <c r="L190" i="18"/>
  <c r="I191" i="18"/>
  <c r="F192" i="18"/>
  <c r="V192" i="18"/>
  <c r="S193" i="18"/>
  <c r="P194" i="18"/>
  <c r="G197" i="18"/>
  <c r="D198" i="18"/>
  <c r="T198" i="18"/>
  <c r="K237" i="18"/>
  <c r="K247" i="18"/>
  <c r="H237" i="18"/>
  <c r="H276" i="18" s="1"/>
  <c r="H248" i="18"/>
  <c r="E249" i="18"/>
  <c r="U249" i="18"/>
  <c r="R250" i="18"/>
  <c r="O251" i="18"/>
  <c r="L252" i="18"/>
  <c r="I253" i="18"/>
  <c r="F254" i="18"/>
  <c r="V254" i="18"/>
  <c r="S255" i="18"/>
  <c r="P256" i="18"/>
  <c r="J258" i="18"/>
  <c r="V269" i="18"/>
  <c r="F183" i="17"/>
  <c r="F172" i="17"/>
  <c r="F185" i="17"/>
  <c r="F187" i="17"/>
  <c r="F189" i="17"/>
  <c r="F191" i="17"/>
  <c r="F193" i="17"/>
  <c r="F197" i="17"/>
  <c r="F199" i="17"/>
  <c r="F201" i="17"/>
  <c r="F203" i="17"/>
  <c r="F205" i="17"/>
  <c r="F207" i="17"/>
  <c r="F209" i="17"/>
  <c r="F211" i="17"/>
  <c r="F213" i="17"/>
  <c r="E200" i="17"/>
  <c r="E212" i="17"/>
  <c r="K271" i="17"/>
  <c r="G275" i="17"/>
  <c r="N43" i="18"/>
  <c r="M43" i="18"/>
  <c r="L105" i="18"/>
  <c r="I106" i="18"/>
  <c r="F107" i="18"/>
  <c r="V107" i="18"/>
  <c r="S108" i="18"/>
  <c r="P109" i="18"/>
  <c r="M110" i="18"/>
  <c r="J111" i="18"/>
  <c r="G112" i="18"/>
  <c r="D113" i="18"/>
  <c r="T113" i="18"/>
  <c r="Q114" i="18"/>
  <c r="N115" i="18"/>
  <c r="K116" i="18"/>
  <c r="E118" i="18"/>
  <c r="U118" i="18"/>
  <c r="R119" i="18"/>
  <c r="O120" i="18"/>
  <c r="G170" i="18"/>
  <c r="G160" i="18"/>
  <c r="G199" i="18" s="1"/>
  <c r="D171" i="18"/>
  <c r="T171" i="18"/>
  <c r="Q172" i="18"/>
  <c r="N173" i="18"/>
  <c r="K174" i="18"/>
  <c r="H175" i="18"/>
  <c r="E176" i="18"/>
  <c r="R177" i="18"/>
  <c r="O178" i="18"/>
  <c r="L179" i="18"/>
  <c r="I180" i="18"/>
  <c r="F181" i="18"/>
  <c r="V181" i="18"/>
  <c r="R183" i="18"/>
  <c r="O184" i="18"/>
  <c r="L185" i="18"/>
  <c r="I186" i="18"/>
  <c r="F187" i="18"/>
  <c r="V187" i="18"/>
  <c r="S188" i="18"/>
  <c r="P189" i="18"/>
  <c r="M190" i="18"/>
  <c r="J191" i="18"/>
  <c r="D193" i="18"/>
  <c r="T193" i="18"/>
  <c r="Q194" i="18"/>
  <c r="K196" i="18"/>
  <c r="H197" i="18"/>
  <c r="E198" i="18"/>
  <c r="U198" i="18"/>
  <c r="L247" i="18"/>
  <c r="I237" i="18"/>
  <c r="I276" i="18" s="1"/>
  <c r="F249" i="18"/>
  <c r="S250" i="18"/>
  <c r="P251" i="18"/>
  <c r="M252" i="18"/>
  <c r="D261" i="18"/>
  <c r="T261" i="18"/>
  <c r="K264" i="18"/>
  <c r="H265" i="18"/>
  <c r="E266" i="18"/>
  <c r="R267" i="18"/>
  <c r="I270" i="18"/>
  <c r="V271" i="18"/>
  <c r="P271" i="18"/>
  <c r="F118" i="17"/>
  <c r="F120" i="17"/>
  <c r="F122" i="17"/>
  <c r="F124" i="17"/>
  <c r="F126" i="17"/>
  <c r="F128" i="17"/>
  <c r="F88" i="17"/>
  <c r="G214" i="17"/>
  <c r="E206" i="17"/>
  <c r="F266" i="17"/>
  <c r="F255" i="17"/>
  <c r="F268" i="17"/>
  <c r="F270" i="17"/>
  <c r="F272" i="17"/>
  <c r="F274" i="17"/>
  <c r="F276" i="17"/>
  <c r="F280" i="17"/>
  <c r="F282" i="17"/>
  <c r="F284" i="17"/>
  <c r="F286" i="17"/>
  <c r="F288" i="17"/>
  <c r="F290" i="17"/>
  <c r="F292" i="17"/>
  <c r="F294" i="17"/>
  <c r="F296" i="17"/>
  <c r="G291" i="17"/>
  <c r="O43" i="18"/>
  <c r="M105" i="18"/>
  <c r="J106" i="18"/>
  <c r="G107" i="18"/>
  <c r="D108" i="18"/>
  <c r="T108" i="18"/>
  <c r="Q109" i="18"/>
  <c r="N110" i="18"/>
  <c r="K111" i="18"/>
  <c r="H112" i="18"/>
  <c r="E113" i="18"/>
  <c r="U113" i="18"/>
  <c r="R114" i="18"/>
  <c r="O115" i="18"/>
  <c r="L116" i="18"/>
  <c r="F118" i="18"/>
  <c r="V118" i="18"/>
  <c r="S119" i="18"/>
  <c r="P120" i="18"/>
  <c r="T82" i="18"/>
  <c r="T121" i="18" s="1"/>
  <c r="U106" i="18"/>
  <c r="M247" i="18"/>
  <c r="J237" i="18"/>
  <c r="J276" i="18" s="1"/>
  <c r="G237" i="18"/>
  <c r="G276" i="18" s="1"/>
  <c r="D250" i="18"/>
  <c r="T237" i="18"/>
  <c r="Q251" i="18"/>
  <c r="N252" i="18"/>
  <c r="K253" i="18"/>
  <c r="H254" i="18"/>
  <c r="E255" i="18"/>
  <c r="U255" i="18"/>
  <c r="R256" i="18"/>
  <c r="O257" i="18"/>
  <c r="L258" i="18"/>
  <c r="G206" i="17"/>
  <c r="G269" i="17"/>
  <c r="P43" i="18"/>
  <c r="P121" i="18" s="1"/>
  <c r="P247" i="18"/>
  <c r="P160" i="18"/>
  <c r="P199" i="18" s="1"/>
  <c r="I260" i="18"/>
  <c r="F261" i="18"/>
  <c r="V261" i="18"/>
  <c r="S262" i="18"/>
  <c r="P263" i="18"/>
  <c r="M264" i="18"/>
  <c r="J265" i="18"/>
  <c r="G266" i="18"/>
  <c r="D267" i="18"/>
  <c r="T267" i="18"/>
  <c r="Q268" i="18"/>
  <c r="N269" i="18"/>
  <c r="K270" i="18"/>
  <c r="H271" i="18"/>
  <c r="U272" i="18"/>
  <c r="R273" i="18"/>
  <c r="O274" i="18"/>
  <c r="L275" i="18"/>
  <c r="H116" i="17"/>
  <c r="H118" i="17"/>
  <c r="H120" i="17"/>
  <c r="H122" i="17"/>
  <c r="H124" i="17"/>
  <c r="H126" i="17"/>
  <c r="H128" i="17"/>
  <c r="H183" i="17"/>
  <c r="G266" i="17"/>
  <c r="J184" i="18"/>
  <c r="J261" i="18"/>
  <c r="G262" i="18"/>
  <c r="G185" i="18"/>
  <c r="Q187" i="18"/>
  <c r="Q264" i="18"/>
  <c r="N188" i="18"/>
  <c r="N265" i="18"/>
  <c r="K266" i="18"/>
  <c r="K189" i="18"/>
  <c r="H267" i="18"/>
  <c r="H190" i="18"/>
  <c r="E191" i="18"/>
  <c r="E268" i="18"/>
  <c r="U191" i="18"/>
  <c r="U268" i="18"/>
  <c r="S43" i="18"/>
  <c r="S121" i="18" s="1"/>
  <c r="K120" i="18"/>
  <c r="I269" i="17"/>
  <c r="Q93" i="18"/>
  <c r="Q82" i="18"/>
  <c r="Q121" i="18" s="1"/>
  <c r="H171" i="18"/>
  <c r="R173" i="18"/>
  <c r="L175" i="18"/>
  <c r="S178" i="18"/>
  <c r="M180" i="18"/>
  <c r="G192" i="18"/>
  <c r="J266" i="17"/>
  <c r="J268" i="17"/>
  <c r="J270" i="17"/>
  <c r="J272" i="17"/>
  <c r="J274" i="17"/>
  <c r="J276" i="17"/>
  <c r="J278" i="17"/>
  <c r="J280" i="17"/>
  <c r="J282" i="17"/>
  <c r="J284" i="17"/>
  <c r="J286" i="17"/>
  <c r="J288" i="17"/>
  <c r="J290" i="17"/>
  <c r="J292" i="17"/>
  <c r="J294" i="17"/>
  <c r="J296" i="17"/>
  <c r="G295" i="17"/>
  <c r="E92" i="18"/>
  <c r="U92" i="18"/>
  <c r="R93" i="18"/>
  <c r="O94" i="18"/>
  <c r="L95" i="18"/>
  <c r="I96" i="18"/>
  <c r="F97" i="18"/>
  <c r="V97" i="18"/>
  <c r="S98" i="18"/>
  <c r="P99" i="18"/>
  <c r="M100" i="18"/>
  <c r="J101" i="18"/>
  <c r="G102" i="18"/>
  <c r="D103" i="18"/>
  <c r="T103" i="18"/>
  <c r="H92" i="18"/>
  <c r="L160" i="18"/>
  <c r="L199" i="18" s="1"/>
  <c r="I171" i="18"/>
  <c r="P174" i="18"/>
  <c r="J176" i="18"/>
  <c r="T178" i="18"/>
  <c r="N186" i="18"/>
  <c r="U189" i="18"/>
  <c r="O191" i="18"/>
  <c r="F194" i="18"/>
  <c r="N248" i="18"/>
  <c r="K249" i="18"/>
  <c r="H250" i="18"/>
  <c r="E251" i="18"/>
  <c r="U251" i="18"/>
  <c r="R252" i="18"/>
  <c r="O253" i="18"/>
  <c r="L254" i="18"/>
  <c r="I255" i="18"/>
  <c r="F256" i="18"/>
  <c r="V256" i="18"/>
  <c r="S257" i="18"/>
  <c r="P258" i="18"/>
  <c r="L260" i="18"/>
  <c r="F262" i="18"/>
  <c r="V262" i="18"/>
  <c r="S263" i="18"/>
  <c r="P264" i="18"/>
  <c r="J266" i="18"/>
  <c r="G267" i="18"/>
  <c r="D268" i="18"/>
  <c r="T268" i="18"/>
  <c r="Q269" i="18"/>
  <c r="N270" i="18"/>
  <c r="K271" i="18"/>
  <c r="E273" i="18"/>
  <c r="U273" i="18"/>
  <c r="R274" i="18"/>
  <c r="O275" i="18"/>
  <c r="D172" i="17"/>
  <c r="K266" i="17"/>
  <c r="K255" i="17"/>
  <c r="K268" i="17"/>
  <c r="K270" i="17"/>
  <c r="K272" i="17"/>
  <c r="K274" i="17"/>
  <c r="K276" i="17"/>
  <c r="K278" i="17"/>
  <c r="K280" i="17"/>
  <c r="K282" i="17"/>
  <c r="K284" i="17"/>
  <c r="K286" i="17"/>
  <c r="K288" i="17"/>
  <c r="K290" i="17"/>
  <c r="K292" i="17"/>
  <c r="K294" i="17"/>
  <c r="K296" i="17"/>
  <c r="K269" i="17"/>
  <c r="D43" i="18"/>
  <c r="T43" i="18"/>
  <c r="F92" i="18"/>
  <c r="V92" i="18"/>
  <c r="S93" i="18"/>
  <c r="P94" i="18"/>
  <c r="M95" i="18"/>
  <c r="J96" i="18"/>
  <c r="G97" i="18"/>
  <c r="D98" i="18"/>
  <c r="T98" i="18"/>
  <c r="Q99" i="18"/>
  <c r="N100" i="18"/>
  <c r="K101" i="18"/>
  <c r="H102" i="18"/>
  <c r="E103" i="18"/>
  <c r="U103" i="18"/>
  <c r="R105" i="18"/>
  <c r="O106" i="18"/>
  <c r="L107" i="18"/>
  <c r="I108" i="18"/>
  <c r="F109" i="18"/>
  <c r="V109" i="18"/>
  <c r="S110" i="18"/>
  <c r="P111" i="18"/>
  <c r="M112" i="18"/>
  <c r="J113" i="18"/>
  <c r="G114" i="18"/>
  <c r="D115" i="18"/>
  <c r="T115" i="18"/>
  <c r="Q116" i="18"/>
  <c r="K118" i="18"/>
  <c r="H119" i="18"/>
  <c r="E120" i="18"/>
  <c r="U120" i="18"/>
  <c r="I92" i="18"/>
  <c r="M160" i="18"/>
  <c r="M199" i="18" s="1"/>
  <c r="M170" i="18"/>
  <c r="J160" i="18"/>
  <c r="J199" i="18" s="1"/>
  <c r="J171" i="18"/>
  <c r="G172" i="18"/>
  <c r="D173" i="18"/>
  <c r="T173" i="18"/>
  <c r="Q174" i="18"/>
  <c r="N175" i="18"/>
  <c r="K176" i="18"/>
  <c r="H177" i="18"/>
  <c r="E178" i="18"/>
  <c r="U178" i="18"/>
  <c r="R179" i="18"/>
  <c r="O180" i="18"/>
  <c r="L181" i="18"/>
  <c r="H183" i="18"/>
  <c r="E184" i="18"/>
  <c r="R185" i="18"/>
  <c r="O186" i="18"/>
  <c r="L187" i="18"/>
  <c r="I188" i="18"/>
  <c r="F189" i="18"/>
  <c r="V189" i="18"/>
  <c r="S190" i="18"/>
  <c r="P191" i="18"/>
  <c r="M192" i="18"/>
  <c r="J193" i="18"/>
  <c r="G194" i="18"/>
  <c r="Q196" i="18"/>
  <c r="N197" i="18"/>
  <c r="R171" i="18"/>
  <c r="D186" i="18"/>
  <c r="M260" i="18"/>
  <c r="T263" i="18"/>
  <c r="J111" i="17"/>
  <c r="D267" i="17"/>
  <c r="D269" i="17"/>
  <c r="D271" i="17"/>
  <c r="D273" i="17"/>
  <c r="D275" i="17"/>
  <c r="D277" i="17"/>
  <c r="D279" i="17"/>
  <c r="D281" i="17"/>
  <c r="D283" i="17"/>
  <c r="D285" i="17"/>
  <c r="D287" i="17"/>
  <c r="D289" i="17"/>
  <c r="D291" i="17"/>
  <c r="D293" i="17"/>
  <c r="D295" i="17"/>
  <c r="D255" i="17"/>
  <c r="E43" i="18"/>
  <c r="U43" i="18"/>
  <c r="Q105" i="18"/>
  <c r="Q260" i="18"/>
  <c r="N106" i="18"/>
  <c r="N261" i="18"/>
  <c r="K262" i="18"/>
  <c r="K107" i="18"/>
  <c r="H108" i="18"/>
  <c r="H263" i="18"/>
  <c r="H186" i="18"/>
  <c r="E109" i="18"/>
  <c r="E264" i="18"/>
  <c r="U264" i="18"/>
  <c r="U109" i="18"/>
  <c r="R110" i="18"/>
  <c r="R265" i="18"/>
  <c r="O266" i="18"/>
  <c r="O111" i="18"/>
  <c r="L112" i="18"/>
  <c r="L267" i="18"/>
  <c r="I268" i="18"/>
  <c r="I113" i="18"/>
  <c r="F114" i="18"/>
  <c r="F269" i="18"/>
  <c r="S115" i="18"/>
  <c r="S270" i="18"/>
  <c r="J118" i="18"/>
  <c r="J273" i="18"/>
  <c r="G119" i="18"/>
  <c r="G274" i="18"/>
  <c r="D120" i="18"/>
  <c r="D275" i="18"/>
  <c r="T120" i="18"/>
  <c r="T275" i="18"/>
  <c r="G82" i="18"/>
  <c r="G121" i="18" s="1"/>
  <c r="S105" i="18"/>
  <c r="P106" i="18"/>
  <c r="M107" i="18"/>
  <c r="J108" i="18"/>
  <c r="G109" i="18"/>
  <c r="D110" i="18"/>
  <c r="T110" i="18"/>
  <c r="Q111" i="18"/>
  <c r="N112" i="18"/>
  <c r="K113" i="18"/>
  <c r="H114" i="18"/>
  <c r="E115" i="18"/>
  <c r="U115" i="18"/>
  <c r="R116" i="18"/>
  <c r="L118" i="18"/>
  <c r="I119" i="18"/>
  <c r="F120" i="18"/>
  <c r="V120" i="18"/>
  <c r="N170" i="18"/>
  <c r="K160" i="18"/>
  <c r="K199" i="18" s="1"/>
  <c r="H172" i="18"/>
  <c r="E173" i="18"/>
  <c r="U173" i="18"/>
  <c r="R174" i="18"/>
  <c r="O175" i="18"/>
  <c r="L176" i="18"/>
  <c r="I177" i="18"/>
  <c r="F178" i="18"/>
  <c r="S179" i="18"/>
  <c r="P180" i="18"/>
  <c r="M181" i="18"/>
  <c r="P237" i="18"/>
  <c r="H45" i="19"/>
  <c r="H46" i="19" s="1"/>
  <c r="H99" i="19"/>
  <c r="D160" i="18"/>
  <c r="T160" i="18"/>
  <c r="T199" i="18" s="1"/>
  <c r="Q160" i="18"/>
  <c r="Q199" i="18" s="1"/>
  <c r="V174" i="18"/>
  <c r="J253" i="18"/>
  <c r="G254" i="18"/>
  <c r="D255" i="18"/>
  <c r="T255" i="18"/>
  <c r="Q256" i="18"/>
  <c r="N257" i="18"/>
  <c r="K258" i="18"/>
  <c r="M268" i="18"/>
  <c r="J88" i="19"/>
  <c r="J129" i="19"/>
  <c r="J101" i="19"/>
  <c r="J105" i="19"/>
  <c r="J107" i="19"/>
  <c r="J109" i="19"/>
  <c r="J111" i="19"/>
  <c r="J113" i="19"/>
  <c r="J115" i="19"/>
  <c r="J117" i="19"/>
  <c r="J119" i="19"/>
  <c r="J121" i="19"/>
  <c r="J125" i="19"/>
  <c r="J127" i="19"/>
  <c r="J183" i="19"/>
  <c r="J187" i="19"/>
  <c r="J189" i="19"/>
  <c r="J191" i="19"/>
  <c r="J195" i="19"/>
  <c r="J197" i="19"/>
  <c r="J199" i="19"/>
  <c r="J201" i="19"/>
  <c r="J203" i="19"/>
  <c r="J205" i="19"/>
  <c r="J207" i="19"/>
  <c r="J209" i="19"/>
  <c r="J211" i="19"/>
  <c r="D265" i="19"/>
  <c r="D267" i="19"/>
  <c r="D271" i="19"/>
  <c r="D273" i="19"/>
  <c r="D275" i="19"/>
  <c r="K275" i="19"/>
  <c r="H260" i="18"/>
  <c r="E261" i="18"/>
  <c r="U261" i="18"/>
  <c r="R262" i="18"/>
  <c r="O263" i="18"/>
  <c r="L264" i="18"/>
  <c r="I265" i="18"/>
  <c r="F266" i="18"/>
  <c r="V266" i="18"/>
  <c r="S267" i="18"/>
  <c r="P268" i="18"/>
  <c r="M269" i="18"/>
  <c r="J270" i="18"/>
  <c r="G271" i="18"/>
  <c r="Q273" i="18"/>
  <c r="N274" i="18"/>
  <c r="K275" i="18"/>
  <c r="I248" i="18"/>
  <c r="P253" i="18"/>
  <c r="G270" i="18"/>
  <c r="J99" i="19"/>
  <c r="D108" i="19"/>
  <c r="J185" i="19"/>
  <c r="J190" i="18"/>
  <c r="N247" i="18"/>
  <c r="K248" i="18"/>
  <c r="H249" i="18"/>
  <c r="E250" i="18"/>
  <c r="U250" i="18"/>
  <c r="R251" i="18"/>
  <c r="O252" i="18"/>
  <c r="L253" i="18"/>
  <c r="I254" i="18"/>
  <c r="F255" i="18"/>
  <c r="V255" i="18"/>
  <c r="S256" i="18"/>
  <c r="P257" i="18"/>
  <c r="M258" i="18"/>
  <c r="J248" i="18"/>
  <c r="D98" i="19"/>
  <c r="D102" i="19"/>
  <c r="D106" i="19"/>
  <c r="D172" i="19"/>
  <c r="D213" i="19"/>
  <c r="D190" i="19"/>
  <c r="D186" i="19"/>
  <c r="F255" i="19"/>
  <c r="F296" i="19"/>
  <c r="V160" i="18"/>
  <c r="V199" i="18" s="1"/>
  <c r="O247" i="18"/>
  <c r="L248" i="18"/>
  <c r="I249" i="18"/>
  <c r="F250" i="18"/>
  <c r="V250" i="18"/>
  <c r="S251" i="18"/>
  <c r="P252" i="18"/>
  <c r="M253" i="18"/>
  <c r="J254" i="18"/>
  <c r="G255" i="18"/>
  <c r="D256" i="18"/>
  <c r="T256" i="18"/>
  <c r="Q257" i="18"/>
  <c r="N258" i="18"/>
  <c r="J260" i="18"/>
  <c r="G261" i="18"/>
  <c r="D262" i="18"/>
  <c r="T262" i="18"/>
  <c r="Q263" i="18"/>
  <c r="N264" i="18"/>
  <c r="K265" i="18"/>
  <c r="H266" i="18"/>
  <c r="E267" i="18"/>
  <c r="U267" i="18"/>
  <c r="R268" i="18"/>
  <c r="O269" i="18"/>
  <c r="L270" i="18"/>
  <c r="I271" i="18"/>
  <c r="V272" i="18"/>
  <c r="S273" i="18"/>
  <c r="P274" i="18"/>
  <c r="M275" i="18"/>
  <c r="T257" i="18"/>
  <c r="D46" i="19"/>
  <c r="D184" i="19"/>
  <c r="D100" i="19"/>
  <c r="E172" i="19"/>
  <c r="E213" i="19"/>
  <c r="S183" i="18"/>
  <c r="P184" i="18"/>
  <c r="M185" i="18"/>
  <c r="J186" i="18"/>
  <c r="G187" i="18"/>
  <c r="D188" i="18"/>
  <c r="T188" i="18"/>
  <c r="Q189" i="18"/>
  <c r="N190" i="18"/>
  <c r="K191" i="18"/>
  <c r="H192" i="18"/>
  <c r="E193" i="18"/>
  <c r="U193" i="18"/>
  <c r="R194" i="18"/>
  <c r="L196" i="18"/>
  <c r="I197" i="18"/>
  <c r="F198" i="18"/>
  <c r="V198" i="18"/>
  <c r="D170" i="18"/>
  <c r="J178" i="18"/>
  <c r="K260" i="18"/>
  <c r="H261" i="18"/>
  <c r="E262" i="18"/>
  <c r="U262" i="18"/>
  <c r="R263" i="18"/>
  <c r="O264" i="18"/>
  <c r="L265" i="18"/>
  <c r="I266" i="18"/>
  <c r="F267" i="18"/>
  <c r="V267" i="18"/>
  <c r="S268" i="18"/>
  <c r="P269" i="18"/>
  <c r="M270" i="18"/>
  <c r="J271" i="18"/>
  <c r="D273" i="18"/>
  <c r="T273" i="18"/>
  <c r="Q274" i="18"/>
  <c r="N275" i="18"/>
  <c r="L237" i="18"/>
  <c r="L276" i="18" s="1"/>
  <c r="N256" i="18"/>
  <c r="F98" i="19"/>
  <c r="F102" i="19"/>
  <c r="F106" i="19"/>
  <c r="F114" i="19"/>
  <c r="F126" i="19"/>
  <c r="F171" i="19"/>
  <c r="F182" i="19"/>
  <c r="F184" i="19"/>
  <c r="F186" i="19"/>
  <c r="F190" i="19"/>
  <c r="F192" i="19"/>
  <c r="F198" i="19"/>
  <c r="F200" i="19"/>
  <c r="F202" i="19"/>
  <c r="F204" i="19"/>
  <c r="F206" i="19"/>
  <c r="F208" i="19"/>
  <c r="F210" i="19"/>
  <c r="F212" i="19"/>
  <c r="M189" i="18"/>
  <c r="Q237" i="18"/>
  <c r="Q276" i="18" s="1"/>
  <c r="M237" i="18"/>
  <c r="M276" i="18" s="1"/>
  <c r="G98" i="19"/>
  <c r="G87" i="19"/>
  <c r="K170" i="20"/>
  <c r="K42" i="20"/>
  <c r="K276" i="20" s="1"/>
  <c r="E172" i="20"/>
  <c r="E42" i="20"/>
  <c r="G260" i="20"/>
  <c r="G183" i="20"/>
  <c r="T261" i="20"/>
  <c r="T184" i="20"/>
  <c r="N263" i="20"/>
  <c r="N186" i="20"/>
  <c r="J170" i="18"/>
  <c r="G171" i="18"/>
  <c r="D172" i="18"/>
  <c r="T172" i="18"/>
  <c r="Q173" i="18"/>
  <c r="N174" i="18"/>
  <c r="K175" i="18"/>
  <c r="H176" i="18"/>
  <c r="E177" i="18"/>
  <c r="U177" i="18"/>
  <c r="R178" i="18"/>
  <c r="O179" i="18"/>
  <c r="L180" i="18"/>
  <c r="I181" i="18"/>
  <c r="R237" i="18"/>
  <c r="R276" i="18" s="1"/>
  <c r="R269" i="18"/>
  <c r="O270" i="18"/>
  <c r="L271" i="18"/>
  <c r="F273" i="18"/>
  <c r="V273" i="18"/>
  <c r="S274" i="18"/>
  <c r="P275" i="18"/>
  <c r="N237" i="18"/>
  <c r="N276" i="18" s="1"/>
  <c r="P248" i="18"/>
  <c r="J123" i="19"/>
  <c r="J255" i="19"/>
  <c r="O237" i="18"/>
  <c r="O276" i="18" s="1"/>
  <c r="Q247" i="18"/>
  <c r="I98" i="19"/>
  <c r="I87" i="19"/>
  <c r="D191" i="19"/>
  <c r="K255" i="19"/>
  <c r="K296" i="19"/>
  <c r="K267" i="19"/>
  <c r="K269" i="19"/>
  <c r="K271" i="19"/>
  <c r="K273" i="19"/>
  <c r="K277" i="19"/>
  <c r="K279" i="19"/>
  <c r="K281" i="19"/>
  <c r="K283" i="19"/>
  <c r="K285" i="19"/>
  <c r="K287" i="19"/>
  <c r="K289" i="19"/>
  <c r="K293" i="19"/>
  <c r="K295" i="19"/>
  <c r="H160" i="18"/>
  <c r="H199" i="18" s="1"/>
  <c r="I172" i="18"/>
  <c r="U252" i="18"/>
  <c r="R253" i="18"/>
  <c r="O254" i="18"/>
  <c r="L255" i="18"/>
  <c r="I256" i="18"/>
  <c r="F257" i="18"/>
  <c r="V257" i="18"/>
  <c r="S258" i="18"/>
  <c r="R247" i="18"/>
  <c r="I265" i="19"/>
  <c r="I182" i="19"/>
  <c r="I45" i="19"/>
  <c r="I46" i="19" s="1"/>
  <c r="I267" i="19"/>
  <c r="I184" i="19"/>
  <c r="I269" i="19"/>
  <c r="I186" i="19"/>
  <c r="I271" i="19"/>
  <c r="I188" i="19"/>
  <c r="I273" i="19"/>
  <c r="I190" i="19"/>
  <c r="I275" i="19"/>
  <c r="I192" i="19"/>
  <c r="I277" i="19"/>
  <c r="I194" i="19"/>
  <c r="I279" i="19"/>
  <c r="I196" i="19"/>
  <c r="I281" i="19"/>
  <c r="I198" i="19"/>
  <c r="I283" i="19"/>
  <c r="I200" i="19"/>
  <c r="I285" i="19"/>
  <c r="I202" i="19"/>
  <c r="I287" i="19"/>
  <c r="I204" i="19"/>
  <c r="I289" i="19"/>
  <c r="I206" i="19"/>
  <c r="I291" i="19"/>
  <c r="I208" i="19"/>
  <c r="I293" i="19"/>
  <c r="I210" i="19"/>
  <c r="D104" i="19"/>
  <c r="D266" i="19"/>
  <c r="E254" i="19"/>
  <c r="M261" i="18"/>
  <c r="J262" i="18"/>
  <c r="G263" i="18"/>
  <c r="D264" i="18"/>
  <c r="T264" i="18"/>
  <c r="Q265" i="18"/>
  <c r="N266" i="18"/>
  <c r="K267" i="18"/>
  <c r="H268" i="18"/>
  <c r="E269" i="18"/>
  <c r="U269" i="18"/>
  <c r="R270" i="18"/>
  <c r="O271" i="18"/>
  <c r="I273" i="18"/>
  <c r="F274" i="18"/>
  <c r="V274" i="18"/>
  <c r="S275" i="18"/>
  <c r="S237" i="18"/>
  <c r="S276" i="18" s="1"/>
  <c r="T250" i="18"/>
  <c r="D271" i="18"/>
  <c r="K100" i="19"/>
  <c r="K104" i="19"/>
  <c r="K106" i="19"/>
  <c r="K110" i="19"/>
  <c r="K112" i="19"/>
  <c r="K114" i="19"/>
  <c r="K118" i="19"/>
  <c r="K122" i="19"/>
  <c r="K126" i="19"/>
  <c r="K128" i="19"/>
  <c r="I183" i="18"/>
  <c r="F184" i="18"/>
  <c r="V184" i="18"/>
  <c r="S185" i="18"/>
  <c r="P186" i="18"/>
  <c r="M187" i="18"/>
  <c r="J188" i="18"/>
  <c r="G189" i="18"/>
  <c r="D190" i="18"/>
  <c r="T190" i="18"/>
  <c r="Q191" i="18"/>
  <c r="N192" i="18"/>
  <c r="K193" i="18"/>
  <c r="H194" i="18"/>
  <c r="U195" i="18"/>
  <c r="R196" i="18"/>
  <c r="O197" i="18"/>
  <c r="L198" i="18"/>
  <c r="K171" i="18"/>
  <c r="T247" i="18"/>
  <c r="K46" i="19"/>
  <c r="D103" i="19"/>
  <c r="D107" i="19"/>
  <c r="E87" i="19"/>
  <c r="D185" i="19"/>
  <c r="D187" i="19"/>
  <c r="D189" i="19"/>
  <c r="H213" i="19"/>
  <c r="H172" i="19"/>
  <c r="J193" i="19"/>
  <c r="K291" i="19"/>
  <c r="J183" i="18"/>
  <c r="G184" i="18"/>
  <c r="D185" i="18"/>
  <c r="T185" i="18"/>
  <c r="Q186" i="18"/>
  <c r="N187" i="18"/>
  <c r="K188" i="18"/>
  <c r="H189" i="18"/>
  <c r="E190" i="18"/>
  <c r="U190" i="18"/>
  <c r="R191" i="18"/>
  <c r="O192" i="18"/>
  <c r="L193" i="18"/>
  <c r="I194" i="18"/>
  <c r="V195" i="18"/>
  <c r="S196" i="18"/>
  <c r="P197" i="18"/>
  <c r="M198" i="18"/>
  <c r="U237" i="18"/>
  <c r="U276" i="18" s="1"/>
  <c r="D268" i="19"/>
  <c r="D101" i="19"/>
  <c r="D272" i="19"/>
  <c r="D105" i="19"/>
  <c r="J171" i="19"/>
  <c r="P170" i="18"/>
  <c r="M171" i="18"/>
  <c r="J172" i="18"/>
  <c r="G173" i="18"/>
  <c r="D174" i="18"/>
  <c r="T174" i="18"/>
  <c r="Q175" i="18"/>
  <c r="N176" i="18"/>
  <c r="K177" i="18"/>
  <c r="H178" i="18"/>
  <c r="E179" i="18"/>
  <c r="U179" i="18"/>
  <c r="R180" i="18"/>
  <c r="O181" i="18"/>
  <c r="H247" i="18"/>
  <c r="E248" i="18"/>
  <c r="U248" i="18"/>
  <c r="R249" i="18"/>
  <c r="O250" i="18"/>
  <c r="L251" i="18"/>
  <c r="I252" i="18"/>
  <c r="F253" i="18"/>
  <c r="V253" i="18"/>
  <c r="S254" i="18"/>
  <c r="P255" i="18"/>
  <c r="M256" i="18"/>
  <c r="J257" i="18"/>
  <c r="G258" i="18"/>
  <c r="F111" i="19"/>
  <c r="F113" i="19"/>
  <c r="F185" i="19"/>
  <c r="F187" i="19"/>
  <c r="F193" i="19"/>
  <c r="F195" i="19"/>
  <c r="F201" i="19"/>
  <c r="F203" i="19"/>
  <c r="F209" i="19"/>
  <c r="F211" i="19"/>
  <c r="Q170" i="18"/>
  <c r="N171" i="18"/>
  <c r="K172" i="18"/>
  <c r="H173" i="18"/>
  <c r="E174" i="18"/>
  <c r="U174" i="18"/>
  <c r="R175" i="18"/>
  <c r="O176" i="18"/>
  <c r="L177" i="18"/>
  <c r="I178" i="18"/>
  <c r="F179" i="18"/>
  <c r="V179" i="18"/>
  <c r="S180" i="18"/>
  <c r="P181" i="18"/>
  <c r="N160" i="18"/>
  <c r="N199" i="18" s="1"/>
  <c r="D260" i="18"/>
  <c r="T260" i="18"/>
  <c r="Q261" i="18"/>
  <c r="N262" i="18"/>
  <c r="K263" i="18"/>
  <c r="H264" i="18"/>
  <c r="E265" i="18"/>
  <c r="U265" i="18"/>
  <c r="R266" i="18"/>
  <c r="O267" i="18"/>
  <c r="L268" i="18"/>
  <c r="I269" i="18"/>
  <c r="F270" i="18"/>
  <c r="V270" i="18"/>
  <c r="S271" i="18"/>
  <c r="M273" i="18"/>
  <c r="J274" i="18"/>
  <c r="G275" i="18"/>
  <c r="D237" i="18"/>
  <c r="F105" i="19"/>
  <c r="F189" i="19"/>
  <c r="F274" i="19"/>
  <c r="F107" i="19"/>
  <c r="F280" i="19"/>
  <c r="F197" i="19"/>
  <c r="F205" i="19"/>
  <c r="F121" i="19"/>
  <c r="J45" i="19"/>
  <c r="G172" i="19"/>
  <c r="O160" i="18"/>
  <c r="O199" i="18" s="1"/>
  <c r="E254" i="18"/>
  <c r="U254" i="18"/>
  <c r="R255" i="18"/>
  <c r="O256" i="18"/>
  <c r="L257" i="18"/>
  <c r="I258" i="18"/>
  <c r="E237" i="18"/>
  <c r="E276" i="18" s="1"/>
  <c r="H129" i="19"/>
  <c r="H88" i="19"/>
  <c r="H101" i="19"/>
  <c r="H103" i="19"/>
  <c r="H105" i="19"/>
  <c r="H107" i="19"/>
  <c r="H109" i="19"/>
  <c r="H111" i="19"/>
  <c r="H113" i="19"/>
  <c r="H115" i="19"/>
  <c r="H117" i="19"/>
  <c r="H121" i="19"/>
  <c r="H123" i="19"/>
  <c r="H125" i="19"/>
  <c r="H127" i="19"/>
  <c r="H183" i="19"/>
  <c r="H185" i="19"/>
  <c r="H187" i="19"/>
  <c r="H189" i="19"/>
  <c r="H191" i="19"/>
  <c r="H193" i="19"/>
  <c r="H195" i="19"/>
  <c r="H197" i="19"/>
  <c r="H199" i="19"/>
  <c r="H201" i="19"/>
  <c r="H203" i="19"/>
  <c r="H205" i="19"/>
  <c r="H207" i="19"/>
  <c r="H209" i="19"/>
  <c r="H211" i="19"/>
  <c r="D183" i="19"/>
  <c r="I212" i="19"/>
  <c r="K265" i="19"/>
  <c r="D285" i="19"/>
  <c r="I247" i="20"/>
  <c r="I170" i="20"/>
  <c r="I42" i="20"/>
  <c r="F42" i="20"/>
  <c r="V248" i="20"/>
  <c r="V42" i="20"/>
  <c r="V121" i="20" s="1"/>
  <c r="P250" i="20"/>
  <c r="P173" i="20"/>
  <c r="P95" i="20"/>
  <c r="J252" i="20"/>
  <c r="J175" i="20"/>
  <c r="D254" i="20"/>
  <c r="D177" i="20"/>
  <c r="N179" i="20"/>
  <c r="N256" i="20"/>
  <c r="N101" i="20"/>
  <c r="K180" i="20"/>
  <c r="K257" i="20"/>
  <c r="K102" i="20"/>
  <c r="H258" i="20"/>
  <c r="H181" i="20"/>
  <c r="H103" i="20"/>
  <c r="E260" i="20"/>
  <c r="E105" i="20"/>
  <c r="U260" i="20"/>
  <c r="U105" i="20"/>
  <c r="R261" i="20"/>
  <c r="R106" i="20"/>
  <c r="I264" i="20"/>
  <c r="I109" i="20"/>
  <c r="S266" i="20"/>
  <c r="S111" i="20"/>
  <c r="D271" i="20"/>
  <c r="D116" i="20"/>
  <c r="N273" i="20"/>
  <c r="N118" i="20"/>
  <c r="H275" i="20"/>
  <c r="H120" i="20"/>
  <c r="R92" i="20"/>
  <c r="R82" i="20"/>
  <c r="R121" i="20" s="1"/>
  <c r="L94" i="20"/>
  <c r="I95" i="20"/>
  <c r="P98" i="20"/>
  <c r="J100" i="20"/>
  <c r="G101" i="20"/>
  <c r="D102" i="20"/>
  <c r="T102" i="20"/>
  <c r="Q103" i="20"/>
  <c r="R160" i="20"/>
  <c r="R199" i="20" s="1"/>
  <c r="L172" i="20"/>
  <c r="I160" i="20"/>
  <c r="I199" i="20" s="1"/>
  <c r="P176" i="20"/>
  <c r="J178" i="20"/>
  <c r="G179" i="20"/>
  <c r="T180" i="20"/>
  <c r="I183" i="19"/>
  <c r="I185" i="19"/>
  <c r="I187" i="19"/>
  <c r="I189" i="19"/>
  <c r="I191" i="19"/>
  <c r="I193" i="19"/>
  <c r="I195" i="19"/>
  <c r="I197" i="19"/>
  <c r="I199" i="19"/>
  <c r="I201" i="19"/>
  <c r="I203" i="19"/>
  <c r="I205" i="19"/>
  <c r="I207" i="19"/>
  <c r="I209" i="19"/>
  <c r="I211" i="19"/>
  <c r="I171" i="19"/>
  <c r="K185" i="19"/>
  <c r="K193" i="19"/>
  <c r="K201" i="19"/>
  <c r="K209" i="19"/>
  <c r="D254" i="19"/>
  <c r="J42" i="20"/>
  <c r="S92" i="20"/>
  <c r="P93" i="20"/>
  <c r="M94" i="20"/>
  <c r="J95" i="20"/>
  <c r="T97" i="20"/>
  <c r="N99" i="20"/>
  <c r="H101" i="20"/>
  <c r="E102" i="20"/>
  <c r="U102" i="20"/>
  <c r="R103" i="20"/>
  <c r="N105" i="20"/>
  <c r="K106" i="20"/>
  <c r="V103" i="20"/>
  <c r="U189" i="20"/>
  <c r="U266" i="20"/>
  <c r="J98" i="19"/>
  <c r="J100" i="19"/>
  <c r="J102" i="19"/>
  <c r="J104" i="19"/>
  <c r="J106" i="19"/>
  <c r="J108" i="19"/>
  <c r="J110" i="19"/>
  <c r="J112" i="19"/>
  <c r="J114" i="19"/>
  <c r="J116" i="19"/>
  <c r="J118" i="19"/>
  <c r="J120" i="19"/>
  <c r="J122" i="19"/>
  <c r="J124" i="19"/>
  <c r="J126" i="19"/>
  <c r="J128" i="19"/>
  <c r="G123" i="19"/>
  <c r="G183" i="19"/>
  <c r="G191" i="19"/>
  <c r="G199" i="19"/>
  <c r="G207" i="19"/>
  <c r="K272" i="19"/>
  <c r="K288" i="19"/>
  <c r="L42" i="20"/>
  <c r="L247" i="20"/>
  <c r="U82" i="20"/>
  <c r="U121" i="20" s="1"/>
  <c r="U160" i="20"/>
  <c r="U199" i="20" s="1"/>
  <c r="K87" i="19"/>
  <c r="K127" i="19"/>
  <c r="I254" i="19"/>
  <c r="M42" i="20"/>
  <c r="F160" i="20"/>
  <c r="F170" i="20"/>
  <c r="V160" i="20"/>
  <c r="V199" i="20" s="1"/>
  <c r="V170" i="20"/>
  <c r="S160" i="20"/>
  <c r="S199" i="20" s="1"/>
  <c r="S171" i="20"/>
  <c r="D87" i="19"/>
  <c r="G119" i="19"/>
  <c r="K183" i="19"/>
  <c r="K191" i="19"/>
  <c r="K199" i="19"/>
  <c r="K207" i="19"/>
  <c r="H266" i="19"/>
  <c r="H268" i="19"/>
  <c r="H270" i="19"/>
  <c r="H272" i="19"/>
  <c r="H274" i="19"/>
  <c r="H276" i="19"/>
  <c r="H278" i="19"/>
  <c r="H280" i="19"/>
  <c r="H282" i="19"/>
  <c r="H284" i="19"/>
  <c r="H286" i="19"/>
  <c r="H288" i="19"/>
  <c r="H290" i="19"/>
  <c r="H292" i="19"/>
  <c r="H294" i="19"/>
  <c r="G92" i="20"/>
  <c r="N95" i="20"/>
  <c r="H97" i="20"/>
  <c r="E98" i="20"/>
  <c r="U98" i="20"/>
  <c r="L101" i="20"/>
  <c r="F103" i="20"/>
  <c r="T171" i="20"/>
  <c r="N173" i="20"/>
  <c r="E176" i="20"/>
  <c r="F181" i="20"/>
  <c r="L261" i="20"/>
  <c r="D200" i="19"/>
  <c r="D208" i="19"/>
  <c r="G109" i="20"/>
  <c r="D110" i="20"/>
  <c r="Q111" i="20"/>
  <c r="H114" i="20"/>
  <c r="H160" i="20"/>
  <c r="H199" i="20" s="1"/>
  <c r="H170" i="20"/>
  <c r="S183" i="20"/>
  <c r="P184" i="20"/>
  <c r="M185" i="20"/>
  <c r="G187" i="20"/>
  <c r="D188" i="20"/>
  <c r="Q189" i="20"/>
  <c r="H192" i="20"/>
  <c r="E193" i="20"/>
  <c r="U193" i="20"/>
  <c r="R194" i="20"/>
  <c r="L196" i="20"/>
  <c r="I197" i="20"/>
  <c r="F198" i="20"/>
  <c r="T192" i="20"/>
  <c r="F47" i="21"/>
  <c r="F87" i="19"/>
  <c r="K123" i="19"/>
  <c r="I82" i="20"/>
  <c r="V93" i="20"/>
  <c r="J97" i="20"/>
  <c r="G98" i="20"/>
  <c r="D99" i="20"/>
  <c r="Q100" i="20"/>
  <c r="K82" i="20"/>
  <c r="K100" i="20"/>
  <c r="K121" i="19"/>
  <c r="Q42" i="20"/>
  <c r="O107" i="20"/>
  <c r="L108" i="20"/>
  <c r="F110" i="20"/>
  <c r="V110" i="20"/>
  <c r="J114" i="20"/>
  <c r="G115" i="20"/>
  <c r="K119" i="20"/>
  <c r="N82" i="20"/>
  <c r="N121" i="20" s="1"/>
  <c r="D172" i="20"/>
  <c r="Q173" i="20"/>
  <c r="R178" i="20"/>
  <c r="L180" i="20"/>
  <c r="I181" i="20"/>
  <c r="D122" i="19"/>
  <c r="K197" i="19"/>
  <c r="K270" i="19"/>
  <c r="K286" i="19"/>
  <c r="R247" i="20"/>
  <c r="R42" i="20"/>
  <c r="O42" i="20"/>
  <c r="K92" i="20"/>
  <c r="E94" i="20"/>
  <c r="R95" i="20"/>
  <c r="L97" i="20"/>
  <c r="I98" i="20"/>
  <c r="F99" i="20"/>
  <c r="S100" i="20"/>
  <c r="P101" i="20"/>
  <c r="M102" i="20"/>
  <c r="J103" i="20"/>
  <c r="I92" i="20"/>
  <c r="G109" i="19"/>
  <c r="K117" i="19"/>
  <c r="D120" i="19"/>
  <c r="J182" i="19"/>
  <c r="J184" i="19"/>
  <c r="J186" i="19"/>
  <c r="J188" i="19"/>
  <c r="J190" i="19"/>
  <c r="J192" i="19"/>
  <c r="J194" i="19"/>
  <c r="J196" i="19"/>
  <c r="J198" i="19"/>
  <c r="J200" i="19"/>
  <c r="J202" i="19"/>
  <c r="J204" i="19"/>
  <c r="J206" i="19"/>
  <c r="J208" i="19"/>
  <c r="J210" i="19"/>
  <c r="J212" i="19"/>
  <c r="D182" i="19"/>
  <c r="P42" i="20"/>
  <c r="P188" i="20"/>
  <c r="P265" i="20"/>
  <c r="D192" i="20"/>
  <c r="D269" i="20"/>
  <c r="H196" i="20"/>
  <c r="H273" i="20"/>
  <c r="L82" i="20"/>
  <c r="L121" i="20" s="1"/>
  <c r="F82" i="20"/>
  <c r="F121" i="20" s="1"/>
  <c r="S95" i="20"/>
  <c r="M97" i="20"/>
  <c r="J98" i="20"/>
  <c r="G99" i="20"/>
  <c r="D100" i="20"/>
  <c r="T100" i="20"/>
  <c r="Q101" i="20"/>
  <c r="G105" i="20"/>
  <c r="D106" i="20"/>
  <c r="T106" i="20"/>
  <c r="L92" i="20"/>
  <c r="H237" i="20"/>
  <c r="H276" i="20" s="1"/>
  <c r="K98" i="19"/>
  <c r="K182" i="19"/>
  <c r="K171" i="19"/>
  <c r="K184" i="19"/>
  <c r="K186" i="19"/>
  <c r="K188" i="19"/>
  <c r="K190" i="19"/>
  <c r="K192" i="19"/>
  <c r="K194" i="19"/>
  <c r="K196" i="19"/>
  <c r="K198" i="19"/>
  <c r="K200" i="19"/>
  <c r="K202" i="19"/>
  <c r="K204" i="19"/>
  <c r="K206" i="19"/>
  <c r="K208" i="19"/>
  <c r="K210" i="19"/>
  <c r="K212" i="19"/>
  <c r="E182" i="19"/>
  <c r="G187" i="19"/>
  <c r="G195" i="19"/>
  <c r="G203" i="19"/>
  <c r="G211" i="19"/>
  <c r="F265" i="19"/>
  <c r="F267" i="19"/>
  <c r="F269" i="19"/>
  <c r="F271" i="19"/>
  <c r="F273" i="19"/>
  <c r="F275" i="19"/>
  <c r="F279" i="19"/>
  <c r="F281" i="19"/>
  <c r="F283" i="19"/>
  <c r="F285" i="19"/>
  <c r="F287" i="19"/>
  <c r="F289" i="19"/>
  <c r="F291" i="19"/>
  <c r="F293" i="19"/>
  <c r="F295" i="19"/>
  <c r="D170" i="20"/>
  <c r="D42" i="20"/>
  <c r="T170" i="20"/>
  <c r="T42" i="20"/>
  <c r="N42" i="20"/>
  <c r="M92" i="20"/>
  <c r="G94" i="20"/>
  <c r="G265" i="19"/>
  <c r="G254" i="19"/>
  <c r="G281" i="19"/>
  <c r="G283" i="19"/>
  <c r="G285" i="19"/>
  <c r="G287" i="19"/>
  <c r="G289" i="19"/>
  <c r="G291" i="19"/>
  <c r="G293" i="19"/>
  <c r="G295" i="19"/>
  <c r="K247" i="20"/>
  <c r="E249" i="20"/>
  <c r="R237" i="20"/>
  <c r="R276" i="20" s="1"/>
  <c r="R250" i="20"/>
  <c r="L252" i="20"/>
  <c r="I253" i="20"/>
  <c r="F254" i="20"/>
  <c r="S255" i="20"/>
  <c r="P256" i="20"/>
  <c r="M257" i="20"/>
  <c r="J258" i="20"/>
  <c r="F260" i="20"/>
  <c r="V260" i="20"/>
  <c r="D126" i="19"/>
  <c r="D128" i="19"/>
  <c r="G103" i="19"/>
  <c r="K111" i="19"/>
  <c r="H296" i="19"/>
  <c r="H255" i="19"/>
  <c r="D112" i="19"/>
  <c r="G247" i="20"/>
  <c r="G42" i="20"/>
  <c r="O178" i="20"/>
  <c r="O100" i="20"/>
  <c r="P92" i="20"/>
  <c r="P82" i="20"/>
  <c r="G82" i="20"/>
  <c r="G95" i="20"/>
  <c r="I102" i="20"/>
  <c r="G45" i="19"/>
  <c r="G46" i="19" s="1"/>
  <c r="G99" i="19"/>
  <c r="J296" i="19"/>
  <c r="T116" i="20"/>
  <c r="Q160" i="20"/>
  <c r="Q199" i="20" s="1"/>
  <c r="U265" i="20"/>
  <c r="U188" i="20"/>
  <c r="M196" i="20"/>
  <c r="M273" i="20"/>
  <c r="G170" i="20"/>
  <c r="D171" i="20"/>
  <c r="D160" i="20"/>
  <c r="D199" i="20" s="1"/>
  <c r="H175" i="20"/>
  <c r="U176" i="20"/>
  <c r="L179" i="20"/>
  <c r="V181" i="20"/>
  <c r="R183" i="20"/>
  <c r="L185" i="20"/>
  <c r="I186" i="20"/>
  <c r="V187" i="20"/>
  <c r="P189" i="20"/>
  <c r="G192" i="20"/>
  <c r="D193" i="20"/>
  <c r="Q194" i="20"/>
  <c r="K196" i="20"/>
  <c r="H197" i="20"/>
  <c r="J237" i="20"/>
  <c r="J276" i="20" s="1"/>
  <c r="J47" i="21"/>
  <c r="F131" i="21"/>
  <c r="H107" i="20"/>
  <c r="E108" i="20"/>
  <c r="U108" i="20"/>
  <c r="R109" i="20"/>
  <c r="O110" i="20"/>
  <c r="L111" i="20"/>
  <c r="S114" i="20"/>
  <c r="P115" i="20"/>
  <c r="M116" i="20"/>
  <c r="G118" i="20"/>
  <c r="D119" i="20"/>
  <c r="T119" i="20"/>
  <c r="O82" i="20"/>
  <c r="T105" i="20"/>
  <c r="G120" i="20"/>
  <c r="V171" i="20"/>
  <c r="G176" i="20"/>
  <c r="Q178" i="20"/>
  <c r="Q184" i="20"/>
  <c r="K186" i="20"/>
  <c r="H187" i="20"/>
  <c r="F193" i="20"/>
  <c r="V193" i="20"/>
  <c r="G198" i="20"/>
  <c r="G160" i="20"/>
  <c r="G199" i="20" s="1"/>
  <c r="L176" i="20"/>
  <c r="U192" i="20"/>
  <c r="L237" i="20"/>
  <c r="L276" i="20" s="1"/>
  <c r="I237" i="20"/>
  <c r="F249" i="20"/>
  <c r="S250" i="20"/>
  <c r="M252" i="20"/>
  <c r="J253" i="20"/>
  <c r="G254" i="20"/>
  <c r="D255" i="20"/>
  <c r="T255" i="20"/>
  <c r="Q256" i="20"/>
  <c r="D261" i="20"/>
  <c r="Q262" i="20"/>
  <c r="H265" i="20"/>
  <c r="E266" i="20"/>
  <c r="L269" i="20"/>
  <c r="I270" i="20"/>
  <c r="V271" i="20"/>
  <c r="P273" i="20"/>
  <c r="P196" i="20"/>
  <c r="J275" i="20"/>
  <c r="J198" i="20"/>
  <c r="J170" i="20"/>
  <c r="K175" i="20"/>
  <c r="H176" i="20"/>
  <c r="E177" i="20"/>
  <c r="O179" i="20"/>
  <c r="E183" i="20"/>
  <c r="U183" i="20"/>
  <c r="R184" i="20"/>
  <c r="O185" i="20"/>
  <c r="L186" i="20"/>
  <c r="I187" i="20"/>
  <c r="F188" i="20"/>
  <c r="D183" i="20"/>
  <c r="V184" i="20"/>
  <c r="M237" i="20"/>
  <c r="M247" i="20"/>
  <c r="G249" i="20"/>
  <c r="D250" i="20"/>
  <c r="T250" i="20"/>
  <c r="N252" i="20"/>
  <c r="H254" i="20"/>
  <c r="E255" i="20"/>
  <c r="U255" i="20"/>
  <c r="R256" i="20"/>
  <c r="E261" i="20"/>
  <c r="U261" i="20"/>
  <c r="R262" i="20"/>
  <c r="O263" i="20"/>
  <c r="I265" i="20"/>
  <c r="F266" i="20"/>
  <c r="V266" i="20"/>
  <c r="M269" i="20"/>
  <c r="J270" i="20"/>
  <c r="Q273" i="20"/>
  <c r="N274" i="20"/>
  <c r="F119" i="20"/>
  <c r="Q82" i="20"/>
  <c r="Q121" i="20" s="1"/>
  <c r="U110" i="20"/>
  <c r="D115" i="20"/>
  <c r="H119" i="20"/>
  <c r="J160" i="20"/>
  <c r="J199" i="20" s="1"/>
  <c r="N247" i="20"/>
  <c r="N237" i="20"/>
  <c r="N276" i="20" s="1"/>
  <c r="E250" i="20"/>
  <c r="U250" i="20"/>
  <c r="O252" i="20"/>
  <c r="F255" i="20"/>
  <c r="V255" i="20"/>
  <c r="S256" i="20"/>
  <c r="P257" i="20"/>
  <c r="M258" i="20"/>
  <c r="I260" i="20"/>
  <c r="F261" i="20"/>
  <c r="V261" i="20"/>
  <c r="P263" i="20"/>
  <c r="M264" i="20"/>
  <c r="J265" i="20"/>
  <c r="G266" i="20"/>
  <c r="N269" i="20"/>
  <c r="K270" i="20"/>
  <c r="H271" i="20"/>
  <c r="R273" i="20"/>
  <c r="O274" i="20"/>
  <c r="D174" i="21"/>
  <c r="L170" i="20"/>
  <c r="L160" i="20"/>
  <c r="L199" i="20" s="1"/>
  <c r="Q185" i="20"/>
  <c r="K187" i="20"/>
  <c r="H188" i="20"/>
  <c r="L192" i="20"/>
  <c r="F194" i="20"/>
  <c r="V194" i="20"/>
  <c r="N160" i="20"/>
  <c r="N199" i="20" s="1"/>
  <c r="O247" i="20"/>
  <c r="I249" i="20"/>
  <c r="F250" i="20"/>
  <c r="V250" i="20"/>
  <c r="M253" i="20"/>
  <c r="J254" i="20"/>
  <c r="G255" i="20"/>
  <c r="D256" i="20"/>
  <c r="Q257" i="20"/>
  <c r="R266" i="20"/>
  <c r="E120" i="20"/>
  <c r="S82" i="20"/>
  <c r="S121" i="20" s="1"/>
  <c r="M170" i="20"/>
  <c r="M160" i="20"/>
  <c r="T173" i="20"/>
  <c r="K176" i="20"/>
  <c r="H177" i="20"/>
  <c r="E178" i="20"/>
  <c r="O180" i="20"/>
  <c r="U184" i="20"/>
  <c r="R185" i="20"/>
  <c r="O186" i="20"/>
  <c r="F189" i="20"/>
  <c r="M192" i="20"/>
  <c r="J193" i="20"/>
  <c r="G194" i="20"/>
  <c r="K198" i="20"/>
  <c r="P247" i="20"/>
  <c r="N253" i="20"/>
  <c r="E256" i="20"/>
  <c r="R257" i="20"/>
  <c r="D101" i="21"/>
  <c r="D103" i="21"/>
  <c r="D105" i="21"/>
  <c r="D109" i="21"/>
  <c r="D111" i="21"/>
  <c r="D117" i="21"/>
  <c r="D119" i="21"/>
  <c r="D121" i="21"/>
  <c r="D125" i="21"/>
  <c r="D127" i="21"/>
  <c r="F215" i="21"/>
  <c r="F174" i="21"/>
  <c r="S105" i="20"/>
  <c r="P106" i="20"/>
  <c r="T82" i="20"/>
  <c r="K171" i="20"/>
  <c r="K160" i="20"/>
  <c r="E173" i="20"/>
  <c r="U173" i="20"/>
  <c r="O175" i="20"/>
  <c r="F178" i="20"/>
  <c r="S179" i="20"/>
  <c r="P180" i="20"/>
  <c r="F184" i="20"/>
  <c r="P186" i="20"/>
  <c r="J188" i="20"/>
  <c r="G189" i="20"/>
  <c r="N192" i="20"/>
  <c r="K193" i="20"/>
  <c r="O197" i="20"/>
  <c r="I261" i="20"/>
  <c r="F262" i="20"/>
  <c r="S263" i="20"/>
  <c r="M265" i="20"/>
  <c r="J266" i="20"/>
  <c r="Q269" i="20"/>
  <c r="K271" i="20"/>
  <c r="E273" i="20"/>
  <c r="U273" i="20"/>
  <c r="R274" i="20"/>
  <c r="J274" i="20"/>
  <c r="N107" i="20"/>
  <c r="I114" i="20"/>
  <c r="M118" i="20"/>
  <c r="D82" i="20"/>
  <c r="D121" i="20" s="1"/>
  <c r="O160" i="20"/>
  <c r="O170" i="20"/>
  <c r="I172" i="20"/>
  <c r="J177" i="20"/>
  <c r="G178" i="20"/>
  <c r="D179" i="20"/>
  <c r="N181" i="20"/>
  <c r="J183" i="20"/>
  <c r="Q186" i="20"/>
  <c r="N187" i="20"/>
  <c r="O192" i="20"/>
  <c r="L193" i="20"/>
  <c r="I194" i="20"/>
  <c r="S196" i="20"/>
  <c r="T160" i="20"/>
  <c r="F101" i="21"/>
  <c r="F103" i="21"/>
  <c r="F105" i="21"/>
  <c r="F111" i="21"/>
  <c r="F117" i="21"/>
  <c r="F119" i="21"/>
  <c r="F121" i="21"/>
  <c r="F127" i="21"/>
  <c r="D185" i="21"/>
  <c r="J92" i="20"/>
  <c r="D94" i="20"/>
  <c r="Q95" i="20"/>
  <c r="K97" i="20"/>
  <c r="H98" i="20"/>
  <c r="E99" i="20"/>
  <c r="R100" i="20"/>
  <c r="O101" i="20"/>
  <c r="L102" i="20"/>
  <c r="I103" i="20"/>
  <c r="E82" i="20"/>
  <c r="E121" i="20" s="1"/>
  <c r="P160" i="20"/>
  <c r="J172" i="20"/>
  <c r="N176" i="20"/>
  <c r="E179" i="20"/>
  <c r="R180" i="20"/>
  <c r="O181" i="20"/>
  <c r="K183" i="20"/>
  <c r="E185" i="20"/>
  <c r="O187" i="20"/>
  <c r="I189" i="20"/>
  <c r="J194" i="20"/>
  <c r="D196" i="20"/>
  <c r="T196" i="20"/>
  <c r="N185" i="20"/>
  <c r="S237" i="20"/>
  <c r="S276" i="20" s="1"/>
  <c r="P248" i="20"/>
  <c r="D252" i="20"/>
  <c r="T252" i="20"/>
  <c r="Q253" i="20"/>
  <c r="H256" i="20"/>
  <c r="E257" i="20"/>
  <c r="U257" i="20"/>
  <c r="R258" i="20"/>
  <c r="N260" i="20"/>
  <c r="K261" i="20"/>
  <c r="H262" i="20"/>
  <c r="E263" i="20"/>
  <c r="U263" i="20"/>
  <c r="O265" i="20"/>
  <c r="L266" i="20"/>
  <c r="S269" i="20"/>
  <c r="P270" i="20"/>
  <c r="M271" i="20"/>
  <c r="G273" i="20"/>
  <c r="D274" i="20"/>
  <c r="T274" i="20"/>
  <c r="M274" i="20"/>
  <c r="G103" i="21"/>
  <c r="G105" i="21"/>
  <c r="G113" i="21"/>
  <c r="M108" i="20"/>
  <c r="K172" i="20"/>
  <c r="H173" i="20"/>
  <c r="R175" i="20"/>
  <c r="I178" i="20"/>
  <c r="F179" i="20"/>
  <c r="V179" i="20"/>
  <c r="L183" i="20"/>
  <c r="I184" i="20"/>
  <c r="F185" i="20"/>
  <c r="S186" i="20"/>
  <c r="P187" i="20"/>
  <c r="J179" i="20"/>
  <c r="T183" i="20"/>
  <c r="D237" i="20"/>
  <c r="D276" i="20" s="1"/>
  <c r="D247" i="20"/>
  <c r="T237" i="20"/>
  <c r="T247" i="20"/>
  <c r="Q248" i="20"/>
  <c r="K250" i="20"/>
  <c r="E252" i="20"/>
  <c r="U252" i="20"/>
  <c r="R253" i="20"/>
  <c r="O254" i="20"/>
  <c r="L255" i="20"/>
  <c r="I256" i="20"/>
  <c r="F257" i="20"/>
  <c r="V257" i="20"/>
  <c r="S258" i="20"/>
  <c r="O260" i="20"/>
  <c r="I262" i="20"/>
  <c r="F263" i="20"/>
  <c r="V263" i="20"/>
  <c r="S264" i="20"/>
  <c r="M266" i="20"/>
  <c r="T269" i="20"/>
  <c r="Q270" i="20"/>
  <c r="N271" i="20"/>
  <c r="E274" i="20"/>
  <c r="U274" i="20"/>
  <c r="D296" i="21"/>
  <c r="D129" i="21"/>
  <c r="D46" i="21"/>
  <c r="D47" i="21" s="1"/>
  <c r="D113" i="21"/>
  <c r="Q107" i="20"/>
  <c r="N108" i="20"/>
  <c r="K109" i="20"/>
  <c r="H110" i="20"/>
  <c r="E111" i="20"/>
  <c r="U111" i="20"/>
  <c r="L114" i="20"/>
  <c r="I115" i="20"/>
  <c r="F116" i="20"/>
  <c r="V116" i="20"/>
  <c r="P118" i="20"/>
  <c r="M119" i="20"/>
  <c r="J120" i="20"/>
  <c r="R170" i="20"/>
  <c r="I173" i="20"/>
  <c r="S175" i="20"/>
  <c r="M177" i="20"/>
  <c r="D180" i="20"/>
  <c r="Q181" i="20"/>
  <c r="J184" i="20"/>
  <c r="T186" i="20"/>
  <c r="Q187" i="20"/>
  <c r="N188" i="20"/>
  <c r="K189" i="20"/>
  <c r="O193" i="20"/>
  <c r="L194" i="20"/>
  <c r="F196" i="20"/>
  <c r="V196" i="20"/>
  <c r="S197" i="20"/>
  <c r="O194" i="20"/>
  <c r="R248" i="20"/>
  <c r="F252" i="20"/>
  <c r="V252" i="20"/>
  <c r="S253" i="20"/>
  <c r="G257" i="20"/>
  <c r="T258" i="20"/>
  <c r="P260" i="20"/>
  <c r="G263" i="20"/>
  <c r="T264" i="20"/>
  <c r="Q265" i="20"/>
  <c r="N266" i="20"/>
  <c r="E269" i="20"/>
  <c r="R270" i="20"/>
  <c r="I273" i="20"/>
  <c r="F274" i="20"/>
  <c r="K174" i="21"/>
  <c r="M82" i="20"/>
  <c r="H82" i="20"/>
  <c r="H121" i="20" s="1"/>
  <c r="N115" i="20"/>
  <c r="P175" i="20"/>
  <c r="E188" i="20"/>
  <c r="F247" i="20"/>
  <c r="V247" i="20"/>
  <c r="D253" i="20"/>
  <c r="H257" i="20"/>
  <c r="E258" i="20"/>
  <c r="N261" i="20"/>
  <c r="K262" i="20"/>
  <c r="H263" i="20"/>
  <c r="E264" i="20"/>
  <c r="O266" i="20"/>
  <c r="F269" i="20"/>
  <c r="I47" i="21"/>
  <c r="I131" i="21"/>
  <c r="F268" i="21"/>
  <c r="F270" i="21"/>
  <c r="F278" i="21"/>
  <c r="F280" i="21"/>
  <c r="F290" i="21"/>
  <c r="F292" i="21"/>
  <c r="F296" i="21"/>
  <c r="F276" i="21"/>
  <c r="M109" i="20"/>
  <c r="H116" i="20"/>
  <c r="S119" i="20"/>
  <c r="T248" i="20"/>
  <c r="N250" i="20"/>
  <c r="E253" i="20"/>
  <c r="U253" i="20"/>
  <c r="O255" i="20"/>
  <c r="L256" i="20"/>
  <c r="I257" i="20"/>
  <c r="F258" i="20"/>
  <c r="O261" i="20"/>
  <c r="F264" i="20"/>
  <c r="T270" i="20"/>
  <c r="Q271" i="20"/>
  <c r="E275" i="20"/>
  <c r="G46" i="21"/>
  <c r="G47" i="21" s="1"/>
  <c r="G101" i="21"/>
  <c r="G109" i="21"/>
  <c r="G193" i="21"/>
  <c r="G111" i="21"/>
  <c r="G278" i="21"/>
  <c r="E174" i="21"/>
  <c r="J82" i="20"/>
  <c r="J121" i="20" s="1"/>
  <c r="E170" i="20"/>
  <c r="E160" i="20"/>
  <c r="E199" i="20" s="1"/>
  <c r="R171" i="20"/>
  <c r="V175" i="20"/>
  <c r="S176" i="20"/>
  <c r="M178" i="20"/>
  <c r="D181" i="20"/>
  <c r="M184" i="20"/>
  <c r="J185" i="20"/>
  <c r="D187" i="20"/>
  <c r="Q188" i="20"/>
  <c r="N189" i="20"/>
  <c r="E192" i="20"/>
  <c r="R193" i="20"/>
  <c r="I196" i="20"/>
  <c r="V197" i="20"/>
  <c r="P170" i="20"/>
  <c r="I192" i="20"/>
  <c r="S194" i="20"/>
  <c r="U248" i="20"/>
  <c r="O250" i="20"/>
  <c r="I252" i="20"/>
  <c r="F253" i="20"/>
  <c r="V253" i="20"/>
  <c r="P255" i="20"/>
  <c r="J257" i="20"/>
  <c r="G258" i="20"/>
  <c r="E46" i="21"/>
  <c r="E215" i="21" s="1"/>
  <c r="E101" i="21"/>
  <c r="E103" i="21"/>
  <c r="E105" i="21"/>
  <c r="E111" i="21"/>
  <c r="E117" i="21"/>
  <c r="E119" i="21"/>
  <c r="E123" i="21"/>
  <c r="E127" i="21"/>
  <c r="I209" i="21"/>
  <c r="G268" i="21"/>
  <c r="G270" i="21"/>
  <c r="G272" i="21"/>
  <c r="G276" i="21"/>
  <c r="G280" i="21"/>
  <c r="H42" i="22"/>
  <c r="K42" i="22"/>
  <c r="K120" i="22" s="1"/>
  <c r="J260" i="20"/>
  <c r="G261" i="20"/>
  <c r="D262" i="20"/>
  <c r="Q263" i="20"/>
  <c r="N264" i="20"/>
  <c r="K265" i="20"/>
  <c r="H266" i="20"/>
  <c r="O269" i="20"/>
  <c r="L270" i="20"/>
  <c r="I271" i="20"/>
  <c r="S273" i="20"/>
  <c r="P274" i="20"/>
  <c r="I215" i="21"/>
  <c r="I174" i="21"/>
  <c r="I192" i="21"/>
  <c r="I200" i="21"/>
  <c r="K204" i="21"/>
  <c r="V188" i="20"/>
  <c r="S189" i="20"/>
  <c r="J192" i="20"/>
  <c r="G193" i="20"/>
  <c r="D194" i="20"/>
  <c r="T194" i="20"/>
  <c r="N196" i="20"/>
  <c r="K197" i="20"/>
  <c r="H198" i="20"/>
  <c r="K260" i="20"/>
  <c r="H261" i="20"/>
  <c r="E262" i="20"/>
  <c r="R263" i="20"/>
  <c r="O264" i="20"/>
  <c r="L265" i="20"/>
  <c r="I266" i="20"/>
  <c r="P269" i="20"/>
  <c r="M270" i="20"/>
  <c r="J271" i="20"/>
  <c r="D273" i="20"/>
  <c r="T273" i="20"/>
  <c r="Q274" i="20"/>
  <c r="I185" i="21"/>
  <c r="I268" i="21"/>
  <c r="I270" i="21"/>
  <c r="I187" i="21"/>
  <c r="I105" i="21"/>
  <c r="I272" i="21"/>
  <c r="I201" i="21"/>
  <c r="I284" i="21"/>
  <c r="I203" i="21"/>
  <c r="I286" i="21"/>
  <c r="I123" i="21"/>
  <c r="I207" i="21"/>
  <c r="I294" i="21"/>
  <c r="I127" i="21"/>
  <c r="I213" i="21"/>
  <c r="I296" i="21"/>
  <c r="K46" i="21"/>
  <c r="K47" i="21" s="1"/>
  <c r="I113" i="21"/>
  <c r="I119" i="21"/>
  <c r="I198" i="21"/>
  <c r="L42" i="22"/>
  <c r="Q247" i="20"/>
  <c r="K249" i="20"/>
  <c r="H250" i="20"/>
  <c r="R252" i="20"/>
  <c r="O253" i="20"/>
  <c r="L254" i="20"/>
  <c r="I255" i="20"/>
  <c r="F256" i="20"/>
  <c r="V256" i="20"/>
  <c r="S257" i="20"/>
  <c r="P258" i="20"/>
  <c r="O237" i="20"/>
  <c r="O276" i="20" s="1"/>
  <c r="J105" i="21"/>
  <c r="J109" i="21"/>
  <c r="J111" i="21"/>
  <c r="J123" i="21"/>
  <c r="J125" i="21"/>
  <c r="J127" i="21"/>
  <c r="I108" i="21"/>
  <c r="K194" i="21"/>
  <c r="K202" i="21"/>
  <c r="D267" i="21"/>
  <c r="D256" i="21"/>
  <c r="D273" i="21"/>
  <c r="D275" i="21"/>
  <c r="D277" i="21"/>
  <c r="D281" i="21"/>
  <c r="D283" i="21"/>
  <c r="D285" i="21"/>
  <c r="D287" i="21"/>
  <c r="D291" i="21"/>
  <c r="D295" i="21"/>
  <c r="F172" i="20"/>
  <c r="S173" i="20"/>
  <c r="M175" i="20"/>
  <c r="J176" i="20"/>
  <c r="G177" i="20"/>
  <c r="D178" i="20"/>
  <c r="T178" i="20"/>
  <c r="Q179" i="20"/>
  <c r="N180" i="20"/>
  <c r="K181" i="20"/>
  <c r="P237" i="20"/>
  <c r="K101" i="21"/>
  <c r="K109" i="21"/>
  <c r="K117" i="21"/>
  <c r="K125" i="21"/>
  <c r="D187" i="21"/>
  <c r="D189" i="21"/>
  <c r="D193" i="21"/>
  <c r="D195" i="21"/>
  <c r="D197" i="21"/>
  <c r="D201" i="21"/>
  <c r="D203" i="21"/>
  <c r="D205" i="21"/>
  <c r="D207" i="21"/>
  <c r="D209" i="21"/>
  <c r="D211" i="21"/>
  <c r="D213" i="21"/>
  <c r="E273" i="21"/>
  <c r="E275" i="21"/>
  <c r="I278" i="21"/>
  <c r="N42" i="22"/>
  <c r="Q81" i="22"/>
  <c r="Q120" i="22" s="1"/>
  <c r="Q237" i="20"/>
  <c r="Q276" i="20" s="1"/>
  <c r="S247" i="20"/>
  <c r="D89" i="21"/>
  <c r="D108" i="21"/>
  <c r="D110" i="21"/>
  <c r="D114" i="21"/>
  <c r="D118" i="21"/>
  <c r="D124" i="21"/>
  <c r="D128" i="21"/>
  <c r="F100" i="21"/>
  <c r="E109" i="21"/>
  <c r="E185" i="21"/>
  <c r="E187" i="21"/>
  <c r="E189" i="21"/>
  <c r="E193" i="21"/>
  <c r="E195" i="21"/>
  <c r="E197" i="21"/>
  <c r="K211" i="21"/>
  <c r="F256" i="21"/>
  <c r="F267" i="21"/>
  <c r="F273" i="21"/>
  <c r="F275" i="21"/>
  <c r="F277" i="21"/>
  <c r="F281" i="21"/>
  <c r="F283" i="21"/>
  <c r="F285" i="21"/>
  <c r="F287" i="21"/>
  <c r="E100" i="21"/>
  <c r="F185" i="21"/>
  <c r="F187" i="21"/>
  <c r="F189" i="21"/>
  <c r="F193" i="21"/>
  <c r="F195" i="21"/>
  <c r="F197" i="21"/>
  <c r="F201" i="21"/>
  <c r="F203" i="21"/>
  <c r="F205" i="21"/>
  <c r="F207" i="21"/>
  <c r="F209" i="21"/>
  <c r="F211" i="21"/>
  <c r="F213" i="21"/>
  <c r="J215" i="21"/>
  <c r="J174" i="21"/>
  <c r="E237" i="20"/>
  <c r="E276" i="20" s="1"/>
  <c r="U237" i="20"/>
  <c r="U276" i="20" s="1"/>
  <c r="U247" i="20"/>
  <c r="F110" i="21"/>
  <c r="F114" i="21"/>
  <c r="F116" i="21"/>
  <c r="F120" i="21"/>
  <c r="G185" i="21"/>
  <c r="G173" i="21"/>
  <c r="G189" i="21"/>
  <c r="G195" i="21"/>
  <c r="G197" i="21"/>
  <c r="V237" i="20"/>
  <c r="V276" i="20" s="1"/>
  <c r="G100" i="21"/>
  <c r="G89" i="21"/>
  <c r="I101" i="21"/>
  <c r="H215" i="21"/>
  <c r="H174" i="21"/>
  <c r="M188" i="20"/>
  <c r="J189" i="20"/>
  <c r="Q192" i="20"/>
  <c r="N193" i="20"/>
  <c r="K194" i="20"/>
  <c r="E196" i="20"/>
  <c r="U196" i="20"/>
  <c r="R197" i="20"/>
  <c r="J298" i="21"/>
  <c r="J257" i="21"/>
  <c r="M91" i="22"/>
  <c r="M81" i="22"/>
  <c r="S260" i="20"/>
  <c r="P261" i="20"/>
  <c r="M262" i="20"/>
  <c r="J263" i="20"/>
  <c r="G264" i="20"/>
  <c r="D265" i="20"/>
  <c r="T265" i="20"/>
  <c r="Q266" i="20"/>
  <c r="H269" i="20"/>
  <c r="E270" i="20"/>
  <c r="U270" i="20"/>
  <c r="R271" i="20"/>
  <c r="L273" i="20"/>
  <c r="I274" i="20"/>
  <c r="F275" i="20"/>
  <c r="E247" i="20"/>
  <c r="I100" i="21"/>
  <c r="I267" i="21"/>
  <c r="I190" i="21"/>
  <c r="I106" i="21"/>
  <c r="I277" i="21"/>
  <c r="I194" i="21"/>
  <c r="I112" i="21"/>
  <c r="I196" i="21"/>
  <c r="I279" i="21"/>
  <c r="I116" i="21"/>
  <c r="I283" i="21"/>
  <c r="I285" i="21"/>
  <c r="I118" i="21"/>
  <c r="I114" i="21"/>
  <c r="F106" i="21"/>
  <c r="J185" i="21"/>
  <c r="J187" i="21"/>
  <c r="J189" i="21"/>
  <c r="J193" i="21"/>
  <c r="J195" i="21"/>
  <c r="J197" i="21"/>
  <c r="J201" i="21"/>
  <c r="J203" i="21"/>
  <c r="J207" i="21"/>
  <c r="J209" i="21"/>
  <c r="J211" i="21"/>
  <c r="J213" i="21"/>
  <c r="I195" i="21"/>
  <c r="K213" i="21"/>
  <c r="K257" i="21"/>
  <c r="K275" i="21"/>
  <c r="K277" i="21"/>
  <c r="K279" i="21"/>
  <c r="I290" i="21"/>
  <c r="D42" i="22"/>
  <c r="T42" i="22"/>
  <c r="E94" i="22"/>
  <c r="L97" i="22"/>
  <c r="S100" i="22"/>
  <c r="S170" i="20"/>
  <c r="P171" i="20"/>
  <c r="M172" i="20"/>
  <c r="J173" i="20"/>
  <c r="D175" i="20"/>
  <c r="T175" i="20"/>
  <c r="Q176" i="20"/>
  <c r="N177" i="20"/>
  <c r="K178" i="20"/>
  <c r="H179" i="20"/>
  <c r="E180" i="20"/>
  <c r="U180" i="20"/>
  <c r="R181" i="20"/>
  <c r="F237" i="20"/>
  <c r="F276" i="20" s="1"/>
  <c r="J89" i="21"/>
  <c r="J100" i="21"/>
  <c r="K185" i="21"/>
  <c r="K187" i="21"/>
  <c r="K189" i="21"/>
  <c r="K193" i="21"/>
  <c r="K201" i="21"/>
  <c r="K203" i="21"/>
  <c r="K207" i="21"/>
  <c r="K209" i="21"/>
  <c r="I202" i="21"/>
  <c r="E42" i="22"/>
  <c r="U42" i="22"/>
  <c r="R42" i="22"/>
  <c r="R198" i="22" s="1"/>
  <c r="J247" i="20"/>
  <c r="D249" i="20"/>
  <c r="Q250" i="20"/>
  <c r="K252" i="20"/>
  <c r="H253" i="20"/>
  <c r="E254" i="20"/>
  <c r="R255" i="20"/>
  <c r="O256" i="20"/>
  <c r="L257" i="20"/>
  <c r="I258" i="20"/>
  <c r="G237" i="20"/>
  <c r="K198" i="21"/>
  <c r="K281" i="21"/>
  <c r="K200" i="21"/>
  <c r="K283" i="21"/>
  <c r="K208" i="21"/>
  <c r="K291" i="21"/>
  <c r="K212" i="21"/>
  <c r="K295" i="21"/>
  <c r="K89" i="21"/>
  <c r="K100" i="21"/>
  <c r="K108" i="21"/>
  <c r="K114" i="21"/>
  <c r="K116" i="21"/>
  <c r="K118" i="21"/>
  <c r="K120" i="21"/>
  <c r="K124" i="21"/>
  <c r="D184" i="21"/>
  <c r="D190" i="21"/>
  <c r="D194" i="21"/>
  <c r="D198" i="21"/>
  <c r="D200" i="21"/>
  <c r="D202" i="21"/>
  <c r="D204" i="21"/>
  <c r="I189" i="21"/>
  <c r="I298" i="21"/>
  <c r="F42" i="22"/>
  <c r="V42" i="22"/>
  <c r="S42" i="22"/>
  <c r="K98" i="22"/>
  <c r="R101" i="22"/>
  <c r="E201" i="21"/>
  <c r="E203" i="21"/>
  <c r="E207" i="21"/>
  <c r="E209" i="21"/>
  <c r="E211" i="21"/>
  <c r="E213" i="21"/>
  <c r="O42" i="22"/>
  <c r="O120" i="22" s="1"/>
  <c r="L91" i="22"/>
  <c r="S94" i="22"/>
  <c r="G98" i="22"/>
  <c r="N101" i="22"/>
  <c r="V81" i="22"/>
  <c r="V120" i="22" s="1"/>
  <c r="G107" i="22"/>
  <c r="I117" i="22"/>
  <c r="H169" i="22"/>
  <c r="U170" i="22"/>
  <c r="R171" i="22"/>
  <c r="L173" i="22"/>
  <c r="I174" i="22"/>
  <c r="F175" i="22"/>
  <c r="V175" i="22"/>
  <c r="P177" i="22"/>
  <c r="M178" i="22"/>
  <c r="G180" i="22"/>
  <c r="D182" i="22"/>
  <c r="T182" i="22"/>
  <c r="Q183" i="22"/>
  <c r="K185" i="22"/>
  <c r="H186" i="22"/>
  <c r="U187" i="22"/>
  <c r="R188" i="22"/>
  <c r="O189" i="22"/>
  <c r="L190" i="22"/>
  <c r="F192" i="22"/>
  <c r="S193" i="22"/>
  <c r="M195" i="22"/>
  <c r="J196" i="22"/>
  <c r="Q246" i="22"/>
  <c r="Q236" i="22"/>
  <c r="Q275" i="22" s="1"/>
  <c r="N247" i="22"/>
  <c r="N236" i="22"/>
  <c r="Q42" i="22"/>
  <c r="N91" i="22"/>
  <c r="K92" i="22"/>
  <c r="H93" i="22"/>
  <c r="U94" i="22"/>
  <c r="R95" i="22"/>
  <c r="O96" i="22"/>
  <c r="I98" i="22"/>
  <c r="F99" i="22"/>
  <c r="V99" i="22"/>
  <c r="P101" i="22"/>
  <c r="M102" i="22"/>
  <c r="J104" i="22"/>
  <c r="H96" i="22"/>
  <c r="I107" i="22"/>
  <c r="V169" i="22"/>
  <c r="V189" i="22"/>
  <c r="H100" i="21"/>
  <c r="H89" i="21"/>
  <c r="I184" i="21"/>
  <c r="I257" i="21"/>
  <c r="L92" i="22"/>
  <c r="L81" i="22"/>
  <c r="F94" i="22"/>
  <c r="V94" i="22"/>
  <c r="S95" i="22"/>
  <c r="M97" i="22"/>
  <c r="J98" i="22"/>
  <c r="G99" i="22"/>
  <c r="D100" i="22"/>
  <c r="T100" i="22"/>
  <c r="Q101" i="22"/>
  <c r="N102" i="22"/>
  <c r="K104" i="22"/>
  <c r="H105" i="22"/>
  <c r="U106" i="22"/>
  <c r="R107" i="22"/>
  <c r="O108" i="22"/>
  <c r="I110" i="22"/>
  <c r="F111" i="22"/>
  <c r="V111" i="22"/>
  <c r="P113" i="22"/>
  <c r="M114" i="22"/>
  <c r="J115" i="22"/>
  <c r="D117" i="22"/>
  <c r="T117" i="22"/>
  <c r="Q118" i="22"/>
  <c r="H46" i="21"/>
  <c r="H113" i="21"/>
  <c r="E267" i="21"/>
  <c r="P81" i="22"/>
  <c r="P120" i="22" s="1"/>
  <c r="M92" i="22"/>
  <c r="J93" i="22"/>
  <c r="G94" i="22"/>
  <c r="T95" i="22"/>
  <c r="Q96" i="22"/>
  <c r="N97" i="22"/>
  <c r="H99" i="22"/>
  <c r="E100" i="22"/>
  <c r="U100" i="22"/>
  <c r="O102" i="22"/>
  <c r="L104" i="22"/>
  <c r="I105" i="22"/>
  <c r="F106" i="22"/>
  <c r="V106" i="22"/>
  <c r="S107" i="22"/>
  <c r="P108" i="22"/>
  <c r="M109" i="22"/>
  <c r="J110" i="22"/>
  <c r="G111" i="22"/>
  <c r="D112" i="22"/>
  <c r="T112" i="22"/>
  <c r="Q113" i="22"/>
  <c r="N114" i="22"/>
  <c r="K115" i="22"/>
  <c r="E117" i="22"/>
  <c r="U117" i="22"/>
  <c r="R118" i="22"/>
  <c r="O119" i="22"/>
  <c r="I108" i="22"/>
  <c r="E268" i="22"/>
  <c r="E113" i="22"/>
  <c r="S274" i="22"/>
  <c r="S119" i="22"/>
  <c r="G92" i="22"/>
  <c r="K108" i="22"/>
  <c r="V114" i="22"/>
  <c r="M118" i="22"/>
  <c r="M169" i="22"/>
  <c r="J159" i="22"/>
  <c r="J198" i="22" s="1"/>
  <c r="G171" i="22"/>
  <c r="D172" i="22"/>
  <c r="T172" i="22"/>
  <c r="Q173" i="22"/>
  <c r="N174" i="22"/>
  <c r="H176" i="22"/>
  <c r="E177" i="22"/>
  <c r="U177" i="22"/>
  <c r="R178" i="22"/>
  <c r="O179" i="22"/>
  <c r="L180" i="22"/>
  <c r="I182" i="22"/>
  <c r="V183" i="22"/>
  <c r="S184" i="22"/>
  <c r="P185" i="22"/>
  <c r="J187" i="22"/>
  <c r="G188" i="22"/>
  <c r="D189" i="22"/>
  <c r="Q190" i="22"/>
  <c r="N191" i="22"/>
  <c r="K192" i="22"/>
  <c r="H193" i="22"/>
  <c r="O196" i="22"/>
  <c r="L197" i="22"/>
  <c r="M249" i="22"/>
  <c r="H269" i="22"/>
  <c r="R81" i="22"/>
  <c r="T92" i="22"/>
  <c r="V102" i="22"/>
  <c r="D115" i="22"/>
  <c r="N169" i="22"/>
  <c r="N159" i="22"/>
  <c r="N198" i="22" s="1"/>
  <c r="K170" i="22"/>
  <c r="K159" i="22"/>
  <c r="H171" i="22"/>
  <c r="E172" i="22"/>
  <c r="U172" i="22"/>
  <c r="R173" i="22"/>
  <c r="O174" i="22"/>
  <c r="L175" i="22"/>
  <c r="I176" i="22"/>
  <c r="F177" i="22"/>
  <c r="V177" i="22"/>
  <c r="S178" i="22"/>
  <c r="P179" i="22"/>
  <c r="M180" i="22"/>
  <c r="J182" i="22"/>
  <c r="S81" i="22"/>
  <c r="S120" i="22" s="1"/>
  <c r="S91" i="22"/>
  <c r="J97" i="22"/>
  <c r="F115" i="22"/>
  <c r="O159" i="22"/>
  <c r="O198" i="22" s="1"/>
  <c r="O169" i="22"/>
  <c r="L170" i="22"/>
  <c r="L159" i="22"/>
  <c r="F172" i="22"/>
  <c r="V172" i="22"/>
  <c r="S173" i="22"/>
  <c r="P174" i="22"/>
  <c r="J176" i="22"/>
  <c r="G177" i="22"/>
  <c r="T178" i="22"/>
  <c r="Q179" i="22"/>
  <c r="N180" i="22"/>
  <c r="K182" i="22"/>
  <c r="E184" i="22"/>
  <c r="U184" i="22"/>
  <c r="O186" i="22"/>
  <c r="L187" i="22"/>
  <c r="I188" i="22"/>
  <c r="F189" i="22"/>
  <c r="S190" i="22"/>
  <c r="P191" i="22"/>
  <c r="M192" i="22"/>
  <c r="J193" i="22"/>
  <c r="D195" i="22"/>
  <c r="Q196" i="22"/>
  <c r="N197" i="22"/>
  <c r="T259" i="22"/>
  <c r="G274" i="22"/>
  <c r="D92" i="22"/>
  <c r="D170" i="22"/>
  <c r="R98" i="22"/>
  <c r="R176" i="22"/>
  <c r="M106" i="22"/>
  <c r="M184" i="22"/>
  <c r="M261" i="22"/>
  <c r="T264" i="22"/>
  <c r="T109" i="22"/>
  <c r="Q265" i="22"/>
  <c r="Q110" i="22"/>
  <c r="N266" i="22"/>
  <c r="N111" i="22"/>
  <c r="H268" i="22"/>
  <c r="H113" i="22"/>
  <c r="E269" i="22"/>
  <c r="E114" i="22"/>
  <c r="U269" i="22"/>
  <c r="U192" i="22"/>
  <c r="U114" i="22"/>
  <c r="L272" i="22"/>
  <c r="L117" i="22"/>
  <c r="I273" i="22"/>
  <c r="I118" i="22"/>
  <c r="V274" i="22"/>
  <c r="V119" i="22"/>
  <c r="D91" i="22"/>
  <c r="D81" i="22"/>
  <c r="T91" i="22"/>
  <c r="T81" i="22"/>
  <c r="Q92" i="22"/>
  <c r="N93" i="22"/>
  <c r="K94" i="22"/>
  <c r="P104" i="22"/>
  <c r="M105" i="22"/>
  <c r="D108" i="22"/>
  <c r="T108" i="22"/>
  <c r="K111" i="22"/>
  <c r="H112" i="22"/>
  <c r="R114" i="22"/>
  <c r="O115" i="22"/>
  <c r="F118" i="22"/>
  <c r="V118" i="22"/>
  <c r="L109" i="22"/>
  <c r="N119" i="22"/>
  <c r="P169" i="22"/>
  <c r="P159" i="22"/>
  <c r="P198" i="22" s="1"/>
  <c r="M170" i="22"/>
  <c r="J171" i="22"/>
  <c r="G172" i="22"/>
  <c r="T173" i="22"/>
  <c r="Q174" i="22"/>
  <c r="N175" i="22"/>
  <c r="K176" i="22"/>
  <c r="H177" i="22"/>
  <c r="E178" i="22"/>
  <c r="U178" i="22"/>
  <c r="R179" i="22"/>
  <c r="O180" i="22"/>
  <c r="L182" i="22"/>
  <c r="I183" i="22"/>
  <c r="F184" i="22"/>
  <c r="V184" i="22"/>
  <c r="S185" i="22"/>
  <c r="P186" i="22"/>
  <c r="M187" i="22"/>
  <c r="J188" i="22"/>
  <c r="G189" i="22"/>
  <c r="D190" i="22"/>
  <c r="T190" i="22"/>
  <c r="Q191" i="22"/>
  <c r="N192" i="22"/>
  <c r="K193" i="22"/>
  <c r="E195" i="22"/>
  <c r="U195" i="22"/>
  <c r="R196" i="22"/>
  <c r="O197" i="22"/>
  <c r="U259" i="22"/>
  <c r="I263" i="22"/>
  <c r="F215" i="23"/>
  <c r="F174" i="23"/>
  <c r="J267" i="21"/>
  <c r="H287" i="21"/>
  <c r="E91" i="22"/>
  <c r="E81" i="22"/>
  <c r="U91" i="22"/>
  <c r="U81" i="22"/>
  <c r="U120" i="22" s="1"/>
  <c r="R92" i="22"/>
  <c r="O93" i="22"/>
  <c r="L94" i="22"/>
  <c r="I95" i="22"/>
  <c r="F96" i="22"/>
  <c r="V96" i="22"/>
  <c r="S97" i="22"/>
  <c r="P98" i="22"/>
  <c r="M99" i="22"/>
  <c r="J100" i="22"/>
  <c r="G101" i="22"/>
  <c r="D102" i="22"/>
  <c r="T102" i="22"/>
  <c r="Q104" i="22"/>
  <c r="N105" i="22"/>
  <c r="K106" i="22"/>
  <c r="E108" i="22"/>
  <c r="U108" i="22"/>
  <c r="R109" i="22"/>
  <c r="L111" i="22"/>
  <c r="I112" i="22"/>
  <c r="F113" i="22"/>
  <c r="S114" i="22"/>
  <c r="P115" i="22"/>
  <c r="G118" i="22"/>
  <c r="D119" i="22"/>
  <c r="T119" i="22"/>
  <c r="N110" i="22"/>
  <c r="D236" i="22"/>
  <c r="R254" i="22"/>
  <c r="K267" i="21"/>
  <c r="G192" i="22"/>
  <c r="G269" i="22"/>
  <c r="F91" i="22"/>
  <c r="F81" i="22"/>
  <c r="V91" i="22"/>
  <c r="S92" i="22"/>
  <c r="P93" i="22"/>
  <c r="M94" i="22"/>
  <c r="J95" i="22"/>
  <c r="G96" i="22"/>
  <c r="D97" i="22"/>
  <c r="T97" i="22"/>
  <c r="Q98" i="22"/>
  <c r="N99" i="22"/>
  <c r="K100" i="22"/>
  <c r="H101" i="22"/>
  <c r="E102" i="22"/>
  <c r="U102" i="22"/>
  <c r="R104" i="22"/>
  <c r="O105" i="22"/>
  <c r="L106" i="22"/>
  <c r="F108" i="22"/>
  <c r="V108" i="22"/>
  <c r="S109" i="22"/>
  <c r="M111" i="22"/>
  <c r="J112" i="22"/>
  <c r="G113" i="22"/>
  <c r="T114" i="22"/>
  <c r="Q115" i="22"/>
  <c r="H118" i="22"/>
  <c r="E119" i="22"/>
  <c r="U119" i="22"/>
  <c r="U93" i="22"/>
  <c r="G259" i="22"/>
  <c r="J169" i="22"/>
  <c r="J42" i="22"/>
  <c r="D248" i="22"/>
  <c r="D93" i="22"/>
  <c r="D171" i="22"/>
  <c r="T171" i="22"/>
  <c r="T93" i="22"/>
  <c r="K174" i="22"/>
  <c r="K96" i="22"/>
  <c r="K251" i="22"/>
  <c r="U98" i="22"/>
  <c r="U176" i="22"/>
  <c r="R99" i="22"/>
  <c r="R177" i="22"/>
  <c r="O178" i="22"/>
  <c r="O100" i="22"/>
  <c r="I180" i="22"/>
  <c r="I102" i="22"/>
  <c r="U270" i="22"/>
  <c r="U193" i="22"/>
  <c r="L273" i="22"/>
  <c r="L196" i="22"/>
  <c r="Q93" i="22"/>
  <c r="N94" i="22"/>
  <c r="E97" i="22"/>
  <c r="U97" i="22"/>
  <c r="L100" i="22"/>
  <c r="I101" i="22"/>
  <c r="S104" i="22"/>
  <c r="P105" i="22"/>
  <c r="G108" i="22"/>
  <c r="D109" i="22"/>
  <c r="K112" i="22"/>
  <c r="R115" i="22"/>
  <c r="F119" i="22"/>
  <c r="V93" i="22"/>
  <c r="H175" i="22"/>
  <c r="H170" i="22"/>
  <c r="H92" i="22"/>
  <c r="E171" i="22"/>
  <c r="E93" i="22"/>
  <c r="O173" i="22"/>
  <c r="O95" i="22"/>
  <c r="L174" i="22"/>
  <c r="L96" i="22"/>
  <c r="V176" i="22"/>
  <c r="V98" i="22"/>
  <c r="S177" i="22"/>
  <c r="S99" i="22"/>
  <c r="J180" i="22"/>
  <c r="J102" i="22"/>
  <c r="G182" i="22"/>
  <c r="G104" i="22"/>
  <c r="T183" i="22"/>
  <c r="T105" i="22"/>
  <c r="Q184" i="22"/>
  <c r="Q106" i="22"/>
  <c r="N185" i="22"/>
  <c r="N107" i="22"/>
  <c r="N262" i="22"/>
  <c r="H187" i="22"/>
  <c r="H109" i="22"/>
  <c r="E188" i="22"/>
  <c r="E110" i="22"/>
  <c r="U188" i="22"/>
  <c r="U110" i="22"/>
  <c r="R189" i="22"/>
  <c r="R266" i="22"/>
  <c r="O190" i="22"/>
  <c r="O112" i="22"/>
  <c r="L268" i="22"/>
  <c r="L191" i="22"/>
  <c r="L113" i="22"/>
  <c r="I192" i="22"/>
  <c r="I114" i="22"/>
  <c r="V193" i="22"/>
  <c r="V115" i="22"/>
  <c r="P195" i="22"/>
  <c r="P117" i="22"/>
  <c r="J197" i="22"/>
  <c r="J119" i="22"/>
  <c r="G42" i="22"/>
  <c r="H81" i="22"/>
  <c r="H120" i="22" s="1"/>
  <c r="H91" i="22"/>
  <c r="E92" i="22"/>
  <c r="R93" i="22"/>
  <c r="O94" i="22"/>
  <c r="L95" i="22"/>
  <c r="F97" i="22"/>
  <c r="V97" i="22"/>
  <c r="S98" i="22"/>
  <c r="M100" i="22"/>
  <c r="J101" i="22"/>
  <c r="G102" i="22"/>
  <c r="D104" i="22"/>
  <c r="Q105" i="22"/>
  <c r="N106" i="22"/>
  <c r="K107" i="22"/>
  <c r="E109" i="22"/>
  <c r="U109" i="22"/>
  <c r="R110" i="22"/>
  <c r="L112" i="22"/>
  <c r="I113" i="22"/>
  <c r="F114" i="22"/>
  <c r="S115" i="22"/>
  <c r="M117" i="22"/>
  <c r="G119" i="22"/>
  <c r="D105" i="22"/>
  <c r="T159" i="22"/>
  <c r="J268" i="21"/>
  <c r="J270" i="21"/>
  <c r="J272" i="21"/>
  <c r="J276" i="21"/>
  <c r="J278" i="21"/>
  <c r="J280" i="21"/>
  <c r="J284" i="21"/>
  <c r="J286" i="21"/>
  <c r="J290" i="21"/>
  <c r="J292" i="21"/>
  <c r="J294" i="21"/>
  <c r="J296" i="21"/>
  <c r="I92" i="22"/>
  <c r="I247" i="22"/>
  <c r="F248" i="22"/>
  <c r="F93" i="22"/>
  <c r="P95" i="22"/>
  <c r="P250" i="22"/>
  <c r="M251" i="22"/>
  <c r="M96" i="22"/>
  <c r="D254" i="22"/>
  <c r="D99" i="22"/>
  <c r="T254" i="22"/>
  <c r="T99" i="22"/>
  <c r="K102" i="22"/>
  <c r="K257" i="22"/>
  <c r="H259" i="22"/>
  <c r="H104" i="22"/>
  <c r="U260" i="22"/>
  <c r="U105" i="22"/>
  <c r="O262" i="22"/>
  <c r="O107" i="22"/>
  <c r="I264" i="22"/>
  <c r="I109" i="22"/>
  <c r="I81" i="22"/>
  <c r="I91" i="22"/>
  <c r="F92" i="22"/>
  <c r="S93" i="22"/>
  <c r="P94" i="22"/>
  <c r="M95" i="22"/>
  <c r="G97" i="22"/>
  <c r="D98" i="22"/>
  <c r="T98" i="22"/>
  <c r="N100" i="22"/>
  <c r="K101" i="22"/>
  <c r="H102" i="22"/>
  <c r="E104" i="22"/>
  <c r="R105" i="22"/>
  <c r="O106" i="22"/>
  <c r="L107" i="22"/>
  <c r="F109" i="22"/>
  <c r="V109" i="22"/>
  <c r="S110" i="22"/>
  <c r="M112" i="22"/>
  <c r="J113" i="22"/>
  <c r="G114" i="22"/>
  <c r="T115" i="22"/>
  <c r="N117" i="22"/>
  <c r="H119" i="22"/>
  <c r="N81" i="22"/>
  <c r="N120" i="22" s="1"/>
  <c r="O99" i="22"/>
  <c r="P111" i="22"/>
  <c r="U159" i="22"/>
  <c r="U198" i="22" s="1"/>
  <c r="K268" i="21"/>
  <c r="K270" i="21"/>
  <c r="K272" i="21"/>
  <c r="K276" i="21"/>
  <c r="K278" i="21"/>
  <c r="K284" i="21"/>
  <c r="K286" i="21"/>
  <c r="K290" i="21"/>
  <c r="K292" i="21"/>
  <c r="K294" i="21"/>
  <c r="K296" i="21"/>
  <c r="M42" i="22"/>
  <c r="M198" i="22" s="1"/>
  <c r="K252" i="22"/>
  <c r="K175" i="22"/>
  <c r="F105" i="22"/>
  <c r="F183" i="22"/>
  <c r="M186" i="22"/>
  <c r="M108" i="22"/>
  <c r="T111" i="22"/>
  <c r="T189" i="22"/>
  <c r="I42" i="22"/>
  <c r="I198" i="22" s="1"/>
  <c r="J81" i="22"/>
  <c r="J120" i="22" s="1"/>
  <c r="Q94" i="22"/>
  <c r="E98" i="22"/>
  <c r="L101" i="22"/>
  <c r="R111" i="22"/>
  <c r="F169" i="22"/>
  <c r="S170" i="22"/>
  <c r="P171" i="22"/>
  <c r="M172" i="22"/>
  <c r="J173" i="22"/>
  <c r="D175" i="22"/>
  <c r="T175" i="22"/>
  <c r="N177" i="22"/>
  <c r="H179" i="22"/>
  <c r="E180" i="22"/>
  <c r="R182" i="22"/>
  <c r="O183" i="22"/>
  <c r="S187" i="22"/>
  <c r="M189" i="22"/>
  <c r="T195" i="22"/>
  <c r="O236" i="22"/>
  <c r="L247" i="22"/>
  <c r="I248" i="22"/>
  <c r="F249" i="22"/>
  <c r="V249" i="22"/>
  <c r="S250" i="22"/>
  <c r="P251" i="22"/>
  <c r="M252" i="22"/>
  <c r="K97" i="22"/>
  <c r="H98" i="22"/>
  <c r="E99" i="22"/>
  <c r="U99" i="22"/>
  <c r="R100" i="22"/>
  <c r="O101" i="22"/>
  <c r="L102" i="22"/>
  <c r="L169" i="22"/>
  <c r="I170" i="22"/>
  <c r="F171" i="22"/>
  <c r="V171" i="22"/>
  <c r="S172" i="22"/>
  <c r="P173" i="22"/>
  <c r="M174" i="22"/>
  <c r="J175" i="22"/>
  <c r="G176" i="22"/>
  <c r="D177" i="22"/>
  <c r="T177" i="22"/>
  <c r="Q178" i="22"/>
  <c r="N179" i="22"/>
  <c r="K180" i="22"/>
  <c r="H182" i="22"/>
  <c r="E183" i="22"/>
  <c r="U183" i="22"/>
  <c r="R184" i="22"/>
  <c r="O185" i="22"/>
  <c r="L186" i="22"/>
  <c r="I187" i="22"/>
  <c r="F188" i="22"/>
  <c r="V188" i="22"/>
  <c r="S189" i="22"/>
  <c r="P190" i="22"/>
  <c r="M191" i="22"/>
  <c r="J192" i="22"/>
  <c r="G193" i="22"/>
  <c r="Q195" i="22"/>
  <c r="N196" i="22"/>
  <c r="K197" i="22"/>
  <c r="M236" i="22"/>
  <c r="G248" i="22"/>
  <c r="T249" i="22"/>
  <c r="N251" i="22"/>
  <c r="H253" i="22"/>
  <c r="U254" i="22"/>
  <c r="O256" i="22"/>
  <c r="D298" i="23"/>
  <c r="D257" i="23"/>
  <c r="N246" i="22"/>
  <c r="U249" i="22"/>
  <c r="I253" i="22"/>
  <c r="P256" i="22"/>
  <c r="T261" i="22"/>
  <c r="H265" i="22"/>
  <c r="R267" i="22"/>
  <c r="L269" i="22"/>
  <c r="V271" i="22"/>
  <c r="J273" i="23"/>
  <c r="P246" i="22"/>
  <c r="M247" i="22"/>
  <c r="K131" i="23"/>
  <c r="K90" i="23"/>
  <c r="G215" i="23"/>
  <c r="G174" i="23"/>
  <c r="Q159" i="22"/>
  <c r="S159" i="22"/>
  <c r="R236" i="22"/>
  <c r="O247" i="22"/>
  <c r="I249" i="22"/>
  <c r="V250" i="22"/>
  <c r="P252" i="22"/>
  <c r="J254" i="22"/>
  <c r="G255" i="22"/>
  <c r="D256" i="22"/>
  <c r="Q257" i="22"/>
  <c r="N259" i="22"/>
  <c r="K260" i="22"/>
  <c r="H261" i="22"/>
  <c r="E262" i="22"/>
  <c r="U262" i="22"/>
  <c r="R263" i="22"/>
  <c r="O264" i="22"/>
  <c r="L265" i="22"/>
  <c r="I266" i="22"/>
  <c r="F267" i="22"/>
  <c r="V267" i="22"/>
  <c r="S268" i="22"/>
  <c r="P269" i="22"/>
  <c r="M270" i="22"/>
  <c r="G272" i="22"/>
  <c r="D273" i="22"/>
  <c r="T273" i="22"/>
  <c r="Q274" i="22"/>
  <c r="I215" i="23"/>
  <c r="I174" i="23"/>
  <c r="S236" i="22"/>
  <c r="S275" i="22" s="1"/>
  <c r="P247" i="22"/>
  <c r="M248" i="22"/>
  <c r="J249" i="22"/>
  <c r="D251" i="22"/>
  <c r="T251" i="22"/>
  <c r="Q252" i="22"/>
  <c r="K254" i="22"/>
  <c r="H255" i="22"/>
  <c r="E256" i="22"/>
  <c r="R257" i="22"/>
  <c r="O259" i="22"/>
  <c r="L260" i="22"/>
  <c r="I261" i="22"/>
  <c r="V262" i="22"/>
  <c r="S263" i="22"/>
  <c r="P264" i="22"/>
  <c r="J266" i="22"/>
  <c r="G267" i="22"/>
  <c r="T268" i="22"/>
  <c r="N270" i="22"/>
  <c r="E273" i="22"/>
  <c r="U273" i="22"/>
  <c r="R274" i="22"/>
  <c r="E96" i="22"/>
  <c r="U96" i="22"/>
  <c r="R97" i="22"/>
  <c r="O98" i="22"/>
  <c r="L99" i="22"/>
  <c r="I100" i="22"/>
  <c r="F101" i="22"/>
  <c r="V101" i="22"/>
  <c r="S102" i="22"/>
  <c r="S169" i="22"/>
  <c r="P170" i="22"/>
  <c r="M171" i="22"/>
  <c r="J172" i="22"/>
  <c r="G173" i="22"/>
  <c r="D174" i="22"/>
  <c r="T174" i="22"/>
  <c r="Q175" i="22"/>
  <c r="N176" i="22"/>
  <c r="K177" i="22"/>
  <c r="H178" i="22"/>
  <c r="E179" i="22"/>
  <c r="U179" i="22"/>
  <c r="R180" i="22"/>
  <c r="O182" i="22"/>
  <c r="L183" i="22"/>
  <c r="I184" i="22"/>
  <c r="F185" i="22"/>
  <c r="V185" i="22"/>
  <c r="S186" i="22"/>
  <c r="P187" i="22"/>
  <c r="M188" i="22"/>
  <c r="J189" i="22"/>
  <c r="G190" i="22"/>
  <c r="D191" i="22"/>
  <c r="T191" i="22"/>
  <c r="Q192" i="22"/>
  <c r="N193" i="22"/>
  <c r="H195" i="22"/>
  <c r="E196" i="22"/>
  <c r="U196" i="22"/>
  <c r="R197" i="22"/>
  <c r="J170" i="22"/>
  <c r="D246" i="22"/>
  <c r="T236" i="22"/>
  <c r="T275" i="22" s="1"/>
  <c r="K249" i="22"/>
  <c r="R252" i="22"/>
  <c r="F256" i="22"/>
  <c r="J261" i="22"/>
  <c r="Q264" i="22"/>
  <c r="K266" i="22"/>
  <c r="U268" i="22"/>
  <c r="O270" i="22"/>
  <c r="F273" i="22"/>
  <c r="I47" i="23"/>
  <c r="I131" i="23"/>
  <c r="D169" i="22"/>
  <c r="T169" i="22"/>
  <c r="Q170" i="22"/>
  <c r="N171" i="22"/>
  <c r="K172" i="22"/>
  <c r="E174" i="22"/>
  <c r="U174" i="22"/>
  <c r="R175" i="22"/>
  <c r="O176" i="22"/>
  <c r="L177" i="22"/>
  <c r="I178" i="22"/>
  <c r="F179" i="22"/>
  <c r="V179" i="22"/>
  <c r="S180" i="22"/>
  <c r="P182" i="22"/>
  <c r="M183" i="22"/>
  <c r="J184" i="22"/>
  <c r="G185" i="22"/>
  <c r="D186" i="22"/>
  <c r="T186" i="22"/>
  <c r="Q187" i="22"/>
  <c r="N188" i="22"/>
  <c r="K189" i="22"/>
  <c r="H190" i="22"/>
  <c r="E191" i="22"/>
  <c r="U191" i="22"/>
  <c r="R192" i="22"/>
  <c r="O193" i="22"/>
  <c r="I195" i="22"/>
  <c r="F196" i="22"/>
  <c r="V196" i="22"/>
  <c r="S197" i="22"/>
  <c r="J267" i="23"/>
  <c r="J46" i="23"/>
  <c r="J298" i="23" s="1"/>
  <c r="J100" i="23"/>
  <c r="J279" i="23"/>
  <c r="J112" i="23"/>
  <c r="J281" i="23"/>
  <c r="J114" i="23"/>
  <c r="J285" i="23"/>
  <c r="J118" i="23"/>
  <c r="J289" i="23"/>
  <c r="J122" i="23"/>
  <c r="J295" i="23"/>
  <c r="J128" i="23"/>
  <c r="J297" i="23"/>
  <c r="J130" i="23"/>
  <c r="J108" i="23"/>
  <c r="K298" i="23"/>
  <c r="K257" i="23"/>
  <c r="E169" i="22"/>
  <c r="U169" i="22"/>
  <c r="R170" i="22"/>
  <c r="O171" i="22"/>
  <c r="L172" i="22"/>
  <c r="I173" i="22"/>
  <c r="F174" i="22"/>
  <c r="V174" i="22"/>
  <c r="S175" i="22"/>
  <c r="P176" i="22"/>
  <c r="M177" i="22"/>
  <c r="J178" i="22"/>
  <c r="G179" i="22"/>
  <c r="D180" i="22"/>
  <c r="T180" i="22"/>
  <c r="Q182" i="22"/>
  <c r="N183" i="22"/>
  <c r="K184" i="22"/>
  <c r="H185" i="22"/>
  <c r="E186" i="22"/>
  <c r="U186" i="22"/>
  <c r="R187" i="22"/>
  <c r="O188" i="22"/>
  <c r="L189" i="22"/>
  <c r="I190" i="22"/>
  <c r="F191" i="22"/>
  <c r="V191" i="22"/>
  <c r="S192" i="22"/>
  <c r="P193" i="22"/>
  <c r="J195" i="22"/>
  <c r="G196" i="22"/>
  <c r="D197" i="22"/>
  <c r="T197" i="22"/>
  <c r="F236" i="22"/>
  <c r="V236" i="22"/>
  <c r="V275" i="22" s="1"/>
  <c r="V246" i="22"/>
  <c r="S247" i="22"/>
  <c r="P248" i="22"/>
  <c r="J250" i="22"/>
  <c r="G251" i="22"/>
  <c r="D252" i="22"/>
  <c r="Q253" i="22"/>
  <c r="N254" i="22"/>
  <c r="K255" i="22"/>
  <c r="E257" i="22"/>
  <c r="U257" i="22"/>
  <c r="G81" i="22"/>
  <c r="G120" i="22" s="1"/>
  <c r="G91" i="22"/>
  <c r="F159" i="22"/>
  <c r="V159" i="22"/>
  <c r="V198" i="22" s="1"/>
  <c r="J190" i="22"/>
  <c r="G191" i="22"/>
  <c r="D192" i="22"/>
  <c r="T192" i="22"/>
  <c r="Q193" i="22"/>
  <c r="K195" i="22"/>
  <c r="H196" i="22"/>
  <c r="E197" i="22"/>
  <c r="U197" i="22"/>
  <c r="D247" i="22"/>
  <c r="Q248" i="22"/>
  <c r="K250" i="22"/>
  <c r="E252" i="22"/>
  <c r="R253" i="22"/>
  <c r="L255" i="22"/>
  <c r="F257" i="22"/>
  <c r="P260" i="22"/>
  <c r="J262" i="22"/>
  <c r="K47" i="23"/>
  <c r="G159" i="22"/>
  <c r="G198" i="22" s="1"/>
  <c r="H246" i="22"/>
  <c r="H236" i="22"/>
  <c r="H275" i="22" s="1"/>
  <c r="E247" i="22"/>
  <c r="U247" i="22"/>
  <c r="R248" i="22"/>
  <c r="O249" i="22"/>
  <c r="L250" i="22"/>
  <c r="I251" i="22"/>
  <c r="F252" i="22"/>
  <c r="V252" i="22"/>
  <c r="S253" i="22"/>
  <c r="P254" i="22"/>
  <c r="M255" i="22"/>
  <c r="J256" i="22"/>
  <c r="G257" i="22"/>
  <c r="D259" i="22"/>
  <c r="Q260" i="22"/>
  <c r="N261" i="22"/>
  <c r="K262" i="22"/>
  <c r="E264" i="22"/>
  <c r="U264" i="22"/>
  <c r="R265" i="22"/>
  <c r="O266" i="22"/>
  <c r="L267" i="22"/>
  <c r="I268" i="22"/>
  <c r="F269" i="22"/>
  <c r="V269" i="22"/>
  <c r="S270" i="22"/>
  <c r="M272" i="22"/>
  <c r="J273" i="22"/>
  <c r="E47" i="23"/>
  <c r="H159" i="22"/>
  <c r="H198" i="22" s="1"/>
  <c r="D159" i="22"/>
  <c r="I246" i="22"/>
  <c r="I236" i="22"/>
  <c r="F247" i="22"/>
  <c r="V247" i="22"/>
  <c r="S248" i="22"/>
  <c r="P249" i="22"/>
  <c r="M250" i="22"/>
  <c r="J251" i="22"/>
  <c r="G252" i="22"/>
  <c r="D253" i="22"/>
  <c r="T253" i="22"/>
  <c r="Q254" i="22"/>
  <c r="N255" i="22"/>
  <c r="K256" i="22"/>
  <c r="H257" i="22"/>
  <c r="E259" i="22"/>
  <c r="R260" i="22"/>
  <c r="O261" i="22"/>
  <c r="L262" i="22"/>
  <c r="F264" i="22"/>
  <c r="V264" i="22"/>
  <c r="S265" i="22"/>
  <c r="P266" i="22"/>
  <c r="M267" i="22"/>
  <c r="J268" i="22"/>
  <c r="D270" i="22"/>
  <c r="T270" i="22"/>
  <c r="N272" i="22"/>
  <c r="K273" i="22"/>
  <c r="H274" i="22"/>
  <c r="E236" i="22"/>
  <c r="J102" i="23"/>
  <c r="F104" i="22"/>
  <c r="V104" i="22"/>
  <c r="S105" i="22"/>
  <c r="P106" i="22"/>
  <c r="M107" i="22"/>
  <c r="J108" i="22"/>
  <c r="G109" i="22"/>
  <c r="D110" i="22"/>
  <c r="T110" i="22"/>
  <c r="Q111" i="22"/>
  <c r="N112" i="22"/>
  <c r="K113" i="22"/>
  <c r="H114" i="22"/>
  <c r="E115" i="22"/>
  <c r="U115" i="22"/>
  <c r="O117" i="22"/>
  <c r="L118" i="22"/>
  <c r="I119" i="22"/>
  <c r="J91" i="22"/>
  <c r="E159" i="22"/>
  <c r="E198" i="22" s="1"/>
  <c r="J236" i="22"/>
  <c r="J275" i="22" s="1"/>
  <c r="J246" i="22"/>
  <c r="G236" i="22"/>
  <c r="G275" i="22" s="1"/>
  <c r="G247" i="22"/>
  <c r="T248" i="22"/>
  <c r="Q249" i="22"/>
  <c r="N250" i="22"/>
  <c r="H252" i="22"/>
  <c r="E253" i="22"/>
  <c r="U253" i="22"/>
  <c r="O255" i="22"/>
  <c r="L256" i="22"/>
  <c r="I257" i="22"/>
  <c r="F259" i="22"/>
  <c r="V259" i="22"/>
  <c r="S260" i="22"/>
  <c r="P261" i="22"/>
  <c r="M262" i="22"/>
  <c r="J263" i="22"/>
  <c r="G264" i="22"/>
  <c r="D265" i="22"/>
  <c r="T265" i="22"/>
  <c r="N267" i="22"/>
  <c r="K268" i="22"/>
  <c r="E270" i="22"/>
  <c r="O272" i="22"/>
  <c r="I274" i="22"/>
  <c r="P236" i="22"/>
  <c r="P275" i="22" s="1"/>
  <c r="K91" i="22"/>
  <c r="K236" i="22"/>
  <c r="K275" i="22" s="1"/>
  <c r="K246" i="22"/>
  <c r="H247" i="22"/>
  <c r="E248" i="22"/>
  <c r="U248" i="22"/>
  <c r="R249" i="22"/>
  <c r="O250" i="22"/>
  <c r="L251" i="22"/>
  <c r="I252" i="22"/>
  <c r="F253" i="22"/>
  <c r="V253" i="22"/>
  <c r="S254" i="22"/>
  <c r="P255" i="22"/>
  <c r="M256" i="22"/>
  <c r="J257" i="22"/>
  <c r="D260" i="22"/>
  <c r="T260" i="22"/>
  <c r="Q261" i="22"/>
  <c r="K263" i="22"/>
  <c r="H264" i="22"/>
  <c r="E265" i="22"/>
  <c r="U265" i="22"/>
  <c r="O267" i="22"/>
  <c r="I269" i="22"/>
  <c r="F270" i="22"/>
  <c r="V270" i="22"/>
  <c r="P272" i="22"/>
  <c r="M273" i="22"/>
  <c r="J274" i="22"/>
  <c r="E215" i="23"/>
  <c r="S249" i="22"/>
  <c r="G253" i="22"/>
  <c r="N256" i="22"/>
  <c r="E260" i="22"/>
  <c r="R261" i="22"/>
  <c r="L263" i="22"/>
  <c r="F246" i="22"/>
  <c r="G89" i="23"/>
  <c r="G100" i="23"/>
  <c r="O246" i="22"/>
  <c r="D100" i="23"/>
  <c r="D89" i="23"/>
  <c r="D102" i="23"/>
  <c r="D104" i="23"/>
  <c r="D106" i="23"/>
  <c r="D108" i="23"/>
  <c r="D110" i="23"/>
  <c r="D114" i="23"/>
  <c r="D116" i="23"/>
  <c r="D118" i="23"/>
  <c r="D120" i="23"/>
  <c r="D122" i="23"/>
  <c r="D124" i="23"/>
  <c r="D126" i="23"/>
  <c r="D128" i="23"/>
  <c r="D130" i="23"/>
  <c r="J119" i="23"/>
  <c r="I125" i="23"/>
  <c r="H185" i="23"/>
  <c r="D203" i="23"/>
  <c r="H214" i="23"/>
  <c r="D294" i="23"/>
  <c r="D296" i="23"/>
  <c r="S82" i="24"/>
  <c r="S121" i="24" s="1"/>
  <c r="M171" i="24"/>
  <c r="G173" i="24"/>
  <c r="T174" i="24"/>
  <c r="N176" i="24"/>
  <c r="H178" i="24"/>
  <c r="U179" i="24"/>
  <c r="J248" i="22"/>
  <c r="G249" i="22"/>
  <c r="T250" i="22"/>
  <c r="Q251" i="22"/>
  <c r="N252" i="22"/>
  <c r="K253" i="22"/>
  <c r="H254" i="22"/>
  <c r="E255" i="22"/>
  <c r="U255" i="22"/>
  <c r="R256" i="22"/>
  <c r="O257" i="22"/>
  <c r="H102" i="23"/>
  <c r="H188" i="23"/>
  <c r="E296" i="23"/>
  <c r="E256" i="23"/>
  <c r="T246" i="22"/>
  <c r="D46" i="23"/>
  <c r="J111" i="23"/>
  <c r="I117" i="23"/>
  <c r="H256" i="23"/>
  <c r="H268" i="23"/>
  <c r="H270" i="23"/>
  <c r="H272" i="23"/>
  <c r="H274" i="23"/>
  <c r="H276" i="23"/>
  <c r="H278" i="23"/>
  <c r="H280" i="23"/>
  <c r="H282" i="23"/>
  <c r="H284" i="23"/>
  <c r="H286" i="23"/>
  <c r="H288" i="23"/>
  <c r="H290" i="23"/>
  <c r="H292" i="23"/>
  <c r="H296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J117" i="23"/>
  <c r="U276" i="24"/>
  <c r="E246" i="22"/>
  <c r="U246" i="22"/>
  <c r="R247" i="22"/>
  <c r="O248" i="22"/>
  <c r="L249" i="22"/>
  <c r="I250" i="22"/>
  <c r="F251" i="22"/>
  <c r="V251" i="22"/>
  <c r="S252" i="22"/>
  <c r="P253" i="22"/>
  <c r="M254" i="22"/>
  <c r="J255" i="22"/>
  <c r="G256" i="22"/>
  <c r="D257" i="22"/>
  <c r="T257" i="22"/>
  <c r="Q259" i="22"/>
  <c r="N260" i="22"/>
  <c r="K261" i="22"/>
  <c r="H262" i="22"/>
  <c r="E263" i="22"/>
  <c r="U263" i="22"/>
  <c r="R264" i="22"/>
  <c r="O265" i="22"/>
  <c r="L266" i="22"/>
  <c r="I267" i="22"/>
  <c r="F268" i="22"/>
  <c r="V268" i="22"/>
  <c r="S269" i="22"/>
  <c r="P270" i="22"/>
  <c r="J272" i="22"/>
  <c r="G273" i="22"/>
  <c r="D274" i="22"/>
  <c r="T274" i="22"/>
  <c r="U236" i="22"/>
  <c r="U275" i="22" s="1"/>
  <c r="H46" i="23"/>
  <c r="H47" i="23" s="1"/>
  <c r="J282" i="23"/>
  <c r="Q82" i="24"/>
  <c r="Q121" i="24" s="1"/>
  <c r="R259" i="22"/>
  <c r="O260" i="22"/>
  <c r="L261" i="22"/>
  <c r="I262" i="22"/>
  <c r="F263" i="22"/>
  <c r="V263" i="22"/>
  <c r="S264" i="22"/>
  <c r="P265" i="22"/>
  <c r="M266" i="22"/>
  <c r="J267" i="22"/>
  <c r="G268" i="22"/>
  <c r="D269" i="22"/>
  <c r="T269" i="22"/>
  <c r="Q270" i="22"/>
  <c r="K272" i="22"/>
  <c r="H273" i="22"/>
  <c r="E274" i="22"/>
  <c r="U274" i="22"/>
  <c r="I103" i="23"/>
  <c r="D184" i="23"/>
  <c r="K292" i="23"/>
  <c r="K294" i="23"/>
  <c r="K296" i="23"/>
  <c r="J270" i="23"/>
  <c r="J274" i="23"/>
  <c r="R82" i="24"/>
  <c r="R121" i="24" s="1"/>
  <c r="D101" i="23"/>
  <c r="D103" i="23"/>
  <c r="D105" i="23"/>
  <c r="D107" i="23"/>
  <c r="D109" i="23"/>
  <c r="D111" i="23"/>
  <c r="D113" i="23"/>
  <c r="D115" i="23"/>
  <c r="D117" i="23"/>
  <c r="D119" i="23"/>
  <c r="D121" i="23"/>
  <c r="D123" i="23"/>
  <c r="D125" i="23"/>
  <c r="D127" i="23"/>
  <c r="D129" i="23"/>
  <c r="F89" i="23"/>
  <c r="K100" i="23"/>
  <c r="I109" i="23"/>
  <c r="D295" i="23"/>
  <c r="D297" i="23"/>
  <c r="J109" i="23"/>
  <c r="I115" i="23"/>
  <c r="H118" i="23"/>
  <c r="I184" i="23"/>
  <c r="I186" i="23"/>
  <c r="I188" i="23"/>
  <c r="I190" i="23"/>
  <c r="I192" i="23"/>
  <c r="I194" i="23"/>
  <c r="I196" i="23"/>
  <c r="I198" i="23"/>
  <c r="I200" i="23"/>
  <c r="I202" i="23"/>
  <c r="I204" i="23"/>
  <c r="I206" i="23"/>
  <c r="I208" i="23"/>
  <c r="I210" i="23"/>
  <c r="I212" i="23"/>
  <c r="I214" i="23"/>
  <c r="D193" i="23"/>
  <c r="I160" i="24"/>
  <c r="I199" i="24" s="1"/>
  <c r="I170" i="24"/>
  <c r="S199" i="24"/>
  <c r="H89" i="23"/>
  <c r="I121" i="23"/>
  <c r="H124" i="23"/>
  <c r="J184" i="23"/>
  <c r="J173" i="23"/>
  <c r="J186" i="23"/>
  <c r="J188" i="23"/>
  <c r="J190" i="23"/>
  <c r="J192" i="23"/>
  <c r="J194" i="23"/>
  <c r="J196" i="23"/>
  <c r="J198" i="23"/>
  <c r="J200" i="23"/>
  <c r="J202" i="23"/>
  <c r="J204" i="23"/>
  <c r="J206" i="23"/>
  <c r="J208" i="23"/>
  <c r="J210" i="23"/>
  <c r="J212" i="23"/>
  <c r="J214" i="23"/>
  <c r="G184" i="23"/>
  <c r="H210" i="23"/>
  <c r="F267" i="23"/>
  <c r="F256" i="23"/>
  <c r="J82" i="24"/>
  <c r="J121" i="24" s="1"/>
  <c r="T199" i="24"/>
  <c r="J121" i="23"/>
  <c r="I127" i="23"/>
  <c r="G267" i="23"/>
  <c r="G256" i="23"/>
  <c r="G269" i="23"/>
  <c r="G271" i="23"/>
  <c r="G273" i="23"/>
  <c r="G275" i="23"/>
  <c r="G277" i="23"/>
  <c r="G281" i="23"/>
  <c r="G283" i="23"/>
  <c r="G285" i="23"/>
  <c r="G287" i="23"/>
  <c r="G289" i="23"/>
  <c r="G291" i="23"/>
  <c r="G293" i="23"/>
  <c r="N82" i="24"/>
  <c r="N121" i="24" s="1"/>
  <c r="N92" i="24"/>
  <c r="I101" i="23"/>
  <c r="H267" i="23"/>
  <c r="H269" i="23"/>
  <c r="H271" i="23"/>
  <c r="H273" i="23"/>
  <c r="H275" i="23"/>
  <c r="H277" i="23"/>
  <c r="H281" i="23"/>
  <c r="H283" i="23"/>
  <c r="H285" i="23"/>
  <c r="H287" i="23"/>
  <c r="H289" i="23"/>
  <c r="H295" i="23"/>
  <c r="D268" i="23"/>
  <c r="D280" i="23"/>
  <c r="O92" i="24"/>
  <c r="O82" i="24"/>
  <c r="O121" i="24" s="1"/>
  <c r="L236" i="22"/>
  <c r="L275" i="22" s="1"/>
  <c r="F265" i="22"/>
  <c r="V265" i="22"/>
  <c r="S266" i="22"/>
  <c r="P267" i="22"/>
  <c r="M268" i="22"/>
  <c r="J269" i="22"/>
  <c r="G270" i="22"/>
  <c r="Q272" i="22"/>
  <c r="N273" i="22"/>
  <c r="K274" i="22"/>
  <c r="L246" i="22"/>
  <c r="J101" i="23"/>
  <c r="I267" i="23"/>
  <c r="I269" i="23"/>
  <c r="I271" i="23"/>
  <c r="I273" i="23"/>
  <c r="I275" i="23"/>
  <c r="I277" i="23"/>
  <c r="I279" i="23"/>
  <c r="I281" i="23"/>
  <c r="I283" i="23"/>
  <c r="I285" i="23"/>
  <c r="I287" i="23"/>
  <c r="I289" i="23"/>
  <c r="I291" i="23"/>
  <c r="I297" i="23"/>
  <c r="F247" i="24"/>
  <c r="F42" i="24"/>
  <c r="V247" i="24"/>
  <c r="V42" i="24"/>
  <c r="P92" i="24"/>
  <c r="J94" i="24"/>
  <c r="G95" i="24"/>
  <c r="H100" i="24"/>
  <c r="O103" i="24"/>
  <c r="I259" i="22"/>
  <c r="F260" i="22"/>
  <c r="V260" i="22"/>
  <c r="S261" i="22"/>
  <c r="P262" i="22"/>
  <c r="M263" i="22"/>
  <c r="J264" i="22"/>
  <c r="G265" i="22"/>
  <c r="D266" i="22"/>
  <c r="T266" i="22"/>
  <c r="Q267" i="22"/>
  <c r="N268" i="22"/>
  <c r="K269" i="22"/>
  <c r="H270" i="22"/>
  <c r="R272" i="22"/>
  <c r="O273" i="22"/>
  <c r="L274" i="22"/>
  <c r="M246" i="22"/>
  <c r="J291" i="23"/>
  <c r="J293" i="23"/>
  <c r="G42" i="24"/>
  <c r="Q42" i="24"/>
  <c r="K101" i="23"/>
  <c r="K103" i="23"/>
  <c r="K105" i="23"/>
  <c r="K107" i="23"/>
  <c r="K109" i="23"/>
  <c r="K111" i="23"/>
  <c r="K113" i="23"/>
  <c r="K115" i="23"/>
  <c r="K117" i="23"/>
  <c r="K119" i="23"/>
  <c r="K121" i="23"/>
  <c r="K123" i="23"/>
  <c r="K125" i="23"/>
  <c r="K127" i="23"/>
  <c r="K129" i="23"/>
  <c r="J113" i="23"/>
  <c r="H208" i="23"/>
  <c r="H42" i="24"/>
  <c r="H276" i="24" s="1"/>
  <c r="L82" i="24"/>
  <c r="L121" i="24" s="1"/>
  <c r="G105" i="24"/>
  <c r="D106" i="24"/>
  <c r="T106" i="24"/>
  <c r="Q107" i="24"/>
  <c r="N108" i="24"/>
  <c r="H110" i="24"/>
  <c r="E111" i="24"/>
  <c r="U111" i="24"/>
  <c r="R112" i="24"/>
  <c r="O113" i="24"/>
  <c r="L114" i="24"/>
  <c r="I115" i="24"/>
  <c r="V116" i="24"/>
  <c r="M119" i="24"/>
  <c r="J120" i="24"/>
  <c r="J93" i="24"/>
  <c r="G170" i="24"/>
  <c r="D171" i="24"/>
  <c r="T171" i="24"/>
  <c r="Q172" i="24"/>
  <c r="N173" i="24"/>
  <c r="K174" i="24"/>
  <c r="H175" i="24"/>
  <c r="E176" i="24"/>
  <c r="U176" i="24"/>
  <c r="R177" i="24"/>
  <c r="O178" i="24"/>
  <c r="L179" i="24"/>
  <c r="I180" i="24"/>
  <c r="M82" i="24"/>
  <c r="M121" i="24" s="1"/>
  <c r="P82" i="24"/>
  <c r="P121" i="24" s="1"/>
  <c r="N113" i="24"/>
  <c r="H170" i="24"/>
  <c r="E171" i="24"/>
  <c r="U171" i="24"/>
  <c r="R172" i="24"/>
  <c r="O173" i="24"/>
  <c r="L174" i="24"/>
  <c r="I175" i="24"/>
  <c r="F176" i="24"/>
  <c r="V176" i="24"/>
  <c r="S177" i="24"/>
  <c r="P178" i="24"/>
  <c r="M179" i="24"/>
  <c r="J180" i="24"/>
  <c r="G181" i="24"/>
  <c r="S183" i="24"/>
  <c r="J186" i="24"/>
  <c r="T96" i="24"/>
  <c r="Q97" i="24"/>
  <c r="N98" i="24"/>
  <c r="K99" i="24"/>
  <c r="U101" i="24"/>
  <c r="R102" i="24"/>
  <c r="E107" i="24"/>
  <c r="U107" i="24"/>
  <c r="R108" i="24"/>
  <c r="O109" i="24"/>
  <c r="L110" i="24"/>
  <c r="I111" i="24"/>
  <c r="F112" i="24"/>
  <c r="S113" i="24"/>
  <c r="P114" i="24"/>
  <c r="J116" i="24"/>
  <c r="D118" i="24"/>
  <c r="T118" i="24"/>
  <c r="N120" i="24"/>
  <c r="T97" i="24"/>
  <c r="U99" i="24"/>
  <c r="L185" i="24"/>
  <c r="O276" i="24"/>
  <c r="S252" i="24"/>
  <c r="G269" i="24"/>
  <c r="V263" i="24"/>
  <c r="V186" i="24"/>
  <c r="M266" i="24"/>
  <c r="M189" i="24"/>
  <c r="U197" i="24"/>
  <c r="U274" i="24"/>
  <c r="V107" i="24"/>
  <c r="G112" i="24"/>
  <c r="Q114" i="24"/>
  <c r="E118" i="24"/>
  <c r="T82" i="24"/>
  <c r="T121" i="24" s="1"/>
  <c r="R95" i="24"/>
  <c r="E89" i="23"/>
  <c r="K173" i="23"/>
  <c r="D42" i="24"/>
  <c r="T42" i="24"/>
  <c r="S181" i="24"/>
  <c r="S258" i="24"/>
  <c r="M261" i="24"/>
  <c r="M184" i="24"/>
  <c r="D264" i="24"/>
  <c r="D187" i="24"/>
  <c r="T264" i="24"/>
  <c r="T187" i="24"/>
  <c r="H268" i="24"/>
  <c r="H191" i="24"/>
  <c r="R270" i="24"/>
  <c r="R193" i="24"/>
  <c r="F274" i="24"/>
  <c r="F197" i="24"/>
  <c r="S275" i="24"/>
  <c r="S198" i="24"/>
  <c r="R92" i="24"/>
  <c r="P98" i="24"/>
  <c r="M99" i="24"/>
  <c r="J100" i="24"/>
  <c r="J160" i="24"/>
  <c r="J199" i="24" s="1"/>
  <c r="E247" i="24"/>
  <c r="E42" i="24"/>
  <c r="U247" i="24"/>
  <c r="U42" i="24"/>
  <c r="U170" i="24"/>
  <c r="O249" i="24"/>
  <c r="O172" i="24"/>
  <c r="I251" i="24"/>
  <c r="I174" i="24"/>
  <c r="V252" i="24"/>
  <c r="V175" i="24"/>
  <c r="P254" i="24"/>
  <c r="P177" i="24"/>
  <c r="G257" i="24"/>
  <c r="G180" i="24"/>
  <c r="J273" i="24"/>
  <c r="J196" i="24"/>
  <c r="S92" i="24"/>
  <c r="P93" i="24"/>
  <c r="N99" i="24"/>
  <c r="K100" i="24"/>
  <c r="H101" i="24"/>
  <c r="U102" i="24"/>
  <c r="R103" i="24"/>
  <c r="D94" i="24"/>
  <c r="S106" i="24"/>
  <c r="I120" i="24"/>
  <c r="K160" i="24"/>
  <c r="H160" i="24"/>
  <c r="H199" i="24" s="1"/>
  <c r="E173" i="24"/>
  <c r="U173" i="24"/>
  <c r="R174" i="24"/>
  <c r="O175" i="24"/>
  <c r="L176" i="24"/>
  <c r="I177" i="24"/>
  <c r="F178" i="24"/>
  <c r="V178" i="24"/>
  <c r="S179" i="24"/>
  <c r="P180" i="24"/>
  <c r="V264" i="24"/>
  <c r="V187" i="24"/>
  <c r="M267" i="24"/>
  <c r="M190" i="24"/>
  <c r="T114" i="24"/>
  <c r="Q115" i="24"/>
  <c r="N116" i="24"/>
  <c r="H118" i="24"/>
  <c r="E119" i="24"/>
  <c r="U119" i="24"/>
  <c r="R120" i="24"/>
  <c r="L92" i="24"/>
  <c r="L160" i="24"/>
  <c r="L199" i="24" s="1"/>
  <c r="D185" i="24"/>
  <c r="E92" i="24"/>
  <c r="E82" i="24"/>
  <c r="U92" i="24"/>
  <c r="U82" i="24"/>
  <c r="U121" i="24" s="1"/>
  <c r="M92" i="24"/>
  <c r="R100" i="24"/>
  <c r="F116" i="24"/>
  <c r="P160" i="24"/>
  <c r="P199" i="24" s="1"/>
  <c r="P170" i="24"/>
  <c r="J172" i="24"/>
  <c r="D160" i="24"/>
  <c r="D199" i="24" s="1"/>
  <c r="D174" i="24"/>
  <c r="Q175" i="24"/>
  <c r="K177" i="24"/>
  <c r="R180" i="24"/>
  <c r="O181" i="24"/>
  <c r="K183" i="24"/>
  <c r="H184" i="24"/>
  <c r="E185" i="24"/>
  <c r="U185" i="24"/>
  <c r="R186" i="24"/>
  <c r="O187" i="24"/>
  <c r="L188" i="24"/>
  <c r="I189" i="24"/>
  <c r="F190" i="24"/>
  <c r="V190" i="24"/>
  <c r="S191" i="24"/>
  <c r="P192" i="24"/>
  <c r="M193" i="24"/>
  <c r="D196" i="24"/>
  <c r="T196" i="24"/>
  <c r="N198" i="24"/>
  <c r="F92" i="24"/>
  <c r="F82" i="24"/>
  <c r="V92" i="24"/>
  <c r="V82" i="24"/>
  <c r="V121" i="24" s="1"/>
  <c r="S93" i="24"/>
  <c r="P94" i="24"/>
  <c r="M95" i="24"/>
  <c r="J96" i="24"/>
  <c r="G97" i="24"/>
  <c r="D98" i="24"/>
  <c r="T98" i="24"/>
  <c r="Q99" i="24"/>
  <c r="N100" i="24"/>
  <c r="K101" i="24"/>
  <c r="H102" i="24"/>
  <c r="E103" i="24"/>
  <c r="U103" i="24"/>
  <c r="S100" i="24"/>
  <c r="L107" i="24"/>
  <c r="Q170" i="24"/>
  <c r="Q160" i="24"/>
  <c r="Q199" i="24" s="1"/>
  <c r="L183" i="24"/>
  <c r="I184" i="24"/>
  <c r="F185" i="24"/>
  <c r="V185" i="24"/>
  <c r="S186" i="24"/>
  <c r="P187" i="24"/>
  <c r="J189" i="24"/>
  <c r="G190" i="24"/>
  <c r="D191" i="24"/>
  <c r="T191" i="24"/>
  <c r="Q192" i="24"/>
  <c r="N193" i="24"/>
  <c r="E196" i="24"/>
  <c r="U196" i="24"/>
  <c r="R197" i="24"/>
  <c r="O198" i="24"/>
  <c r="E276" i="24"/>
  <c r="U248" i="24"/>
  <c r="O250" i="24"/>
  <c r="L251" i="24"/>
  <c r="I252" i="24"/>
  <c r="F253" i="24"/>
  <c r="V253" i="24"/>
  <c r="S254" i="24"/>
  <c r="M256" i="24"/>
  <c r="G258" i="24"/>
  <c r="K268" i="24"/>
  <c r="G82" i="24"/>
  <c r="D93" i="24"/>
  <c r="T93" i="24"/>
  <c r="Q94" i="24"/>
  <c r="N95" i="24"/>
  <c r="K96" i="24"/>
  <c r="O100" i="24"/>
  <c r="L101" i="24"/>
  <c r="I102" i="24"/>
  <c r="F103" i="24"/>
  <c r="V103" i="24"/>
  <c r="R105" i="24"/>
  <c r="O106" i="24"/>
  <c r="I108" i="24"/>
  <c r="F109" i="24"/>
  <c r="S110" i="24"/>
  <c r="P111" i="24"/>
  <c r="J113" i="24"/>
  <c r="G114" i="24"/>
  <c r="T115" i="24"/>
  <c r="K118" i="24"/>
  <c r="H119" i="24"/>
  <c r="E120" i="24"/>
  <c r="U120" i="24"/>
  <c r="Q173" i="24"/>
  <c r="Q95" i="24"/>
  <c r="N174" i="24"/>
  <c r="N96" i="24"/>
  <c r="K175" i="24"/>
  <c r="K97" i="24"/>
  <c r="H176" i="24"/>
  <c r="H98" i="24"/>
  <c r="L180" i="24"/>
  <c r="L102" i="24"/>
  <c r="I181" i="24"/>
  <c r="I103" i="24"/>
  <c r="U194" i="24"/>
  <c r="U271" i="24"/>
  <c r="H82" i="24"/>
  <c r="H121" i="24" s="1"/>
  <c r="U93" i="24"/>
  <c r="R94" i="24"/>
  <c r="O95" i="24"/>
  <c r="L96" i="24"/>
  <c r="I97" i="24"/>
  <c r="M101" i="24"/>
  <c r="J102" i="24"/>
  <c r="G103" i="24"/>
  <c r="S105" i="24"/>
  <c r="P106" i="24"/>
  <c r="M107" i="24"/>
  <c r="G109" i="24"/>
  <c r="D110" i="24"/>
  <c r="T110" i="24"/>
  <c r="Q111" i="24"/>
  <c r="K113" i="24"/>
  <c r="H114" i="24"/>
  <c r="U115" i="24"/>
  <c r="R116" i="24"/>
  <c r="L118" i="24"/>
  <c r="F120" i="24"/>
  <c r="V120" i="24"/>
  <c r="R181" i="24"/>
  <c r="N183" i="24"/>
  <c r="K184" i="24"/>
  <c r="U186" i="24"/>
  <c r="O188" i="24"/>
  <c r="H171" i="24"/>
  <c r="H248" i="24"/>
  <c r="L175" i="24"/>
  <c r="L252" i="24"/>
  <c r="F177" i="24"/>
  <c r="F254" i="24"/>
  <c r="G183" i="24"/>
  <c r="G260" i="24"/>
  <c r="I92" i="24"/>
  <c r="I82" i="24"/>
  <c r="I121" i="24" s="1"/>
  <c r="S94" i="24"/>
  <c r="P95" i="24"/>
  <c r="M96" i="24"/>
  <c r="D105" i="24"/>
  <c r="Q106" i="24"/>
  <c r="D82" i="24"/>
  <c r="D121" i="24" s="1"/>
  <c r="I256" i="23"/>
  <c r="J42" i="24"/>
  <c r="J92" i="24"/>
  <c r="G93" i="24"/>
  <c r="E99" i="24"/>
  <c r="T94" i="24"/>
  <c r="O101" i="24"/>
  <c r="E170" i="24"/>
  <c r="R171" i="24"/>
  <c r="L173" i="24"/>
  <c r="F175" i="24"/>
  <c r="S176" i="24"/>
  <c r="M178" i="24"/>
  <c r="J290" i="23"/>
  <c r="J292" i="23"/>
  <c r="J294" i="23"/>
  <c r="J296" i="23"/>
  <c r="M42" i="24"/>
  <c r="R273" i="24"/>
  <c r="R118" i="24"/>
  <c r="K42" i="24"/>
  <c r="K92" i="24"/>
  <c r="H93" i="24"/>
  <c r="E94" i="24"/>
  <c r="U94" i="24"/>
  <c r="O96" i="24"/>
  <c r="L97" i="24"/>
  <c r="I98" i="24"/>
  <c r="F99" i="24"/>
  <c r="V99" i="24"/>
  <c r="J103" i="24"/>
  <c r="F105" i="24"/>
  <c r="V105" i="24"/>
  <c r="P107" i="24"/>
  <c r="M108" i="24"/>
  <c r="G110" i="24"/>
  <c r="D111" i="24"/>
  <c r="T111" i="24"/>
  <c r="Q112" i="24"/>
  <c r="K114" i="24"/>
  <c r="H115" i="24"/>
  <c r="E116" i="24"/>
  <c r="U116" i="24"/>
  <c r="O118" i="24"/>
  <c r="L119" i="24"/>
  <c r="K82" i="24"/>
  <c r="K121" i="24" s="1"/>
  <c r="F170" i="24"/>
  <c r="S171" i="24"/>
  <c r="P172" i="24"/>
  <c r="M173" i="24"/>
  <c r="J174" i="24"/>
  <c r="G175" i="24"/>
  <c r="D176" i="24"/>
  <c r="T176" i="24"/>
  <c r="Q177" i="24"/>
  <c r="N178" i="24"/>
  <c r="K179" i="24"/>
  <c r="H180" i="24"/>
  <c r="E181" i="24"/>
  <c r="U187" i="24"/>
  <c r="O189" i="24"/>
  <c r="N160" i="24"/>
  <c r="N199" i="24" s="1"/>
  <c r="M181" i="24"/>
  <c r="I183" i="24"/>
  <c r="F184" i="24"/>
  <c r="V184" i="24"/>
  <c r="S185" i="24"/>
  <c r="P186" i="24"/>
  <c r="M187" i="24"/>
  <c r="J188" i="24"/>
  <c r="G189" i="24"/>
  <c r="D190" i="24"/>
  <c r="T190" i="24"/>
  <c r="Q191" i="24"/>
  <c r="N192" i="24"/>
  <c r="K193" i="24"/>
  <c r="H194" i="24"/>
  <c r="R196" i="24"/>
  <c r="O197" i="24"/>
  <c r="L198" i="24"/>
  <c r="O170" i="24"/>
  <c r="O160" i="24"/>
  <c r="O199" i="24" s="1"/>
  <c r="L171" i="24"/>
  <c r="I172" i="24"/>
  <c r="F173" i="24"/>
  <c r="V173" i="24"/>
  <c r="S174" i="24"/>
  <c r="P175" i="24"/>
  <c r="M176" i="24"/>
  <c r="J177" i="24"/>
  <c r="G178" i="24"/>
  <c r="T179" i="24"/>
  <c r="Q180" i="24"/>
  <c r="N181" i="24"/>
  <c r="J183" i="24"/>
  <c r="G184" i="24"/>
  <c r="T185" i="24"/>
  <c r="Q186" i="24"/>
  <c r="N187" i="24"/>
  <c r="K188" i="24"/>
  <c r="H189" i="24"/>
  <c r="E190" i="24"/>
  <c r="U190" i="24"/>
  <c r="R191" i="24"/>
  <c r="O192" i="24"/>
  <c r="L193" i="24"/>
  <c r="I194" i="24"/>
  <c r="V195" i="24"/>
  <c r="S196" i="24"/>
  <c r="P197" i="24"/>
  <c r="M198" i="24"/>
  <c r="K171" i="24"/>
  <c r="R170" i="24"/>
  <c r="R160" i="24"/>
  <c r="R199" i="24" s="1"/>
  <c r="O171" i="24"/>
  <c r="L172" i="24"/>
  <c r="I173" i="24"/>
  <c r="V174" i="24"/>
  <c r="S175" i="24"/>
  <c r="P176" i="24"/>
  <c r="M177" i="24"/>
  <c r="J178" i="24"/>
  <c r="D180" i="24"/>
  <c r="T180" i="24"/>
  <c r="Q181" i="24"/>
  <c r="M183" i="24"/>
  <c r="J184" i="24"/>
  <c r="Q187" i="24"/>
  <c r="N188" i="24"/>
  <c r="K189" i="24"/>
  <c r="H190" i="24"/>
  <c r="U191" i="24"/>
  <c r="O193" i="24"/>
  <c r="L194" i="24"/>
  <c r="F196" i="24"/>
  <c r="V196" i="24"/>
  <c r="S197" i="24"/>
  <c r="I237" i="24"/>
  <c r="I276" i="24" s="1"/>
  <c r="F237" i="24"/>
  <c r="F276" i="24" s="1"/>
  <c r="V248" i="24"/>
  <c r="S249" i="24"/>
  <c r="S170" i="24"/>
  <c r="P171" i="24"/>
  <c r="M172" i="24"/>
  <c r="J173" i="24"/>
  <c r="G174" i="24"/>
  <c r="D175" i="24"/>
  <c r="T175" i="24"/>
  <c r="Q176" i="24"/>
  <c r="N177" i="24"/>
  <c r="K178" i="24"/>
  <c r="H179" i="24"/>
  <c r="E180" i="24"/>
  <c r="U180" i="24"/>
  <c r="E186" i="24"/>
  <c r="R187" i="24"/>
  <c r="L189" i="24"/>
  <c r="I190" i="24"/>
  <c r="V191" i="24"/>
  <c r="S192" i="24"/>
  <c r="P193" i="24"/>
  <c r="M194" i="24"/>
  <c r="G196" i="24"/>
  <c r="D197" i="24"/>
  <c r="T197" i="24"/>
  <c r="H198" i="24"/>
  <c r="J247" i="24"/>
  <c r="J237" i="24"/>
  <c r="J276" i="24" s="1"/>
  <c r="G248" i="24"/>
  <c r="G237" i="24"/>
  <c r="D249" i="24"/>
  <c r="T249" i="24"/>
  <c r="Q250" i="24"/>
  <c r="N251" i="24"/>
  <c r="K252" i="24"/>
  <c r="H253" i="24"/>
  <c r="E254" i="24"/>
  <c r="U254" i="24"/>
  <c r="R255" i="24"/>
  <c r="O256" i="24"/>
  <c r="L257" i="24"/>
  <c r="I258" i="24"/>
  <c r="E260" i="24"/>
  <c r="U260" i="24"/>
  <c r="D271" i="24"/>
  <c r="T271" i="24"/>
  <c r="D170" i="24"/>
  <c r="T170" i="24"/>
  <c r="Q171" i="24"/>
  <c r="N172" i="24"/>
  <c r="K173" i="24"/>
  <c r="E175" i="24"/>
  <c r="U175" i="24"/>
  <c r="R176" i="24"/>
  <c r="O177" i="24"/>
  <c r="L178" i="24"/>
  <c r="I179" i="24"/>
  <c r="F180" i="24"/>
  <c r="V180" i="24"/>
  <c r="L184" i="24"/>
  <c r="F186" i="24"/>
  <c r="S187" i="24"/>
  <c r="J190" i="24"/>
  <c r="T192" i="24"/>
  <c r="Q193" i="24"/>
  <c r="H196" i="24"/>
  <c r="E197" i="24"/>
  <c r="K237" i="24"/>
  <c r="K276" i="24" s="1"/>
  <c r="E249" i="24"/>
  <c r="U249" i="24"/>
  <c r="R250" i="24"/>
  <c r="O251" i="24"/>
  <c r="I253" i="24"/>
  <c r="V254" i="24"/>
  <c r="S255" i="24"/>
  <c r="P256" i="24"/>
  <c r="M257" i="24"/>
  <c r="J258" i="24"/>
  <c r="E271" i="24"/>
  <c r="E160" i="24"/>
  <c r="E199" i="24" s="1"/>
  <c r="U160" i="24"/>
  <c r="U199" i="24" s="1"/>
  <c r="D181" i="24"/>
  <c r="T181" i="24"/>
  <c r="P183" i="24"/>
  <c r="G186" i="24"/>
  <c r="Q188" i="24"/>
  <c r="N189" i="24"/>
  <c r="K190" i="24"/>
  <c r="U192" i="24"/>
  <c r="O194" i="24"/>
  <c r="I196" i="24"/>
  <c r="V197" i="24"/>
  <c r="F249" i="24"/>
  <c r="V249" i="24"/>
  <c r="S250" i="24"/>
  <c r="J253" i="24"/>
  <c r="F271" i="24"/>
  <c r="F160" i="24"/>
  <c r="F199" i="24" s="1"/>
  <c r="V160" i="24"/>
  <c r="U181" i="24"/>
  <c r="Q183" i="24"/>
  <c r="N184" i="24"/>
  <c r="H186" i="24"/>
  <c r="E187" i="24"/>
  <c r="R188" i="24"/>
  <c r="L190" i="24"/>
  <c r="I191" i="24"/>
  <c r="V192" i="24"/>
  <c r="S193" i="24"/>
  <c r="P194" i="24"/>
  <c r="G197" i="24"/>
  <c r="D198" i="24"/>
  <c r="T198" i="24"/>
  <c r="G160" i="24"/>
  <c r="G199" i="24" s="1"/>
  <c r="V181" i="24"/>
  <c r="R183" i="24"/>
  <c r="O184" i="24"/>
  <c r="I186" i="24"/>
  <c r="F187" i="24"/>
  <c r="S188" i="24"/>
  <c r="P189" i="24"/>
  <c r="J191" i="24"/>
  <c r="N170" i="24"/>
  <c r="H172" i="24"/>
  <c r="R106" i="24"/>
  <c r="P184" i="24"/>
  <c r="M185" i="24"/>
  <c r="G187" i="24"/>
  <c r="Q189" i="24"/>
  <c r="N190" i="24"/>
  <c r="K191" i="24"/>
  <c r="H192" i="24"/>
  <c r="U193" i="24"/>
  <c r="R194" i="24"/>
  <c r="I197" i="24"/>
  <c r="F198" i="24"/>
  <c r="V198" i="24"/>
  <c r="O247" i="24"/>
  <c r="L248" i="24"/>
  <c r="I249" i="24"/>
  <c r="F250" i="24"/>
  <c r="V250" i="24"/>
  <c r="S251" i="24"/>
  <c r="P252" i="24"/>
  <c r="M253" i="24"/>
  <c r="J254" i="24"/>
  <c r="G255" i="24"/>
  <c r="Q184" i="24"/>
  <c r="N185" i="24"/>
  <c r="K186" i="24"/>
  <c r="H187" i="24"/>
  <c r="E188" i="24"/>
  <c r="R189" i="24"/>
  <c r="L191" i="24"/>
  <c r="I192" i="24"/>
  <c r="V193" i="24"/>
  <c r="S194" i="24"/>
  <c r="J197" i="24"/>
  <c r="G198" i="24"/>
  <c r="P247" i="24"/>
  <c r="P237" i="24"/>
  <c r="P276" i="24" s="1"/>
  <c r="M248" i="24"/>
  <c r="J249" i="24"/>
  <c r="G250" i="24"/>
  <c r="T251" i="24"/>
  <c r="Q252" i="24"/>
  <c r="N253" i="24"/>
  <c r="K254" i="24"/>
  <c r="H255" i="24"/>
  <c r="U256" i="24"/>
  <c r="R257" i="24"/>
  <c r="O258" i="24"/>
  <c r="K260" i="24"/>
  <c r="H261" i="24"/>
  <c r="E262" i="24"/>
  <c r="U262" i="24"/>
  <c r="R263" i="24"/>
  <c r="O264" i="24"/>
  <c r="L265" i="24"/>
  <c r="I266" i="24"/>
  <c r="F267" i="24"/>
  <c r="V267" i="24"/>
  <c r="S268" i="24"/>
  <c r="P269" i="24"/>
  <c r="M270" i="24"/>
  <c r="D273" i="24"/>
  <c r="T273" i="24"/>
  <c r="Q274" i="24"/>
  <c r="F174" i="25"/>
  <c r="I187" i="24"/>
  <c r="S189" i="24"/>
  <c r="Q247" i="24"/>
  <c r="Q237" i="24"/>
  <c r="Q276" i="24" s="1"/>
  <c r="N248" i="24"/>
  <c r="N237" i="24"/>
  <c r="N276" i="24" s="1"/>
  <c r="K249" i="24"/>
  <c r="H250" i="24"/>
  <c r="U251" i="24"/>
  <c r="R252" i="24"/>
  <c r="O253" i="24"/>
  <c r="L254" i="24"/>
  <c r="I255" i="24"/>
  <c r="V256" i="24"/>
  <c r="S257" i="24"/>
  <c r="P258" i="24"/>
  <c r="L260" i="24"/>
  <c r="I261" i="24"/>
  <c r="F262" i="24"/>
  <c r="V262" i="24"/>
  <c r="S263" i="24"/>
  <c r="P264" i="24"/>
  <c r="M265" i="24"/>
  <c r="J266" i="24"/>
  <c r="G267" i="24"/>
  <c r="D268" i="24"/>
  <c r="T268" i="24"/>
  <c r="Q269" i="24"/>
  <c r="N270" i="24"/>
  <c r="K271" i="24"/>
  <c r="E273" i="24"/>
  <c r="U273" i="24"/>
  <c r="R274" i="24"/>
  <c r="O275" i="24"/>
  <c r="P185" i="24"/>
  <c r="Q190" i="24"/>
  <c r="K192" i="24"/>
  <c r="V170" i="24"/>
  <c r="R237" i="24"/>
  <c r="R276" i="24" s="1"/>
  <c r="R247" i="24"/>
  <c r="O248" i="24"/>
  <c r="L249" i="24"/>
  <c r="L237" i="24"/>
  <c r="L276" i="24" s="1"/>
  <c r="I250" i="24"/>
  <c r="V251" i="24"/>
  <c r="P253" i="24"/>
  <c r="M254" i="24"/>
  <c r="J255" i="24"/>
  <c r="D257" i="24"/>
  <c r="T257" i="24"/>
  <c r="Q258" i="24"/>
  <c r="M260" i="24"/>
  <c r="J261" i="24"/>
  <c r="D263" i="24"/>
  <c r="T263" i="24"/>
  <c r="Q264" i="24"/>
  <c r="N265" i="24"/>
  <c r="K266" i="24"/>
  <c r="H267" i="24"/>
  <c r="E268" i="24"/>
  <c r="U268" i="24"/>
  <c r="R269" i="24"/>
  <c r="O270" i="24"/>
  <c r="L271" i="24"/>
  <c r="F273" i="24"/>
  <c r="P275" i="24"/>
  <c r="G107" i="24"/>
  <c r="D108" i="24"/>
  <c r="T108" i="24"/>
  <c r="Q109" i="24"/>
  <c r="N110" i="24"/>
  <c r="K111" i="24"/>
  <c r="H112" i="24"/>
  <c r="E113" i="24"/>
  <c r="U113" i="24"/>
  <c r="R114" i="24"/>
  <c r="O115" i="24"/>
  <c r="L116" i="24"/>
  <c r="F118" i="24"/>
  <c r="V118" i="24"/>
  <c r="S119" i="24"/>
  <c r="P120" i="24"/>
  <c r="L170" i="24"/>
  <c r="I171" i="24"/>
  <c r="F172" i="24"/>
  <c r="V172" i="24"/>
  <c r="S173" i="24"/>
  <c r="P174" i="24"/>
  <c r="M175" i="24"/>
  <c r="J176" i="24"/>
  <c r="G177" i="24"/>
  <c r="D178" i="24"/>
  <c r="T178" i="24"/>
  <c r="Q179" i="24"/>
  <c r="N180" i="24"/>
  <c r="N186" i="24"/>
  <c r="H188" i="24"/>
  <c r="R190" i="24"/>
  <c r="V194" i="24"/>
  <c r="J198" i="24"/>
  <c r="P248" i="24"/>
  <c r="M249" i="24"/>
  <c r="J250" i="24"/>
  <c r="D252" i="24"/>
  <c r="Q253" i="24"/>
  <c r="N254" i="24"/>
  <c r="K255" i="24"/>
  <c r="H256" i="24"/>
  <c r="E257" i="24"/>
  <c r="U257" i="24"/>
  <c r="R258" i="24"/>
  <c r="N260" i="24"/>
  <c r="K261" i="24"/>
  <c r="E263" i="24"/>
  <c r="U263" i="24"/>
  <c r="R264" i="24"/>
  <c r="O265" i="24"/>
  <c r="I267" i="24"/>
  <c r="D274" i="24"/>
  <c r="Q275" i="24"/>
  <c r="N105" i="24"/>
  <c r="K106" i="24"/>
  <c r="E108" i="24"/>
  <c r="U108" i="24"/>
  <c r="R109" i="24"/>
  <c r="O110" i="24"/>
  <c r="L111" i="24"/>
  <c r="I112" i="24"/>
  <c r="F113" i="24"/>
  <c r="V113" i="24"/>
  <c r="S114" i="24"/>
  <c r="P115" i="24"/>
  <c r="M116" i="24"/>
  <c r="G118" i="24"/>
  <c r="D119" i="24"/>
  <c r="T119" i="24"/>
  <c r="Q120" i="24"/>
  <c r="J114" i="24"/>
  <c r="M170" i="24"/>
  <c r="M160" i="24"/>
  <c r="M199" i="24" s="1"/>
  <c r="J171" i="24"/>
  <c r="G172" i="24"/>
  <c r="D173" i="24"/>
  <c r="T173" i="24"/>
  <c r="Q174" i="24"/>
  <c r="N175" i="24"/>
  <c r="K176" i="24"/>
  <c r="H177" i="24"/>
  <c r="E178" i="24"/>
  <c r="U178" i="24"/>
  <c r="R179" i="24"/>
  <c r="O180" i="24"/>
  <c r="L181" i="24"/>
  <c r="H183" i="24"/>
  <c r="E184" i="24"/>
  <c r="U184" i="24"/>
  <c r="R185" i="24"/>
  <c r="O186" i="24"/>
  <c r="L187" i="24"/>
  <c r="I188" i="24"/>
  <c r="F189" i="24"/>
  <c r="V189" i="24"/>
  <c r="S190" i="24"/>
  <c r="P191" i="24"/>
  <c r="M192" i="24"/>
  <c r="J193" i="24"/>
  <c r="G194" i="24"/>
  <c r="Q196" i="24"/>
  <c r="N197" i="24"/>
  <c r="K198" i="24"/>
  <c r="Q248" i="24"/>
  <c r="K250" i="24"/>
  <c r="E252" i="24"/>
  <c r="U252" i="24"/>
  <c r="R253" i="24"/>
  <c r="O254" i="24"/>
  <c r="L255" i="24"/>
  <c r="I256" i="24"/>
  <c r="V257" i="24"/>
  <c r="O260" i="24"/>
  <c r="L261" i="24"/>
  <c r="F263" i="24"/>
  <c r="S264" i="24"/>
  <c r="P265" i="24"/>
  <c r="J267" i="24"/>
  <c r="G268" i="24"/>
  <c r="R275" i="24"/>
  <c r="T256" i="24"/>
  <c r="Q257" i="24"/>
  <c r="N258" i="24"/>
  <c r="J260" i="24"/>
  <c r="G261" i="24"/>
  <c r="D262" i="24"/>
  <c r="T262" i="24"/>
  <c r="Q263" i="24"/>
  <c r="N264" i="24"/>
  <c r="K265" i="24"/>
  <c r="H266" i="24"/>
  <c r="E267" i="24"/>
  <c r="U267" i="24"/>
  <c r="R268" i="24"/>
  <c r="P274" i="24"/>
  <c r="M275" i="24"/>
  <c r="J90" i="25"/>
  <c r="D184" i="25"/>
  <c r="D173" i="25"/>
  <c r="G207" i="25"/>
  <c r="J271" i="24"/>
  <c r="N275" i="24"/>
  <c r="E248" i="24"/>
  <c r="K89" i="25"/>
  <c r="K100" i="25"/>
  <c r="E215" i="25"/>
  <c r="E174" i="25"/>
  <c r="G191" i="25"/>
  <c r="S237" i="24"/>
  <c r="S276" i="24" s="1"/>
  <c r="F268" i="24"/>
  <c r="V268" i="24"/>
  <c r="S269" i="24"/>
  <c r="P270" i="24"/>
  <c r="M271" i="24"/>
  <c r="G273" i="24"/>
  <c r="V237" i="24"/>
  <c r="V276" i="24" s="1"/>
  <c r="D237" i="24"/>
  <c r="D276" i="24" s="1"/>
  <c r="T237" i="24"/>
  <c r="T276" i="24" s="1"/>
  <c r="D269" i="24"/>
  <c r="T269" i="24"/>
  <c r="Q270" i="24"/>
  <c r="N271" i="24"/>
  <c r="H273" i="24"/>
  <c r="E274" i="24"/>
  <c r="D247" i="24"/>
  <c r="G90" i="25"/>
  <c r="G131" i="25"/>
  <c r="I215" i="25"/>
  <c r="I174" i="25"/>
  <c r="O271" i="24"/>
  <c r="I46" i="25"/>
  <c r="I47" i="25" s="1"/>
  <c r="J100" i="25"/>
  <c r="P271" i="24"/>
  <c r="D275" i="24"/>
  <c r="J46" i="25"/>
  <c r="J47" i="25" s="1"/>
  <c r="G247" i="24"/>
  <c r="D248" i="24"/>
  <c r="T248" i="24"/>
  <c r="Q249" i="24"/>
  <c r="N250" i="24"/>
  <c r="K251" i="24"/>
  <c r="H252" i="24"/>
  <c r="E253" i="24"/>
  <c r="U253" i="24"/>
  <c r="R254" i="24"/>
  <c r="O255" i="24"/>
  <c r="L256" i="24"/>
  <c r="I257" i="24"/>
  <c r="F258" i="24"/>
  <c r="V258" i="24"/>
  <c r="Q271" i="24"/>
  <c r="H274" i="24"/>
  <c r="H247" i="24"/>
  <c r="F185" i="25"/>
  <c r="F46" i="25"/>
  <c r="F47" i="25" s="1"/>
  <c r="K47" i="25"/>
  <c r="J101" i="25"/>
  <c r="J105" i="25"/>
  <c r="J107" i="25"/>
  <c r="S260" i="24"/>
  <c r="P261" i="24"/>
  <c r="M262" i="24"/>
  <c r="J263" i="24"/>
  <c r="G264" i="24"/>
  <c r="D265" i="24"/>
  <c r="T265" i="24"/>
  <c r="Q266" i="24"/>
  <c r="N267" i="24"/>
  <c r="U270" i="24"/>
  <c r="R271" i="24"/>
  <c r="I247" i="24"/>
  <c r="G268" i="25"/>
  <c r="G46" i="25"/>
  <c r="G47" i="25" s="1"/>
  <c r="G280" i="25"/>
  <c r="G197" i="25"/>
  <c r="G288" i="25"/>
  <c r="G205" i="25"/>
  <c r="H174" i="25"/>
  <c r="T193" i="24"/>
  <c r="Q194" i="24"/>
  <c r="K196" i="24"/>
  <c r="H197" i="24"/>
  <c r="E198" i="24"/>
  <c r="U198" i="24"/>
  <c r="L268" i="24"/>
  <c r="S271" i="24"/>
  <c r="M273" i="24"/>
  <c r="K247" i="24"/>
  <c r="E184" i="25"/>
  <c r="R261" i="24"/>
  <c r="L263" i="24"/>
  <c r="I264" i="24"/>
  <c r="F265" i="24"/>
  <c r="V265" i="24"/>
  <c r="S266" i="24"/>
  <c r="P267" i="24"/>
  <c r="M268" i="24"/>
  <c r="J269" i="24"/>
  <c r="N273" i="24"/>
  <c r="K274" i="24"/>
  <c r="H275" i="24"/>
  <c r="G215" i="25"/>
  <c r="G174" i="25"/>
  <c r="G203" i="25"/>
  <c r="F260" i="24"/>
  <c r="V260" i="24"/>
  <c r="S261" i="24"/>
  <c r="P262" i="24"/>
  <c r="M263" i="24"/>
  <c r="J264" i="24"/>
  <c r="G265" i="24"/>
  <c r="D266" i="24"/>
  <c r="T266" i="24"/>
  <c r="Q267" i="24"/>
  <c r="N268" i="24"/>
  <c r="K269" i="24"/>
  <c r="H270" i="24"/>
  <c r="O273" i="24"/>
  <c r="L274" i="24"/>
  <c r="I275" i="24"/>
  <c r="F90" i="25"/>
  <c r="Q256" i="24"/>
  <c r="N257" i="24"/>
  <c r="K258" i="24"/>
  <c r="D261" i="24"/>
  <c r="T261" i="24"/>
  <c r="Q262" i="24"/>
  <c r="N263" i="24"/>
  <c r="K264" i="24"/>
  <c r="H265" i="24"/>
  <c r="E266" i="24"/>
  <c r="U266" i="24"/>
  <c r="R267" i="24"/>
  <c r="O268" i="24"/>
  <c r="L269" i="24"/>
  <c r="I270" i="24"/>
  <c r="P273" i="24"/>
  <c r="M274" i="24"/>
  <c r="J275" i="24"/>
  <c r="S247" i="24"/>
  <c r="G187" i="25"/>
  <c r="M247" i="24"/>
  <c r="M237" i="24"/>
  <c r="M276" i="24" s="1"/>
  <c r="J248" i="24"/>
  <c r="G249" i="24"/>
  <c r="D250" i="24"/>
  <c r="T250" i="24"/>
  <c r="Q251" i="24"/>
  <c r="N252" i="24"/>
  <c r="K253" i="24"/>
  <c r="H254" i="24"/>
  <c r="E255" i="24"/>
  <c r="U255" i="24"/>
  <c r="R256" i="24"/>
  <c r="O257" i="24"/>
  <c r="L258" i="24"/>
  <c r="H260" i="24"/>
  <c r="E261" i="24"/>
  <c r="U261" i="24"/>
  <c r="R262" i="24"/>
  <c r="O263" i="24"/>
  <c r="L264" i="24"/>
  <c r="I265" i="24"/>
  <c r="F266" i="24"/>
  <c r="V266" i="24"/>
  <c r="S267" i="24"/>
  <c r="P268" i="24"/>
  <c r="M269" i="24"/>
  <c r="J270" i="24"/>
  <c r="G271" i="24"/>
  <c r="Q273" i="24"/>
  <c r="N274" i="24"/>
  <c r="K275" i="24"/>
  <c r="T247" i="24"/>
  <c r="J187" i="25"/>
  <c r="N247" i="24"/>
  <c r="K248" i="24"/>
  <c r="H249" i="24"/>
  <c r="E250" i="24"/>
  <c r="U250" i="24"/>
  <c r="R251" i="24"/>
  <c r="O252" i="24"/>
  <c r="L253" i="24"/>
  <c r="I254" i="24"/>
  <c r="F255" i="24"/>
  <c r="V255" i="24"/>
  <c r="S256" i="24"/>
  <c r="P257" i="24"/>
  <c r="M258" i="24"/>
  <c r="I260" i="24"/>
  <c r="F261" i="24"/>
  <c r="V261" i="24"/>
  <c r="S262" i="24"/>
  <c r="P263" i="24"/>
  <c r="M264" i="24"/>
  <c r="J265" i="24"/>
  <c r="G266" i="24"/>
  <c r="D267" i="24"/>
  <c r="T267" i="24"/>
  <c r="Q268" i="24"/>
  <c r="N269" i="24"/>
  <c r="K270" i="24"/>
  <c r="H271" i="24"/>
  <c r="O274" i="24"/>
  <c r="L275" i="24"/>
  <c r="E47" i="25"/>
  <c r="H100" i="25"/>
  <c r="H89" i="25"/>
  <c r="E100" i="25"/>
  <c r="J174" i="25"/>
  <c r="J195" i="25"/>
  <c r="J201" i="25"/>
  <c r="J211" i="25"/>
  <c r="K194" i="25"/>
  <c r="D256" i="25"/>
  <c r="D267" i="25"/>
  <c r="D269" i="25"/>
  <c r="D273" i="25"/>
  <c r="D275" i="25"/>
  <c r="D281" i="25"/>
  <c r="D283" i="25"/>
  <c r="D289" i="25"/>
  <c r="D291" i="25"/>
  <c r="D293" i="25"/>
  <c r="D297" i="25"/>
  <c r="E284" i="25"/>
  <c r="H297" i="25"/>
  <c r="H93" i="26"/>
  <c r="R95" i="26"/>
  <c r="J121" i="25"/>
  <c r="F125" i="25"/>
  <c r="K174" i="25"/>
  <c r="K190" i="25"/>
  <c r="E256" i="25"/>
  <c r="E267" i="25"/>
  <c r="E271" i="25"/>
  <c r="E273" i="25"/>
  <c r="E275" i="25"/>
  <c r="E277" i="25"/>
  <c r="E281" i="25"/>
  <c r="E283" i="25"/>
  <c r="E285" i="25"/>
  <c r="E287" i="25"/>
  <c r="E289" i="25"/>
  <c r="E291" i="25"/>
  <c r="E293" i="25"/>
  <c r="E295" i="25"/>
  <c r="E297" i="25"/>
  <c r="L82" i="26"/>
  <c r="L92" i="26"/>
  <c r="E131" i="25"/>
  <c r="G129" i="25"/>
  <c r="F184" i="25"/>
  <c r="H256" i="25"/>
  <c r="H267" i="25"/>
  <c r="H269" i="25"/>
  <c r="H271" i="25"/>
  <c r="H275" i="25"/>
  <c r="H277" i="25"/>
  <c r="H283" i="25"/>
  <c r="H285" i="25"/>
  <c r="H287" i="25"/>
  <c r="H291" i="25"/>
  <c r="H293" i="25"/>
  <c r="H295" i="25"/>
  <c r="E274" i="25"/>
  <c r="E42" i="26"/>
  <c r="G190" i="25"/>
  <c r="G192" i="25"/>
  <c r="G200" i="25"/>
  <c r="G208" i="25"/>
  <c r="G212" i="25"/>
  <c r="F101" i="25"/>
  <c r="F103" i="25"/>
  <c r="F105" i="25"/>
  <c r="F107" i="25"/>
  <c r="F109" i="25"/>
  <c r="F111" i="25"/>
  <c r="F113" i="25"/>
  <c r="F115" i="25"/>
  <c r="F117" i="25"/>
  <c r="F119" i="25"/>
  <c r="F121" i="25"/>
  <c r="H192" i="25"/>
  <c r="H194" i="25"/>
  <c r="H202" i="25"/>
  <c r="H208" i="25"/>
  <c r="H210" i="25"/>
  <c r="H214" i="25"/>
  <c r="H184" i="25"/>
  <c r="G213" i="25"/>
  <c r="J267" i="25"/>
  <c r="J269" i="25"/>
  <c r="J271" i="25"/>
  <c r="J273" i="25"/>
  <c r="J275" i="25"/>
  <c r="J277" i="25"/>
  <c r="J279" i="25"/>
  <c r="E276" i="25"/>
  <c r="I98" i="26"/>
  <c r="G101" i="25"/>
  <c r="G103" i="25"/>
  <c r="G105" i="25"/>
  <c r="G107" i="25"/>
  <c r="G109" i="25"/>
  <c r="G111" i="25"/>
  <c r="G113" i="25"/>
  <c r="G115" i="25"/>
  <c r="G117" i="25"/>
  <c r="G119" i="25"/>
  <c r="G121" i="25"/>
  <c r="G123" i="25"/>
  <c r="E123" i="25"/>
  <c r="G126" i="25"/>
  <c r="I184" i="25"/>
  <c r="K208" i="25"/>
  <c r="F42" i="26"/>
  <c r="E209" i="25"/>
  <c r="D268" i="25"/>
  <c r="D270" i="25"/>
  <c r="D272" i="25"/>
  <c r="D274" i="25"/>
  <c r="D278" i="25"/>
  <c r="D280" i="25"/>
  <c r="D282" i="25"/>
  <c r="D286" i="25"/>
  <c r="D288" i="25"/>
  <c r="D290" i="25"/>
  <c r="D294" i="25"/>
  <c r="D296" i="25"/>
  <c r="D292" i="25"/>
  <c r="H171" i="26"/>
  <c r="E172" i="26"/>
  <c r="R173" i="26"/>
  <c r="L175" i="26"/>
  <c r="S178" i="26"/>
  <c r="G130" i="25"/>
  <c r="G214" i="25"/>
  <c r="I127" i="25"/>
  <c r="J113" i="25"/>
  <c r="D117" i="25"/>
  <c r="K186" i="25"/>
  <c r="K196" i="25"/>
  <c r="K188" i="25"/>
  <c r="K192" i="25"/>
  <c r="E201" i="25"/>
  <c r="E268" i="25"/>
  <c r="E270" i="25"/>
  <c r="E272" i="25"/>
  <c r="E278" i="25"/>
  <c r="E280" i="25"/>
  <c r="E286" i="25"/>
  <c r="E288" i="25"/>
  <c r="J170" i="26"/>
  <c r="J42" i="26"/>
  <c r="G93" i="26"/>
  <c r="G171" i="26"/>
  <c r="D94" i="26"/>
  <c r="D172" i="26"/>
  <c r="Q95" i="26"/>
  <c r="Q173" i="26"/>
  <c r="K175" i="26"/>
  <c r="K97" i="26"/>
  <c r="H176" i="26"/>
  <c r="H98" i="26"/>
  <c r="L180" i="26"/>
  <c r="L102" i="26"/>
  <c r="I181" i="26"/>
  <c r="I103" i="26"/>
  <c r="F183" i="26"/>
  <c r="F105" i="26"/>
  <c r="V183" i="26"/>
  <c r="V105" i="26"/>
  <c r="J187" i="26"/>
  <c r="J109" i="26"/>
  <c r="K192" i="26"/>
  <c r="K114" i="26"/>
  <c r="U116" i="26"/>
  <c r="U194" i="26"/>
  <c r="O196" i="26"/>
  <c r="O118" i="26"/>
  <c r="L119" i="26"/>
  <c r="L197" i="26"/>
  <c r="H47" i="25"/>
  <c r="J127" i="25"/>
  <c r="J129" i="25"/>
  <c r="D187" i="25"/>
  <c r="D189" i="25"/>
  <c r="K42" i="26"/>
  <c r="K170" i="26"/>
  <c r="U42" i="26"/>
  <c r="K101" i="25"/>
  <c r="K103" i="25"/>
  <c r="K105" i="25"/>
  <c r="K107" i="25"/>
  <c r="K109" i="25"/>
  <c r="K111" i="25"/>
  <c r="K113" i="25"/>
  <c r="K115" i="25"/>
  <c r="K117" i="25"/>
  <c r="K119" i="25"/>
  <c r="K121" i="25"/>
  <c r="K129" i="25"/>
  <c r="E90" i="25"/>
  <c r="E185" i="25"/>
  <c r="E189" i="25"/>
  <c r="E191" i="25"/>
  <c r="E197" i="25"/>
  <c r="E199" i="25"/>
  <c r="E207" i="25"/>
  <c r="E213" i="25"/>
  <c r="K214" i="25"/>
  <c r="G298" i="25"/>
  <c r="G257" i="25"/>
  <c r="D89" i="25"/>
  <c r="D124" i="25"/>
  <c r="F187" i="25"/>
  <c r="F191" i="25"/>
  <c r="F199" i="25"/>
  <c r="F203" i="25"/>
  <c r="F205" i="25"/>
  <c r="F207" i="25"/>
  <c r="K267" i="25"/>
  <c r="K184" i="25"/>
  <c r="K200" i="25"/>
  <c r="K283" i="25"/>
  <c r="K285" i="25"/>
  <c r="K202" i="25"/>
  <c r="K287" i="25"/>
  <c r="K204" i="25"/>
  <c r="E126" i="25"/>
  <c r="I90" i="25"/>
  <c r="G185" i="25"/>
  <c r="G189" i="25"/>
  <c r="G193" i="25"/>
  <c r="G199" i="25"/>
  <c r="G201" i="25"/>
  <c r="G209" i="25"/>
  <c r="K210" i="25"/>
  <c r="I268" i="25"/>
  <c r="I270" i="25"/>
  <c r="I272" i="25"/>
  <c r="I274" i="25"/>
  <c r="I276" i="25"/>
  <c r="L273" i="24"/>
  <c r="I274" i="24"/>
  <c r="F275" i="24"/>
  <c r="V275" i="24"/>
  <c r="D46" i="25"/>
  <c r="D47" i="25" s="1"/>
  <c r="F110" i="25"/>
  <c r="F114" i="25"/>
  <c r="F116" i="25"/>
  <c r="F118" i="25"/>
  <c r="F120" i="25"/>
  <c r="F122" i="25"/>
  <c r="F128" i="25"/>
  <c r="K215" i="25"/>
  <c r="J268" i="25"/>
  <c r="J270" i="25"/>
  <c r="J272" i="25"/>
  <c r="J274" i="25"/>
  <c r="K92" i="26"/>
  <c r="G100" i="25"/>
  <c r="G102" i="25"/>
  <c r="G104" i="25"/>
  <c r="G106" i="25"/>
  <c r="G108" i="25"/>
  <c r="G110" i="25"/>
  <c r="G114" i="25"/>
  <c r="G116" i="25"/>
  <c r="G118" i="25"/>
  <c r="G120" i="25"/>
  <c r="G122" i="25"/>
  <c r="I185" i="25"/>
  <c r="I187" i="25"/>
  <c r="I189" i="25"/>
  <c r="I191" i="25"/>
  <c r="I193" i="25"/>
  <c r="I195" i="25"/>
  <c r="I197" i="25"/>
  <c r="I199" i="25"/>
  <c r="I201" i="25"/>
  <c r="I203" i="25"/>
  <c r="I205" i="25"/>
  <c r="I207" i="25"/>
  <c r="I209" i="25"/>
  <c r="I211" i="25"/>
  <c r="I213" i="25"/>
  <c r="K268" i="25"/>
  <c r="K256" i="25"/>
  <c r="K272" i="25"/>
  <c r="K274" i="25"/>
  <c r="K276" i="25"/>
  <c r="K280" i="25"/>
  <c r="K282" i="25"/>
  <c r="K284" i="25"/>
  <c r="K288" i="25"/>
  <c r="K290" i="25"/>
  <c r="K292" i="25"/>
  <c r="K296" i="25"/>
  <c r="I278" i="25"/>
  <c r="I280" i="25"/>
  <c r="I282" i="25"/>
  <c r="I284" i="25"/>
  <c r="I286" i="25"/>
  <c r="I288" i="25"/>
  <c r="I290" i="25"/>
  <c r="I292" i="25"/>
  <c r="I294" i="25"/>
  <c r="I296" i="25"/>
  <c r="J256" i="25"/>
  <c r="D260" i="26"/>
  <c r="D105" i="26"/>
  <c r="T260" i="26"/>
  <c r="T105" i="26"/>
  <c r="Q261" i="26"/>
  <c r="Q106" i="26"/>
  <c r="R266" i="26"/>
  <c r="R111" i="26"/>
  <c r="M273" i="26"/>
  <c r="M118" i="26"/>
  <c r="J274" i="26"/>
  <c r="J119" i="26"/>
  <c r="D42" i="26"/>
  <c r="I92" i="26"/>
  <c r="V93" i="26"/>
  <c r="P95" i="26"/>
  <c r="D99" i="26"/>
  <c r="Q100" i="26"/>
  <c r="N101" i="26"/>
  <c r="K102" i="26"/>
  <c r="E105" i="26"/>
  <c r="S111" i="26"/>
  <c r="T116" i="26"/>
  <c r="N118" i="26"/>
  <c r="O82" i="26"/>
  <c r="O121" i="26" s="1"/>
  <c r="J97" i="26"/>
  <c r="F171" i="26"/>
  <c r="P173" i="26"/>
  <c r="J175" i="26"/>
  <c r="Q178" i="26"/>
  <c r="K180" i="26"/>
  <c r="U183" i="26"/>
  <c r="O185" i="26"/>
  <c r="L186" i="26"/>
  <c r="P190" i="26"/>
  <c r="K197" i="26"/>
  <c r="V171" i="26"/>
  <c r="J276" i="25"/>
  <c r="J278" i="25"/>
  <c r="J280" i="25"/>
  <c r="J282" i="25"/>
  <c r="J284" i="25"/>
  <c r="J286" i="25"/>
  <c r="J288" i="25"/>
  <c r="J290" i="25"/>
  <c r="J292" i="25"/>
  <c r="J294" i="25"/>
  <c r="J296" i="25"/>
  <c r="I247" i="26"/>
  <c r="I42" i="26"/>
  <c r="I170" i="26"/>
  <c r="F248" i="26"/>
  <c r="F93" i="26"/>
  <c r="H258" i="26"/>
  <c r="H103" i="26"/>
  <c r="U260" i="26"/>
  <c r="U105" i="26"/>
  <c r="J269" i="26"/>
  <c r="J114" i="26"/>
  <c r="G270" i="26"/>
  <c r="G115" i="26"/>
  <c r="D271" i="26"/>
  <c r="D116" i="26"/>
  <c r="K274" i="26"/>
  <c r="K119" i="26"/>
  <c r="J92" i="26"/>
  <c r="E99" i="26"/>
  <c r="O101" i="26"/>
  <c r="M108" i="26"/>
  <c r="D111" i="26"/>
  <c r="H115" i="26"/>
  <c r="G98" i="26"/>
  <c r="L42" i="26"/>
  <c r="L199" i="26" s="1"/>
  <c r="N274" i="26"/>
  <c r="N197" i="26"/>
  <c r="H42" i="26"/>
  <c r="J82" i="26"/>
  <c r="J121" i="26" s="1"/>
  <c r="M160" i="26"/>
  <c r="M199" i="26" s="1"/>
  <c r="M42" i="26"/>
  <c r="H94" i="26"/>
  <c r="E95" i="26"/>
  <c r="U95" i="26"/>
  <c r="O97" i="26"/>
  <c r="L98" i="26"/>
  <c r="V100" i="26"/>
  <c r="S101" i="26"/>
  <c r="P102" i="26"/>
  <c r="M103" i="26"/>
  <c r="J105" i="26"/>
  <c r="G106" i="26"/>
  <c r="K110" i="26"/>
  <c r="H111" i="26"/>
  <c r="U112" i="26"/>
  <c r="S118" i="26"/>
  <c r="P119" i="26"/>
  <c r="H123" i="25"/>
  <c r="G267" i="25"/>
  <c r="G269" i="25"/>
  <c r="G271" i="25"/>
  <c r="G273" i="25"/>
  <c r="G275" i="25"/>
  <c r="G277" i="25"/>
  <c r="G281" i="25"/>
  <c r="G283" i="25"/>
  <c r="G285" i="25"/>
  <c r="G287" i="25"/>
  <c r="G289" i="25"/>
  <c r="G291" i="25"/>
  <c r="G293" i="25"/>
  <c r="G295" i="25"/>
  <c r="G297" i="25"/>
  <c r="N42" i="26"/>
  <c r="N170" i="26"/>
  <c r="N92" i="26"/>
  <c r="K171" i="26"/>
  <c r="K93" i="26"/>
  <c r="I177" i="26"/>
  <c r="I99" i="26"/>
  <c r="F178" i="26"/>
  <c r="F100" i="26"/>
  <c r="D185" i="26"/>
  <c r="D107" i="26"/>
  <c r="Q186" i="26"/>
  <c r="Q108" i="26"/>
  <c r="N187" i="26"/>
  <c r="N109" i="26"/>
  <c r="O192" i="26"/>
  <c r="O114" i="26"/>
  <c r="L193" i="26"/>
  <c r="L270" i="26"/>
  <c r="L115" i="26"/>
  <c r="I194" i="26"/>
  <c r="I116" i="26"/>
  <c r="O42" i="26"/>
  <c r="M98" i="26"/>
  <c r="O160" i="26"/>
  <c r="O199" i="26" s="1"/>
  <c r="M176" i="26"/>
  <c r="J177" i="26"/>
  <c r="Q180" i="26"/>
  <c r="P97" i="26"/>
  <c r="P252" i="26"/>
  <c r="N181" i="26"/>
  <c r="N103" i="26"/>
  <c r="P92" i="26"/>
  <c r="P82" i="26"/>
  <c r="P121" i="26" s="1"/>
  <c r="P160" i="26"/>
  <c r="P42" i="26"/>
  <c r="Q92" i="26"/>
  <c r="Q82" i="26"/>
  <c r="N93" i="26"/>
  <c r="N82" i="26"/>
  <c r="R106" i="26"/>
  <c r="Q160" i="26"/>
  <c r="R92" i="26"/>
  <c r="R82" i="26"/>
  <c r="R121" i="26" s="1"/>
  <c r="G178" i="26"/>
  <c r="R42" i="26"/>
  <c r="V42" i="26"/>
  <c r="S92" i="26"/>
  <c r="S82" i="26"/>
  <c r="S121" i="26" s="1"/>
  <c r="P93" i="26"/>
  <c r="M94" i="26"/>
  <c r="D97" i="26"/>
  <c r="T97" i="26"/>
  <c r="Q98" i="26"/>
  <c r="K100" i="26"/>
  <c r="H101" i="26"/>
  <c r="R103" i="26"/>
  <c r="O105" i="26"/>
  <c r="L106" i="26"/>
  <c r="I107" i="26"/>
  <c r="F108" i="26"/>
  <c r="V108" i="26"/>
  <c r="S109" i="26"/>
  <c r="P110" i="26"/>
  <c r="M111" i="26"/>
  <c r="D114" i="26"/>
  <c r="T114" i="26"/>
  <c r="Q115" i="26"/>
  <c r="N116" i="26"/>
  <c r="H118" i="26"/>
  <c r="E119" i="26"/>
  <c r="U119" i="26"/>
  <c r="U193" i="26"/>
  <c r="D92" i="26"/>
  <c r="D82" i="26"/>
  <c r="T92" i="26"/>
  <c r="T82" i="26"/>
  <c r="T121" i="26" s="1"/>
  <c r="Q93" i="26"/>
  <c r="K95" i="26"/>
  <c r="E97" i="26"/>
  <c r="U97" i="26"/>
  <c r="R98" i="26"/>
  <c r="O99" i="26"/>
  <c r="L100" i="26"/>
  <c r="I101" i="26"/>
  <c r="V102" i="26"/>
  <c r="S103" i="26"/>
  <c r="P105" i="26"/>
  <c r="M106" i="26"/>
  <c r="J107" i="26"/>
  <c r="D170" i="26"/>
  <c r="T160" i="26"/>
  <c r="T199" i="26" s="1"/>
  <c r="Q171" i="26"/>
  <c r="K173" i="26"/>
  <c r="E175" i="26"/>
  <c r="R176" i="26"/>
  <c r="L178" i="26"/>
  <c r="I179" i="26"/>
  <c r="M184" i="26"/>
  <c r="Q42" i="26"/>
  <c r="E92" i="26"/>
  <c r="E82" i="26"/>
  <c r="E121" i="26" s="1"/>
  <c r="U92" i="26"/>
  <c r="U82" i="26"/>
  <c r="U121" i="26" s="1"/>
  <c r="R93" i="26"/>
  <c r="L95" i="26"/>
  <c r="F97" i="26"/>
  <c r="V97" i="26"/>
  <c r="S98" i="26"/>
  <c r="V175" i="26"/>
  <c r="S176" i="26"/>
  <c r="M276" i="26"/>
  <c r="F268" i="25"/>
  <c r="F270" i="25"/>
  <c r="F272" i="25"/>
  <c r="F274" i="25"/>
  <c r="F276" i="25"/>
  <c r="F278" i="25"/>
  <c r="F280" i="25"/>
  <c r="F282" i="25"/>
  <c r="F284" i="25"/>
  <c r="F286" i="25"/>
  <c r="F288" i="25"/>
  <c r="F290" i="25"/>
  <c r="F292" i="25"/>
  <c r="F296" i="25"/>
  <c r="F256" i="25"/>
  <c r="F82" i="26"/>
  <c r="F170" i="26"/>
  <c r="F160" i="26"/>
  <c r="F199" i="26" s="1"/>
  <c r="V170" i="26"/>
  <c r="V160" i="26"/>
  <c r="V199" i="26" s="1"/>
  <c r="G92" i="26"/>
  <c r="G82" i="26"/>
  <c r="G121" i="26" s="1"/>
  <c r="D93" i="26"/>
  <c r="T93" i="26"/>
  <c r="N95" i="26"/>
  <c r="H97" i="26"/>
  <c r="E98" i="26"/>
  <c r="U98" i="26"/>
  <c r="O100" i="26"/>
  <c r="L101" i="26"/>
  <c r="I102" i="26"/>
  <c r="F103" i="26"/>
  <c r="V103" i="26"/>
  <c r="M107" i="26"/>
  <c r="J108" i="26"/>
  <c r="G109" i="26"/>
  <c r="T110" i="26"/>
  <c r="Q111" i="26"/>
  <c r="H114" i="26"/>
  <c r="E115" i="26"/>
  <c r="U115" i="26"/>
  <c r="R116" i="26"/>
  <c r="L118" i="26"/>
  <c r="U176" i="26"/>
  <c r="L179" i="26"/>
  <c r="I180" i="26"/>
  <c r="F181" i="26"/>
  <c r="H192" i="26"/>
  <c r="L196" i="26"/>
  <c r="D193" i="25"/>
  <c r="D195" i="25"/>
  <c r="D197" i="25"/>
  <c r="D199" i="25"/>
  <c r="D201" i="25"/>
  <c r="D203" i="25"/>
  <c r="D205" i="25"/>
  <c r="D207" i="25"/>
  <c r="D209" i="25"/>
  <c r="D211" i="25"/>
  <c r="D213" i="25"/>
  <c r="I298" i="25"/>
  <c r="N107" i="26"/>
  <c r="K108" i="26"/>
  <c r="H109" i="26"/>
  <c r="I114" i="26"/>
  <c r="F115" i="26"/>
  <c r="V115" i="26"/>
  <c r="S116" i="26"/>
  <c r="M82" i="26"/>
  <c r="M121" i="26" s="1"/>
  <c r="P178" i="26"/>
  <c r="G181" i="26"/>
  <c r="T183" i="26"/>
  <c r="R189" i="26"/>
  <c r="I192" i="26"/>
  <c r="S194" i="26"/>
  <c r="U175" i="26"/>
  <c r="O177" i="26"/>
  <c r="V180" i="26"/>
  <c r="S181" i="26"/>
  <c r="P183" i="26"/>
  <c r="J185" i="26"/>
  <c r="G186" i="26"/>
  <c r="T187" i="26"/>
  <c r="Q188" i="26"/>
  <c r="N189" i="26"/>
  <c r="E192" i="26"/>
  <c r="R193" i="26"/>
  <c r="O194" i="26"/>
  <c r="I196" i="26"/>
  <c r="F197" i="26"/>
  <c r="K237" i="26"/>
  <c r="K276" i="26" s="1"/>
  <c r="K247" i="26"/>
  <c r="H237" i="26"/>
  <c r="H276" i="26" s="1"/>
  <c r="H248" i="26"/>
  <c r="E249" i="26"/>
  <c r="R250" i="26"/>
  <c r="L252" i="26"/>
  <c r="I253" i="26"/>
  <c r="F254" i="26"/>
  <c r="S255" i="26"/>
  <c r="P256" i="26"/>
  <c r="M257" i="26"/>
  <c r="J258" i="26"/>
  <c r="G260" i="26"/>
  <c r="D261" i="26"/>
  <c r="T261" i="26"/>
  <c r="Q262" i="26"/>
  <c r="N263" i="26"/>
  <c r="K264" i="26"/>
  <c r="E266" i="26"/>
  <c r="U266" i="26"/>
  <c r="R267" i="26"/>
  <c r="L269" i="26"/>
  <c r="I270" i="26"/>
  <c r="F271" i="26"/>
  <c r="V271" i="26"/>
  <c r="P273" i="26"/>
  <c r="M274" i="26"/>
  <c r="E170" i="26"/>
  <c r="U170" i="26"/>
  <c r="R171" i="26"/>
  <c r="L173" i="26"/>
  <c r="F175" i="26"/>
  <c r="D181" i="26"/>
  <c r="T181" i="26"/>
  <c r="Q183" i="26"/>
  <c r="N184" i="26"/>
  <c r="K185" i="26"/>
  <c r="H186" i="26"/>
  <c r="U187" i="26"/>
  <c r="F192" i="26"/>
  <c r="V192" i="26"/>
  <c r="P194" i="26"/>
  <c r="J196" i="26"/>
  <c r="G197" i="26"/>
  <c r="D198" i="26"/>
  <c r="L247" i="26"/>
  <c r="L237" i="26"/>
  <c r="L276" i="26" s="1"/>
  <c r="I248" i="26"/>
  <c r="I237" i="26"/>
  <c r="I276" i="26" s="1"/>
  <c r="F249" i="26"/>
  <c r="D255" i="26"/>
  <c r="T255" i="26"/>
  <c r="Q256" i="26"/>
  <c r="K258" i="26"/>
  <c r="E261" i="26"/>
  <c r="U261" i="26"/>
  <c r="J270" i="26"/>
  <c r="G170" i="26"/>
  <c r="D171" i="26"/>
  <c r="T171" i="26"/>
  <c r="N173" i="26"/>
  <c r="H175" i="26"/>
  <c r="E176" i="26"/>
  <c r="O178" i="26"/>
  <c r="V181" i="26"/>
  <c r="S183" i="26"/>
  <c r="P184" i="26"/>
  <c r="J186" i="26"/>
  <c r="G187" i="26"/>
  <c r="T188" i="26"/>
  <c r="Q189" i="26"/>
  <c r="E193" i="26"/>
  <c r="R194" i="26"/>
  <c r="I197" i="26"/>
  <c r="F198" i="26"/>
  <c r="L170" i="26"/>
  <c r="K248" i="26"/>
  <c r="H249" i="26"/>
  <c r="U250" i="26"/>
  <c r="F255" i="26"/>
  <c r="J260" i="26"/>
  <c r="G261" i="26"/>
  <c r="H266" i="26"/>
  <c r="U267" i="26"/>
  <c r="M115" i="26"/>
  <c r="H160" i="26"/>
  <c r="H199" i="26" s="1"/>
  <c r="H170" i="26"/>
  <c r="E171" i="26"/>
  <c r="U171" i="26"/>
  <c r="O173" i="26"/>
  <c r="I175" i="26"/>
  <c r="F176" i="26"/>
  <c r="V176" i="26"/>
  <c r="M179" i="26"/>
  <c r="J180" i="26"/>
  <c r="D183" i="26"/>
  <c r="Q184" i="26"/>
  <c r="N185" i="26"/>
  <c r="K186" i="26"/>
  <c r="H187" i="26"/>
  <c r="F193" i="26"/>
  <c r="V193" i="26"/>
  <c r="M196" i="26"/>
  <c r="J197" i="26"/>
  <c r="D160" i="26"/>
  <c r="D199" i="26" s="1"/>
  <c r="M170" i="26"/>
  <c r="O237" i="26"/>
  <c r="O276" i="26" s="1"/>
  <c r="I249" i="26"/>
  <c r="F250" i="26"/>
  <c r="V250" i="26"/>
  <c r="J254" i="26"/>
  <c r="G255" i="26"/>
  <c r="H261" i="26"/>
  <c r="I266" i="26"/>
  <c r="D273" i="26"/>
  <c r="J118" i="26"/>
  <c r="G119" i="26"/>
  <c r="D120" i="26"/>
  <c r="I160" i="26"/>
  <c r="I199" i="26" s="1"/>
  <c r="G176" i="26"/>
  <c r="D177" i="26"/>
  <c r="N179" i="26"/>
  <c r="H181" i="26"/>
  <c r="E183" i="26"/>
  <c r="R184" i="26"/>
  <c r="I187" i="26"/>
  <c r="S189" i="26"/>
  <c r="J192" i="26"/>
  <c r="G193" i="26"/>
  <c r="D194" i="26"/>
  <c r="T194" i="26"/>
  <c r="N196" i="26"/>
  <c r="E160" i="26"/>
  <c r="E199" i="26" s="1"/>
  <c r="M248" i="26"/>
  <c r="G250" i="26"/>
  <c r="Q252" i="26"/>
  <c r="S263" i="26"/>
  <c r="J266" i="26"/>
  <c r="K271" i="26"/>
  <c r="J160" i="26"/>
  <c r="J199" i="26" s="1"/>
  <c r="E177" i="26"/>
  <c r="R178" i="26"/>
  <c r="S184" i="26"/>
  <c r="P185" i="26"/>
  <c r="T189" i="26"/>
  <c r="Q190" i="26"/>
  <c r="E194" i="26"/>
  <c r="G160" i="26"/>
  <c r="G199" i="26" s="1"/>
  <c r="Q170" i="26"/>
  <c r="Q237" i="26"/>
  <c r="Q276" i="26" s="1"/>
  <c r="H250" i="26"/>
  <c r="I255" i="26"/>
  <c r="S257" i="26"/>
  <c r="J261" i="26"/>
  <c r="G262" i="26"/>
  <c r="H267" i="26"/>
  <c r="L271" i="26"/>
  <c r="K160" i="26"/>
  <c r="K199" i="26" s="1"/>
  <c r="F177" i="26"/>
  <c r="M180" i="26"/>
  <c r="J181" i="26"/>
  <c r="G183" i="26"/>
  <c r="D184" i="26"/>
  <c r="T184" i="26"/>
  <c r="Q185" i="26"/>
  <c r="N186" i="26"/>
  <c r="K187" i="26"/>
  <c r="E189" i="26"/>
  <c r="U189" i="26"/>
  <c r="R190" i="26"/>
  <c r="L192" i="26"/>
  <c r="I193" i="26"/>
  <c r="F194" i="26"/>
  <c r="V194" i="26"/>
  <c r="P196" i="26"/>
  <c r="M197" i="26"/>
  <c r="R237" i="26"/>
  <c r="R276" i="26" s="1"/>
  <c r="L249" i="26"/>
  <c r="I250" i="26"/>
  <c r="S252" i="26"/>
  <c r="P253" i="26"/>
  <c r="G256" i="26"/>
  <c r="H262" i="26"/>
  <c r="I267" i="26"/>
  <c r="M271" i="26"/>
  <c r="H92" i="26"/>
  <c r="E93" i="26"/>
  <c r="U93" i="26"/>
  <c r="O95" i="26"/>
  <c r="I97" i="26"/>
  <c r="F98" i="26"/>
  <c r="V98" i="26"/>
  <c r="P100" i="26"/>
  <c r="M101" i="26"/>
  <c r="J102" i="26"/>
  <c r="G103" i="26"/>
  <c r="D178" i="26"/>
  <c r="T178" i="26"/>
  <c r="Q179" i="26"/>
  <c r="K181" i="26"/>
  <c r="H183" i="26"/>
  <c r="E184" i="26"/>
  <c r="O186" i="26"/>
  <c r="L187" i="26"/>
  <c r="V189" i="26"/>
  <c r="G194" i="26"/>
  <c r="T170" i="26"/>
  <c r="S247" i="26"/>
  <c r="S237" i="26"/>
  <c r="S276" i="26" s="1"/>
  <c r="P248" i="26"/>
  <c r="M249" i="26"/>
  <c r="J250" i="26"/>
  <c r="D252" i="26"/>
  <c r="T252" i="26"/>
  <c r="Q253" i="26"/>
  <c r="K255" i="26"/>
  <c r="F263" i="26"/>
  <c r="V263" i="26"/>
  <c r="V82" i="26"/>
  <c r="E178" i="26"/>
  <c r="U178" i="26"/>
  <c r="D190" i="26"/>
  <c r="T190" i="26"/>
  <c r="N160" i="26"/>
  <c r="V178" i="26"/>
  <c r="P180" i="26"/>
  <c r="E247" i="26"/>
  <c r="L250" i="26"/>
  <c r="F252" i="26"/>
  <c r="V252" i="26"/>
  <c r="S253" i="26"/>
  <c r="D258" i="26"/>
  <c r="Q260" i="26"/>
  <c r="H263" i="26"/>
  <c r="D275" i="26"/>
  <c r="K82" i="26"/>
  <c r="K121" i="26" s="1"/>
  <c r="O170" i="26"/>
  <c r="L171" i="26"/>
  <c r="I172" i="26"/>
  <c r="F173" i="26"/>
  <c r="V173" i="26"/>
  <c r="P175" i="26"/>
  <c r="D179" i="26"/>
  <c r="T179" i="26"/>
  <c r="V247" i="26"/>
  <c r="S248" i="26"/>
  <c r="D253" i="26"/>
  <c r="T253" i="26"/>
  <c r="K256" i="26"/>
  <c r="H257" i="26"/>
  <c r="F264" i="26"/>
  <c r="H82" i="26"/>
  <c r="P170" i="26"/>
  <c r="M171" i="26"/>
  <c r="J172" i="26"/>
  <c r="G173" i="26"/>
  <c r="Q175" i="26"/>
  <c r="N176" i="26"/>
  <c r="U179" i="26"/>
  <c r="R180" i="26"/>
  <c r="O181" i="26"/>
  <c r="L183" i="26"/>
  <c r="I184" i="26"/>
  <c r="F185" i="26"/>
  <c r="S186" i="26"/>
  <c r="P187" i="26"/>
  <c r="M188" i="26"/>
  <c r="J189" i="26"/>
  <c r="Q192" i="26"/>
  <c r="N193" i="26"/>
  <c r="K194" i="26"/>
  <c r="E196" i="26"/>
  <c r="U196" i="26"/>
  <c r="R197" i="26"/>
  <c r="G247" i="26"/>
  <c r="T248" i="26"/>
  <c r="H252" i="26"/>
  <c r="I257" i="26"/>
  <c r="G264" i="26"/>
  <c r="I82" i="26"/>
  <c r="I121" i="26" s="1"/>
  <c r="O176" i="26"/>
  <c r="V179" i="26"/>
  <c r="S180" i="26"/>
  <c r="J184" i="26"/>
  <c r="G185" i="26"/>
  <c r="T186" i="26"/>
  <c r="Q187" i="26"/>
  <c r="N188" i="26"/>
  <c r="K189" i="26"/>
  <c r="R192" i="26"/>
  <c r="O193" i="26"/>
  <c r="F196" i="26"/>
  <c r="S197" i="26"/>
  <c r="J237" i="26"/>
  <c r="J276" i="26" s="1"/>
  <c r="R160" i="26"/>
  <c r="R199" i="26" s="1"/>
  <c r="P176" i="26"/>
  <c r="M177" i="26"/>
  <c r="J178" i="26"/>
  <c r="G179" i="26"/>
  <c r="T180" i="26"/>
  <c r="Q181" i="26"/>
  <c r="N183" i="26"/>
  <c r="K184" i="26"/>
  <c r="H185" i="26"/>
  <c r="U186" i="26"/>
  <c r="L189" i="26"/>
  <c r="P193" i="26"/>
  <c r="M194" i="26"/>
  <c r="G196" i="26"/>
  <c r="D197" i="26"/>
  <c r="T197" i="26"/>
  <c r="U160" i="26"/>
  <c r="S170" i="26"/>
  <c r="S160" i="26"/>
  <c r="S199" i="26" s="1"/>
  <c r="P171" i="26"/>
  <c r="M172" i="26"/>
  <c r="J173" i="26"/>
  <c r="D175" i="26"/>
  <c r="T175" i="26"/>
  <c r="Q176" i="26"/>
  <c r="K178" i="26"/>
  <c r="H179" i="26"/>
  <c r="U180" i="26"/>
  <c r="R181" i="26"/>
  <c r="I185" i="26"/>
  <c r="V186" i="26"/>
  <c r="S187" i="26"/>
  <c r="M189" i="26"/>
  <c r="D192" i="26"/>
  <c r="T192" i="26"/>
  <c r="Q193" i="26"/>
  <c r="N194" i="26"/>
  <c r="H196" i="26"/>
  <c r="E197" i="26"/>
  <c r="U197" i="26"/>
  <c r="J247" i="26"/>
  <c r="D249" i="26"/>
  <c r="Q250" i="26"/>
  <c r="E254" i="26"/>
  <c r="I258" i="26"/>
  <c r="K183" i="26"/>
  <c r="H184" i="26"/>
  <c r="E185" i="26"/>
  <c r="R186" i="26"/>
  <c r="O187" i="26"/>
  <c r="L188" i="26"/>
  <c r="I189" i="26"/>
  <c r="V190" i="26"/>
  <c r="P192" i="26"/>
  <c r="M193" i="26"/>
  <c r="J194" i="26"/>
  <c r="D196" i="26"/>
  <c r="T196" i="26"/>
  <c r="Q197" i="26"/>
  <c r="P250" i="26"/>
  <c r="N256" i="26"/>
  <c r="O262" i="26"/>
  <c r="L263" i="26"/>
  <c r="I264" i="26"/>
  <c r="P267" i="26"/>
  <c r="N273" i="26"/>
  <c r="G237" i="26"/>
  <c r="G276" i="26" s="1"/>
  <c r="M247" i="26"/>
  <c r="G248" i="26"/>
  <c r="K252" i="26"/>
  <c r="H253" i="26"/>
  <c r="R255" i="26"/>
  <c r="O256" i="26"/>
  <c r="L257" i="26"/>
  <c r="F260" i="26"/>
  <c r="V260" i="26"/>
  <c r="S261" i="26"/>
  <c r="P262" i="26"/>
  <c r="M263" i="26"/>
  <c r="J264" i="26"/>
  <c r="D266" i="26"/>
  <c r="T266" i="26"/>
  <c r="Q267" i="26"/>
  <c r="K269" i="26"/>
  <c r="H270" i="26"/>
  <c r="E271" i="26"/>
  <c r="U271" i="26"/>
  <c r="O273" i="26"/>
  <c r="L274" i="26"/>
  <c r="O247" i="26"/>
  <c r="S250" i="26"/>
  <c r="M252" i="26"/>
  <c r="J253" i="26"/>
  <c r="N257" i="26"/>
  <c r="H260" i="26"/>
  <c r="O263" i="26"/>
  <c r="L264" i="26"/>
  <c r="F266" i="26"/>
  <c r="V266" i="26"/>
  <c r="S267" i="26"/>
  <c r="M269" i="26"/>
  <c r="G271" i="26"/>
  <c r="Q273" i="26"/>
  <c r="G90" i="27"/>
  <c r="K173" i="27"/>
  <c r="K184" i="27"/>
  <c r="G249" i="26"/>
  <c r="D250" i="26"/>
  <c r="T250" i="26"/>
  <c r="N252" i="26"/>
  <c r="K253" i="26"/>
  <c r="H254" i="26"/>
  <c r="E255" i="26"/>
  <c r="U255" i="26"/>
  <c r="R256" i="26"/>
  <c r="O257" i="26"/>
  <c r="L258" i="26"/>
  <c r="I260" i="26"/>
  <c r="F261" i="26"/>
  <c r="V261" i="26"/>
  <c r="P263" i="26"/>
  <c r="M264" i="26"/>
  <c r="G266" i="26"/>
  <c r="D267" i="26"/>
  <c r="T267" i="26"/>
  <c r="N269" i="26"/>
  <c r="K270" i="26"/>
  <c r="H271" i="26"/>
  <c r="R273" i="26"/>
  <c r="O274" i="26"/>
  <c r="N247" i="26"/>
  <c r="O252" i="26"/>
  <c r="L253" i="26"/>
  <c r="I254" i="26"/>
  <c r="V255" i="26"/>
  <c r="S256" i="26"/>
  <c r="P257" i="26"/>
  <c r="M258" i="26"/>
  <c r="D262" i="26"/>
  <c r="Q263" i="26"/>
  <c r="N264" i="26"/>
  <c r="K265" i="26"/>
  <c r="O269" i="26"/>
  <c r="I271" i="26"/>
  <c r="S273" i="26"/>
  <c r="P274" i="26"/>
  <c r="N237" i="26"/>
  <c r="F103" i="27"/>
  <c r="F105" i="27"/>
  <c r="F111" i="27"/>
  <c r="L248" i="26"/>
  <c r="M253" i="26"/>
  <c r="D256" i="26"/>
  <c r="T256" i="26"/>
  <c r="Q257" i="26"/>
  <c r="N258" i="26"/>
  <c r="K260" i="26"/>
  <c r="E262" i="26"/>
  <c r="R263" i="26"/>
  <c r="O264" i="26"/>
  <c r="L265" i="26"/>
  <c r="V267" i="26"/>
  <c r="P269" i="26"/>
  <c r="J271" i="26"/>
  <c r="T273" i="26"/>
  <c r="Q274" i="26"/>
  <c r="P247" i="26"/>
  <c r="P237" i="26"/>
  <c r="N253" i="26"/>
  <c r="K254" i="26"/>
  <c r="H255" i="26"/>
  <c r="E256" i="26"/>
  <c r="U256" i="26"/>
  <c r="R257" i="26"/>
  <c r="O258" i="26"/>
  <c r="L260" i="26"/>
  <c r="I261" i="26"/>
  <c r="P264" i="26"/>
  <c r="M265" i="26"/>
  <c r="Q269" i="26"/>
  <c r="N270" i="26"/>
  <c r="E273" i="26"/>
  <c r="U273" i="26"/>
  <c r="R274" i="26"/>
  <c r="H90" i="27"/>
  <c r="Q247" i="26"/>
  <c r="N248" i="26"/>
  <c r="K249" i="26"/>
  <c r="R252" i="26"/>
  <c r="O253" i="26"/>
  <c r="L254" i="26"/>
  <c r="F256" i="26"/>
  <c r="V256" i="26"/>
  <c r="P258" i="26"/>
  <c r="M260" i="26"/>
  <c r="D263" i="26"/>
  <c r="T263" i="26"/>
  <c r="Q264" i="26"/>
  <c r="N265" i="26"/>
  <c r="K266" i="26"/>
  <c r="R269" i="26"/>
  <c r="O270" i="26"/>
  <c r="F273" i="26"/>
  <c r="V273" i="26"/>
  <c r="S274" i="26"/>
  <c r="K47" i="27"/>
  <c r="I131" i="27"/>
  <c r="I90" i="27"/>
  <c r="R247" i="26"/>
  <c r="O248" i="26"/>
  <c r="M254" i="26"/>
  <c r="J255" i="26"/>
  <c r="T257" i="26"/>
  <c r="Q258" i="26"/>
  <c r="N260" i="26"/>
  <c r="K261" i="26"/>
  <c r="E263" i="26"/>
  <c r="U263" i="26"/>
  <c r="R264" i="26"/>
  <c r="O265" i="26"/>
  <c r="L266" i="26"/>
  <c r="S269" i="26"/>
  <c r="P270" i="26"/>
  <c r="G273" i="26"/>
  <c r="T274" i="26"/>
  <c r="I47" i="27"/>
  <c r="J90" i="27"/>
  <c r="J298" i="27"/>
  <c r="J257" i="27"/>
  <c r="U257" i="26"/>
  <c r="R258" i="26"/>
  <c r="O260" i="26"/>
  <c r="L261" i="26"/>
  <c r="I262" i="26"/>
  <c r="P265" i="26"/>
  <c r="M266" i="26"/>
  <c r="D269" i="26"/>
  <c r="T269" i="26"/>
  <c r="Q270" i="26"/>
  <c r="N271" i="26"/>
  <c r="H273" i="26"/>
  <c r="E274" i="26"/>
  <c r="U274" i="26"/>
  <c r="D237" i="26"/>
  <c r="D276" i="26" s="1"/>
  <c r="T247" i="26"/>
  <c r="Q248" i="26"/>
  <c r="O254" i="26"/>
  <c r="M261" i="26"/>
  <c r="Q265" i="26"/>
  <c r="R270" i="26"/>
  <c r="F46" i="27"/>
  <c r="F47" i="27" s="1"/>
  <c r="F101" i="27"/>
  <c r="E237" i="26"/>
  <c r="E276" i="26" s="1"/>
  <c r="U237" i="26"/>
  <c r="R248" i="26"/>
  <c r="M255" i="26"/>
  <c r="J256" i="26"/>
  <c r="T258" i="26"/>
  <c r="N261" i="26"/>
  <c r="K262" i="26"/>
  <c r="E264" i="26"/>
  <c r="U264" i="26"/>
  <c r="R265" i="26"/>
  <c r="O266" i="26"/>
  <c r="F269" i="26"/>
  <c r="V269" i="26"/>
  <c r="S270" i="26"/>
  <c r="P271" i="26"/>
  <c r="J273" i="26"/>
  <c r="G274" i="26"/>
  <c r="F247" i="26"/>
  <c r="V237" i="26"/>
  <c r="V276" i="26" s="1"/>
  <c r="M250" i="26"/>
  <c r="G252" i="26"/>
  <c r="N255" i="26"/>
  <c r="E258" i="26"/>
  <c r="U258" i="26"/>
  <c r="R260" i="26"/>
  <c r="O261" i="26"/>
  <c r="L262" i="26"/>
  <c r="I263" i="26"/>
  <c r="P266" i="26"/>
  <c r="G269" i="26"/>
  <c r="D270" i="26"/>
  <c r="T270" i="26"/>
  <c r="Q271" i="26"/>
  <c r="H274" i="26"/>
  <c r="E275" i="26"/>
  <c r="D248" i="26"/>
  <c r="N250" i="26"/>
  <c r="E253" i="26"/>
  <c r="U253" i="26"/>
  <c r="O255" i="26"/>
  <c r="L256" i="26"/>
  <c r="F258" i="26"/>
  <c r="V258" i="26"/>
  <c r="S260" i="26"/>
  <c r="P261" i="26"/>
  <c r="M262" i="26"/>
  <c r="T265" i="26"/>
  <c r="Q266" i="26"/>
  <c r="R271" i="26"/>
  <c r="I274" i="26"/>
  <c r="F275" i="26"/>
  <c r="O250" i="26"/>
  <c r="I252" i="26"/>
  <c r="J257" i="26"/>
  <c r="S271" i="26"/>
  <c r="F237" i="26"/>
  <c r="F276" i="26" s="1"/>
  <c r="D294" i="27"/>
  <c r="D211" i="27"/>
  <c r="D46" i="27"/>
  <c r="D47" i="27" s="1"/>
  <c r="H105" i="27"/>
  <c r="E110" i="27"/>
  <c r="K114" i="27"/>
  <c r="I173" i="27"/>
  <c r="I184" i="27"/>
  <c r="I190" i="27"/>
  <c r="I192" i="27"/>
  <c r="I194" i="27"/>
  <c r="I196" i="27"/>
  <c r="I198" i="27"/>
  <c r="I202" i="27"/>
  <c r="I208" i="27"/>
  <c r="I212" i="27"/>
  <c r="D257" i="27"/>
  <c r="E111" i="27"/>
  <c r="E195" i="27"/>
  <c r="I128" i="27"/>
  <c r="J184" i="27"/>
  <c r="J173" i="27"/>
  <c r="J190" i="27"/>
  <c r="J192" i="27"/>
  <c r="J194" i="27"/>
  <c r="J196" i="27"/>
  <c r="J198" i="27"/>
  <c r="J202" i="27"/>
  <c r="J204" i="27"/>
  <c r="J208" i="27"/>
  <c r="J212" i="27"/>
  <c r="E257" i="27"/>
  <c r="E273" i="27"/>
  <c r="E275" i="27"/>
  <c r="E285" i="27"/>
  <c r="E287" i="27"/>
  <c r="E291" i="27"/>
  <c r="E295" i="27"/>
  <c r="K250" i="26"/>
  <c r="P260" i="26"/>
  <c r="F274" i="26"/>
  <c r="D185" i="27"/>
  <c r="D187" i="27"/>
  <c r="D189" i="27"/>
  <c r="D193" i="27"/>
  <c r="D195" i="27"/>
  <c r="D197" i="27"/>
  <c r="D201" i="27"/>
  <c r="D205" i="27"/>
  <c r="D209" i="27"/>
  <c r="D213" i="27"/>
  <c r="G273" i="27"/>
  <c r="G275" i="27"/>
  <c r="G277" i="27"/>
  <c r="G285" i="27"/>
  <c r="G287" i="27"/>
  <c r="G291" i="27"/>
  <c r="I281" i="27"/>
  <c r="F109" i="27"/>
  <c r="F113" i="27"/>
  <c r="F117" i="27"/>
  <c r="F125" i="27"/>
  <c r="F129" i="27"/>
  <c r="E185" i="27"/>
  <c r="E187" i="27"/>
  <c r="E189" i="27"/>
  <c r="H275" i="27"/>
  <c r="H285" i="27"/>
  <c r="H287" i="27"/>
  <c r="H291" i="27"/>
  <c r="J281" i="27"/>
  <c r="F185" i="27"/>
  <c r="F187" i="27"/>
  <c r="F201" i="27"/>
  <c r="H101" i="27"/>
  <c r="H111" i="27"/>
  <c r="H117" i="27"/>
  <c r="K89" i="27"/>
  <c r="I204" i="27"/>
  <c r="J273" i="27"/>
  <c r="J275" i="27"/>
  <c r="J277" i="27"/>
  <c r="J279" i="27"/>
  <c r="J287" i="27"/>
  <c r="J291" i="27"/>
  <c r="J295" i="27"/>
  <c r="N262" i="26"/>
  <c r="I269" i="26"/>
  <c r="T237" i="26"/>
  <c r="T276" i="26" s="1"/>
  <c r="I101" i="27"/>
  <c r="I103" i="27"/>
  <c r="I105" i="27"/>
  <c r="I109" i="27"/>
  <c r="I111" i="27"/>
  <c r="I117" i="27"/>
  <c r="I121" i="27"/>
  <c r="I123" i="27"/>
  <c r="I125" i="27"/>
  <c r="I127" i="27"/>
  <c r="I129" i="27"/>
  <c r="K273" i="27"/>
  <c r="K275" i="27"/>
  <c r="K277" i="27"/>
  <c r="K279" i="27"/>
  <c r="K291" i="27"/>
  <c r="K295" i="27"/>
  <c r="I272" i="27"/>
  <c r="D254" i="26"/>
  <c r="J101" i="27"/>
  <c r="J103" i="27"/>
  <c r="D117" i="27"/>
  <c r="I187" i="27"/>
  <c r="I193" i="27"/>
  <c r="I207" i="27"/>
  <c r="I209" i="27"/>
  <c r="D276" i="27"/>
  <c r="D290" i="27"/>
  <c r="D292" i="27"/>
  <c r="E46" i="27"/>
  <c r="E47" i="27" s="1"/>
  <c r="E184" i="27"/>
  <c r="I112" i="27"/>
  <c r="J185" i="27"/>
  <c r="J187" i="27"/>
  <c r="J189" i="27"/>
  <c r="J193" i="27"/>
  <c r="E193" i="27"/>
  <c r="K256" i="27"/>
  <c r="D100" i="27"/>
  <c r="D89" i="27"/>
  <c r="F268" i="27"/>
  <c r="F256" i="27"/>
  <c r="F272" i="27"/>
  <c r="F276" i="27"/>
  <c r="F278" i="27"/>
  <c r="F280" i="27"/>
  <c r="F284" i="27"/>
  <c r="F288" i="27"/>
  <c r="F290" i="27"/>
  <c r="F292" i="27"/>
  <c r="F294" i="27"/>
  <c r="F296" i="27"/>
  <c r="G46" i="27"/>
  <c r="G47" i="27" s="1"/>
  <c r="G267" i="27"/>
  <c r="E89" i="27"/>
  <c r="E100" i="27"/>
  <c r="E106" i="27"/>
  <c r="E114" i="27"/>
  <c r="E118" i="27"/>
  <c r="E120" i="27"/>
  <c r="I100" i="27"/>
  <c r="J118" i="27"/>
  <c r="H46" i="27"/>
  <c r="H47" i="27" s="1"/>
  <c r="H267" i="27"/>
  <c r="H277" i="27"/>
  <c r="H110" i="27"/>
  <c r="F89" i="27"/>
  <c r="K118" i="27"/>
  <c r="E192" i="27"/>
  <c r="E198" i="27"/>
  <c r="E208" i="27"/>
  <c r="K267" i="27"/>
  <c r="I277" i="27"/>
  <c r="I110" i="27"/>
  <c r="I291" i="27"/>
  <c r="I124" i="27"/>
  <c r="G100" i="27"/>
  <c r="G106" i="27"/>
  <c r="G108" i="27"/>
  <c r="G118" i="27"/>
  <c r="G120" i="27"/>
  <c r="G124" i="27"/>
  <c r="K100" i="27"/>
  <c r="H114" i="27"/>
  <c r="E128" i="27"/>
  <c r="F173" i="27"/>
  <c r="F184" i="27"/>
  <c r="I268" i="27"/>
  <c r="I270" i="27"/>
  <c r="I276" i="27"/>
  <c r="I278" i="27"/>
  <c r="I284" i="27"/>
  <c r="I290" i="27"/>
  <c r="I292" i="27"/>
  <c r="I294" i="27"/>
  <c r="I296" i="27"/>
  <c r="E277" i="27"/>
  <c r="J46" i="27"/>
  <c r="J47" i="27" s="1"/>
  <c r="J267" i="27"/>
  <c r="H106" i="27"/>
  <c r="H108" i="27"/>
  <c r="H118" i="27"/>
  <c r="G184" i="27"/>
  <c r="G173" i="27"/>
  <c r="G190" i="27"/>
  <c r="G192" i="27"/>
  <c r="G194" i="27"/>
  <c r="G198" i="27"/>
  <c r="G202" i="27"/>
  <c r="G204" i="27"/>
  <c r="J268" i="27"/>
  <c r="J270" i="27"/>
  <c r="J276" i="27"/>
  <c r="I106" i="27"/>
  <c r="I108" i="27"/>
  <c r="I118" i="27"/>
  <c r="I120" i="27"/>
  <c r="G128" i="27"/>
  <c r="H173" i="27"/>
  <c r="H184" i="27"/>
  <c r="H190" i="27"/>
  <c r="H194" i="27"/>
  <c r="H198" i="27"/>
  <c r="H202" i="27"/>
  <c r="H212" i="27"/>
  <c r="G208" i="27"/>
  <c r="G212" i="27"/>
  <c r="G256" i="27"/>
  <c r="E211" i="27"/>
  <c r="H268" i="27"/>
  <c r="H270" i="27"/>
  <c r="H272" i="27"/>
  <c r="H276" i="27"/>
  <c r="H278" i="27"/>
  <c r="H280" i="27"/>
  <c r="H284" i="27"/>
  <c r="H288" i="27"/>
  <c r="H290" i="27"/>
  <c r="H292" i="27"/>
  <c r="H294" i="27"/>
  <c r="H296" i="27"/>
  <c r="H256" i="27"/>
  <c r="I256" i="27"/>
  <c r="D173" i="27"/>
  <c r="E173" i="27"/>
  <c r="D267" i="27"/>
  <c r="F100" i="27"/>
  <c r="E267" i="27"/>
  <c r="E268" i="27"/>
  <c r="E270" i="27"/>
  <c r="E272" i="27"/>
  <c r="E276" i="27"/>
  <c r="E278" i="27"/>
  <c r="E280" i="27"/>
  <c r="E284" i="27"/>
  <c r="E288" i="27"/>
  <c r="E290" i="27"/>
  <c r="E292" i="27"/>
  <c r="E294" i="27"/>
  <c r="E296" i="27"/>
  <c r="Q120" i="6" l="1"/>
  <c r="Q71" i="6"/>
  <c r="L121" i="6"/>
  <c r="L94" i="6"/>
  <c r="V27" i="6"/>
  <c r="I215" i="27"/>
  <c r="I174" i="27"/>
  <c r="J298" i="25"/>
  <c r="J257" i="25"/>
  <c r="I298" i="27"/>
  <c r="I257" i="27"/>
  <c r="E131" i="23"/>
  <c r="E90" i="23"/>
  <c r="H131" i="23"/>
  <c r="H90" i="23"/>
  <c r="E298" i="23"/>
  <c r="E257" i="23"/>
  <c r="T121" i="20"/>
  <c r="I296" i="19"/>
  <c r="I255" i="19"/>
  <c r="K198" i="16"/>
  <c r="K128" i="15"/>
  <c r="K88" i="15"/>
  <c r="J120" i="14"/>
  <c r="E296" i="13"/>
  <c r="E255" i="13"/>
  <c r="G129" i="13"/>
  <c r="H296" i="11"/>
  <c r="H255" i="11"/>
  <c r="E129" i="11"/>
  <c r="N60" i="9"/>
  <c r="E55" i="9"/>
  <c r="N55" i="9" s="1"/>
  <c r="N56" i="8"/>
  <c r="E55" i="8"/>
  <c r="N55" i="8" s="1"/>
  <c r="G131" i="7"/>
  <c r="G132" i="7"/>
  <c r="E112" i="7"/>
  <c r="N115" i="7"/>
  <c r="S59" i="7"/>
  <c r="J23" i="7"/>
  <c r="N121" i="9"/>
  <c r="E120" i="9"/>
  <c r="N120" i="9" s="1"/>
  <c r="G14" i="7"/>
  <c r="P112" i="7" s="1"/>
  <c r="T88" i="7"/>
  <c r="K22" i="7"/>
  <c r="H23" i="7"/>
  <c r="E22" i="7"/>
  <c r="J173" i="6"/>
  <c r="J144" i="6"/>
  <c r="T173" i="6"/>
  <c r="T19" i="6"/>
  <c r="U144" i="6"/>
  <c r="U173" i="6"/>
  <c r="G103" i="6"/>
  <c r="G102" i="6"/>
  <c r="G115" i="6"/>
  <c r="F180" i="5"/>
  <c r="F155" i="5"/>
  <c r="T115" i="6"/>
  <c r="T102" i="6"/>
  <c r="G152" i="6"/>
  <c r="G167" i="6"/>
  <c r="T125" i="9"/>
  <c r="K120" i="9"/>
  <c r="Q28" i="6"/>
  <c r="Q27" i="6"/>
  <c r="U53" i="5"/>
  <c r="U66" i="5"/>
  <c r="U54" i="5"/>
  <c r="K167" i="5"/>
  <c r="K152" i="5"/>
  <c r="K153" i="5"/>
  <c r="K181" i="5" s="1"/>
  <c r="O151" i="4"/>
  <c r="O166" i="4"/>
  <c r="T176" i="5"/>
  <c r="T144" i="5"/>
  <c r="S100" i="4"/>
  <c r="S114" i="4"/>
  <c r="I103" i="6"/>
  <c r="F55" i="5"/>
  <c r="F154" i="5"/>
  <c r="F104" i="5"/>
  <c r="P129" i="5"/>
  <c r="H114" i="4"/>
  <c r="H101" i="4"/>
  <c r="H128" i="4" s="1"/>
  <c r="H100" i="4"/>
  <c r="F166" i="4"/>
  <c r="F151" i="4"/>
  <c r="F53" i="4"/>
  <c r="F296" i="13"/>
  <c r="E67" i="9"/>
  <c r="N67" i="9" s="1"/>
  <c r="E66" i="9"/>
  <c r="N66" i="9" s="1"/>
  <c r="N47" i="9"/>
  <c r="E144" i="6"/>
  <c r="E173" i="6"/>
  <c r="H298" i="27"/>
  <c r="H257" i="27"/>
  <c r="U276" i="26"/>
  <c r="U199" i="26"/>
  <c r="P199" i="26"/>
  <c r="V199" i="24"/>
  <c r="G121" i="24"/>
  <c r="F121" i="24"/>
  <c r="E121" i="24"/>
  <c r="K198" i="22"/>
  <c r="O199" i="20"/>
  <c r="M199" i="20"/>
  <c r="G129" i="19"/>
  <c r="G88" i="19"/>
  <c r="T276" i="18"/>
  <c r="E130" i="17"/>
  <c r="K121" i="18"/>
  <c r="J121" i="18"/>
  <c r="L198" i="16"/>
  <c r="G295" i="15"/>
  <c r="G254" i="15"/>
  <c r="V198" i="16"/>
  <c r="F212" i="15"/>
  <c r="G212" i="15"/>
  <c r="G171" i="15"/>
  <c r="H212" i="15"/>
  <c r="H46" i="15"/>
  <c r="E213" i="11"/>
  <c r="G129" i="11"/>
  <c r="H275" i="10"/>
  <c r="D120" i="10"/>
  <c r="S97" i="7"/>
  <c r="S124" i="7"/>
  <c r="P113" i="7"/>
  <c r="D55" i="9"/>
  <c r="M60" i="9"/>
  <c r="K120" i="7"/>
  <c r="T121" i="7"/>
  <c r="O152" i="6"/>
  <c r="O167" i="6"/>
  <c r="S94" i="6"/>
  <c r="S124" i="6"/>
  <c r="Q121" i="8"/>
  <c r="H22" i="8"/>
  <c r="Q56" i="8"/>
  <c r="I55" i="8"/>
  <c r="R55" i="8" s="1"/>
  <c r="H103" i="6"/>
  <c r="H129" i="6" s="1"/>
  <c r="H102" i="6"/>
  <c r="H115" i="6"/>
  <c r="T121" i="6"/>
  <c r="J54" i="6"/>
  <c r="J53" i="6"/>
  <c r="J66" i="6"/>
  <c r="D115" i="6"/>
  <c r="D102" i="6"/>
  <c r="L173" i="5"/>
  <c r="E53" i="5"/>
  <c r="E66" i="5"/>
  <c r="E54" i="5"/>
  <c r="J120" i="6"/>
  <c r="N167" i="5"/>
  <c r="N152" i="5"/>
  <c r="O75" i="6"/>
  <c r="P72" i="5"/>
  <c r="P45" i="5"/>
  <c r="J71" i="6"/>
  <c r="H28" i="5"/>
  <c r="H27" i="5"/>
  <c r="G124" i="5"/>
  <c r="E72" i="5"/>
  <c r="V166" i="4"/>
  <c r="V151" i="4"/>
  <c r="H66" i="5"/>
  <c r="H53" i="5"/>
  <c r="N152" i="4"/>
  <c r="N180" i="4" s="1"/>
  <c r="N151" i="4"/>
  <c r="N166" i="4"/>
  <c r="J92" i="4"/>
  <c r="J120" i="4"/>
  <c r="E166" i="4"/>
  <c r="E151" i="4"/>
  <c r="P172" i="5"/>
  <c r="N92" i="4"/>
  <c r="P79" i="4"/>
  <c r="N127" i="4"/>
  <c r="N130" i="4" s="1"/>
  <c r="N103" i="4"/>
  <c r="T70" i="4"/>
  <c r="G78" i="4"/>
  <c r="G55" i="4"/>
  <c r="F55" i="4"/>
  <c r="F78" i="4"/>
  <c r="T166" i="4"/>
  <c r="R152" i="5"/>
  <c r="R153" i="5"/>
  <c r="R167" i="5"/>
  <c r="J121" i="6"/>
  <c r="O153" i="5"/>
  <c r="O152" i="5"/>
  <c r="O167" i="5"/>
  <c r="N172" i="4"/>
  <c r="N143" i="4"/>
  <c r="N171" i="4" s="1"/>
  <c r="I72" i="6"/>
  <c r="R54" i="5"/>
  <c r="R53" i="5"/>
  <c r="R66" i="5"/>
  <c r="J72" i="6"/>
  <c r="P79" i="5"/>
  <c r="P56" i="5"/>
  <c r="D176" i="5"/>
  <c r="V105" i="5"/>
  <c r="V128" i="5"/>
  <c r="I56" i="5"/>
  <c r="I79" i="5"/>
  <c r="T53" i="5"/>
  <c r="T66" i="5"/>
  <c r="T54" i="5"/>
  <c r="H45" i="5"/>
  <c r="H71" i="5" s="1"/>
  <c r="D120" i="4"/>
  <c r="D27" i="5"/>
  <c r="P173" i="5"/>
  <c r="I154" i="5"/>
  <c r="I55" i="5"/>
  <c r="I104" i="5"/>
  <c r="T128" i="4"/>
  <c r="F103" i="4"/>
  <c r="F130" i="4" s="1"/>
  <c r="T71" i="4"/>
  <c r="Q81" i="7"/>
  <c r="H79" i="7"/>
  <c r="H173" i="17" s="1"/>
  <c r="K99" i="9"/>
  <c r="E46" i="19"/>
  <c r="N14" i="8"/>
  <c r="N112" i="8"/>
  <c r="E34" i="8"/>
  <c r="M112" i="8"/>
  <c r="R173" i="6"/>
  <c r="R144" i="6"/>
  <c r="M91" i="7"/>
  <c r="N102" i="6"/>
  <c r="N115" i="6"/>
  <c r="N103" i="6"/>
  <c r="I60" i="7"/>
  <c r="R60" i="7" s="1"/>
  <c r="E105" i="6"/>
  <c r="E128" i="6"/>
  <c r="I33" i="7"/>
  <c r="F28" i="6"/>
  <c r="F27" i="6"/>
  <c r="P54" i="7"/>
  <c r="V72" i="6"/>
  <c r="V45" i="6"/>
  <c r="D103" i="5"/>
  <c r="D102" i="5"/>
  <c r="D115" i="5"/>
  <c r="N124" i="6"/>
  <c r="V53" i="6"/>
  <c r="V66" i="6"/>
  <c r="V54" i="6"/>
  <c r="T71" i="6"/>
  <c r="N172" i="6"/>
  <c r="I173" i="6"/>
  <c r="H129" i="5"/>
  <c r="G144" i="5"/>
  <c r="G173" i="5"/>
  <c r="J152" i="5"/>
  <c r="J167" i="5"/>
  <c r="J153" i="5"/>
  <c r="J181" i="5" s="1"/>
  <c r="F114" i="4"/>
  <c r="V103" i="5"/>
  <c r="V129" i="5" s="1"/>
  <c r="D75" i="5"/>
  <c r="G54" i="6"/>
  <c r="G53" i="6"/>
  <c r="G66" i="6"/>
  <c r="K53" i="5"/>
  <c r="K66" i="5"/>
  <c r="T143" i="4"/>
  <c r="G123" i="4"/>
  <c r="S105" i="5"/>
  <c r="S128" i="5"/>
  <c r="H151" i="4"/>
  <c r="H166" i="4"/>
  <c r="T114" i="4"/>
  <c r="O120" i="4"/>
  <c r="D70" i="4"/>
  <c r="L18" i="4"/>
  <c r="L27" i="4" s="1"/>
  <c r="K18" i="4"/>
  <c r="K27" i="4" s="1"/>
  <c r="K180" i="4" s="1"/>
  <c r="O70" i="4"/>
  <c r="F121" i="26"/>
  <c r="D131" i="25"/>
  <c r="D90" i="25"/>
  <c r="H131" i="25"/>
  <c r="H90" i="25"/>
  <c r="G276" i="20"/>
  <c r="M120" i="22"/>
  <c r="G131" i="21"/>
  <c r="G90" i="21"/>
  <c r="P276" i="20"/>
  <c r="G213" i="19"/>
  <c r="D199" i="18"/>
  <c r="G47" i="17"/>
  <c r="O275" i="16"/>
  <c r="H214" i="17"/>
  <c r="Q120" i="16"/>
  <c r="G275" i="16"/>
  <c r="O198" i="16"/>
  <c r="E295" i="15"/>
  <c r="J275" i="16"/>
  <c r="H274" i="14"/>
  <c r="I129" i="13"/>
  <c r="Q276" i="12"/>
  <c r="K120" i="12"/>
  <c r="I120" i="12"/>
  <c r="G120" i="12"/>
  <c r="N275" i="10"/>
  <c r="O120" i="10"/>
  <c r="F120" i="10"/>
  <c r="M92" i="8"/>
  <c r="H99" i="9"/>
  <c r="Q99" i="9" s="1"/>
  <c r="H98" i="9"/>
  <c r="Q79" i="9"/>
  <c r="S81" i="7"/>
  <c r="J79" i="7"/>
  <c r="J112" i="7"/>
  <c r="S113" i="7"/>
  <c r="E14" i="7"/>
  <c r="N50" i="7"/>
  <c r="O79" i="8"/>
  <c r="F98" i="8"/>
  <c r="F99" i="8"/>
  <c r="N120" i="8"/>
  <c r="N22" i="8"/>
  <c r="F55" i="9"/>
  <c r="O60" i="9"/>
  <c r="P127" i="7"/>
  <c r="P125" i="8"/>
  <c r="P92" i="8"/>
  <c r="Q88" i="8"/>
  <c r="H87" i="8"/>
  <c r="Q87" i="8" s="1"/>
  <c r="G47" i="7"/>
  <c r="P48" i="7"/>
  <c r="P60" i="8"/>
  <c r="S91" i="7"/>
  <c r="D79" i="7"/>
  <c r="T47" i="9"/>
  <c r="I56" i="7"/>
  <c r="F72" i="6"/>
  <c r="F45" i="6"/>
  <c r="F71" i="6" s="1"/>
  <c r="V167" i="6"/>
  <c r="R121" i="6"/>
  <c r="R94" i="6"/>
  <c r="U173" i="5"/>
  <c r="U144" i="5"/>
  <c r="R79" i="6"/>
  <c r="R56" i="6"/>
  <c r="M53" i="6"/>
  <c r="M66" i="6"/>
  <c r="R27" i="5"/>
  <c r="R28" i="5"/>
  <c r="R129" i="5" s="1"/>
  <c r="O154" i="6"/>
  <c r="O104" i="6"/>
  <c r="O55" i="6"/>
  <c r="P153" i="5"/>
  <c r="P181" i="5" s="1"/>
  <c r="P152" i="5"/>
  <c r="P167" i="5"/>
  <c r="H153" i="6"/>
  <c r="H181" i="6" s="1"/>
  <c r="H172" i="6"/>
  <c r="L72" i="5"/>
  <c r="M172" i="5"/>
  <c r="V153" i="4"/>
  <c r="V102" i="4"/>
  <c r="V54" i="4"/>
  <c r="L172" i="4"/>
  <c r="L143" i="4"/>
  <c r="G45" i="5"/>
  <c r="G71" i="5" s="1"/>
  <c r="D53" i="5"/>
  <c r="D66" i="5"/>
  <c r="D54" i="5"/>
  <c r="I54" i="5"/>
  <c r="I80" i="5" s="1"/>
  <c r="V181" i="5"/>
  <c r="T154" i="5"/>
  <c r="T104" i="5"/>
  <c r="T55" i="5"/>
  <c r="K179" i="4"/>
  <c r="K154" i="4"/>
  <c r="K100" i="4"/>
  <c r="K114" i="4"/>
  <c r="K56" i="6"/>
  <c r="T172" i="4"/>
  <c r="M100" i="4"/>
  <c r="M114" i="4"/>
  <c r="M101" i="4"/>
  <c r="M128" i="4" s="1"/>
  <c r="D154" i="6"/>
  <c r="D104" i="6"/>
  <c r="D55" i="6"/>
  <c r="J55" i="5"/>
  <c r="J154" i="5"/>
  <c r="J104" i="5"/>
  <c r="T127" i="4"/>
  <c r="T103" i="4"/>
  <c r="D71" i="4"/>
  <c r="R78" i="4"/>
  <c r="R55" i="4"/>
  <c r="F129" i="11"/>
  <c r="F89" i="11"/>
  <c r="F172" i="19"/>
  <c r="F213" i="19"/>
  <c r="F298" i="27"/>
  <c r="F257" i="27"/>
  <c r="F298" i="25"/>
  <c r="F257" i="25"/>
  <c r="O275" i="22"/>
  <c r="T120" i="22"/>
  <c r="T276" i="20"/>
  <c r="E131" i="21"/>
  <c r="G298" i="21"/>
  <c r="D214" i="17"/>
  <c r="I171" i="15"/>
  <c r="I212" i="15"/>
  <c r="J88" i="15"/>
  <c r="J128" i="15"/>
  <c r="G213" i="13"/>
  <c r="G172" i="13"/>
  <c r="E213" i="13"/>
  <c r="P98" i="9"/>
  <c r="P33" i="9"/>
  <c r="M88" i="8"/>
  <c r="D87" i="8"/>
  <c r="D174" i="23"/>
  <c r="M97" i="7"/>
  <c r="P86" i="7"/>
  <c r="E98" i="9"/>
  <c r="N98" i="9" s="1"/>
  <c r="N79" i="9"/>
  <c r="M56" i="8"/>
  <c r="D55" i="8"/>
  <c r="F120" i="7"/>
  <c r="O121" i="7"/>
  <c r="K67" i="9"/>
  <c r="D180" i="5"/>
  <c r="D155" i="5"/>
  <c r="V155" i="6"/>
  <c r="V180" i="6"/>
  <c r="R80" i="6"/>
  <c r="L94" i="5"/>
  <c r="L120" i="5" s="1"/>
  <c r="L121" i="5"/>
  <c r="F53" i="6"/>
  <c r="F66" i="6"/>
  <c r="F54" i="6"/>
  <c r="F80" i="6" s="1"/>
  <c r="T131" i="7"/>
  <c r="H121" i="6"/>
  <c r="P105" i="6"/>
  <c r="P128" i="6"/>
  <c r="H173" i="6"/>
  <c r="I103" i="5"/>
  <c r="I129" i="5" s="1"/>
  <c r="M45" i="6"/>
  <c r="M71" i="6" s="1"/>
  <c r="M72" i="6"/>
  <c r="U94" i="6"/>
  <c r="U121" i="6"/>
  <c r="S27" i="6"/>
  <c r="S28" i="6"/>
  <c r="S181" i="6" s="1"/>
  <c r="F153" i="4"/>
  <c r="F102" i="4"/>
  <c r="F54" i="4"/>
  <c r="F128" i="5"/>
  <c r="F105" i="5"/>
  <c r="S19" i="6"/>
  <c r="S71" i="6" s="1"/>
  <c r="U53" i="4"/>
  <c r="U79" i="4" s="1"/>
  <c r="U52" i="4"/>
  <c r="U65" i="4"/>
  <c r="L176" i="5"/>
  <c r="P55" i="5"/>
  <c r="P154" i="5"/>
  <c r="P104" i="5"/>
  <c r="T19" i="5"/>
  <c r="T28" i="5" s="1"/>
  <c r="D143" i="4"/>
  <c r="D171" i="4" s="1"/>
  <c r="D166" i="4"/>
  <c r="D151" i="4"/>
  <c r="D114" i="4"/>
  <c r="G44" i="4"/>
  <c r="J173" i="17"/>
  <c r="J214" i="17"/>
  <c r="E212" i="15"/>
  <c r="G66" i="8"/>
  <c r="G89" i="13" s="1"/>
  <c r="G67" i="8"/>
  <c r="P47" i="8"/>
  <c r="T199" i="20"/>
  <c r="H298" i="25"/>
  <c r="H257" i="25"/>
  <c r="I131" i="25"/>
  <c r="G276" i="24"/>
  <c r="H174" i="23"/>
  <c r="I275" i="22"/>
  <c r="L120" i="22"/>
  <c r="K298" i="21"/>
  <c r="J46" i="19"/>
  <c r="E88" i="19"/>
  <c r="E129" i="19"/>
  <c r="S199" i="18"/>
  <c r="D130" i="17"/>
  <c r="D89" i="17"/>
  <c r="R120" i="16"/>
  <c r="J295" i="15"/>
  <c r="J46" i="15"/>
  <c r="J212" i="15"/>
  <c r="V120" i="14"/>
  <c r="I198" i="12"/>
  <c r="K198" i="12"/>
  <c r="G132" i="9"/>
  <c r="P132" i="9" s="1"/>
  <c r="P120" i="9"/>
  <c r="H255" i="13"/>
  <c r="D132" i="9"/>
  <c r="M132" i="9" s="1"/>
  <c r="M120" i="9"/>
  <c r="G27" i="7"/>
  <c r="P125" i="7" s="1"/>
  <c r="O59" i="7"/>
  <c r="F56" i="7"/>
  <c r="P94" i="7"/>
  <c r="Q89" i="7"/>
  <c r="H88" i="7"/>
  <c r="P84" i="7"/>
  <c r="I28" i="6"/>
  <c r="I27" i="6"/>
  <c r="I128" i="6" s="1"/>
  <c r="P52" i="7"/>
  <c r="H53" i="6"/>
  <c r="H66" i="6"/>
  <c r="E115" i="5"/>
  <c r="E102" i="5"/>
  <c r="N121" i="7"/>
  <c r="H120" i="6"/>
  <c r="I54" i="6"/>
  <c r="I66" i="6"/>
  <c r="I53" i="6"/>
  <c r="P172" i="4"/>
  <c r="P143" i="4"/>
  <c r="P171" i="4" s="1"/>
  <c r="L45" i="6"/>
  <c r="L71" i="6" s="1"/>
  <c r="H128" i="5"/>
  <c r="H105" i="5"/>
  <c r="N82" i="7"/>
  <c r="O28" i="5"/>
  <c r="O27" i="5"/>
  <c r="G173" i="6"/>
  <c r="N28" i="5"/>
  <c r="N27" i="5"/>
  <c r="I171" i="4"/>
  <c r="V114" i="4"/>
  <c r="G66" i="5"/>
  <c r="G53" i="5"/>
  <c r="P114" i="4"/>
  <c r="P100" i="4"/>
  <c r="E53" i="4"/>
  <c r="E79" i="4" s="1"/>
  <c r="E52" i="4"/>
  <c r="E65" i="4"/>
  <c r="R154" i="6"/>
  <c r="R104" i="6"/>
  <c r="R55" i="6"/>
  <c r="D172" i="4"/>
  <c r="G166" i="4"/>
  <c r="G151" i="4"/>
  <c r="H19" i="3"/>
  <c r="D101" i="4"/>
  <c r="D128" i="4" s="1"/>
  <c r="E70" i="4"/>
  <c r="H81" i="4"/>
  <c r="P47" i="9"/>
  <c r="G66" i="9"/>
  <c r="G67" i="9"/>
  <c r="P67" i="9" s="1"/>
  <c r="G257" i="23"/>
  <c r="G298" i="23"/>
  <c r="G215" i="27"/>
  <c r="G174" i="27"/>
  <c r="D131" i="27"/>
  <c r="D90" i="27"/>
  <c r="D215" i="25"/>
  <c r="D174" i="25"/>
  <c r="F215" i="25"/>
  <c r="H215" i="23"/>
  <c r="M275" i="22"/>
  <c r="D120" i="22"/>
  <c r="K121" i="20"/>
  <c r="D88" i="19"/>
  <c r="D129" i="19"/>
  <c r="J172" i="19"/>
  <c r="J213" i="19"/>
  <c r="P276" i="18"/>
  <c r="Q197" i="14"/>
  <c r="J213" i="11"/>
  <c r="F120" i="12"/>
  <c r="F87" i="9"/>
  <c r="O92" i="9"/>
  <c r="J121" i="7"/>
  <c r="S122" i="7"/>
  <c r="M60" i="8"/>
  <c r="M153" i="6"/>
  <c r="M181" i="6" s="1"/>
  <c r="M152" i="6"/>
  <c r="M167" i="6"/>
  <c r="N80" i="7"/>
  <c r="E79" i="7"/>
  <c r="M57" i="7"/>
  <c r="D56" i="7"/>
  <c r="F33" i="7"/>
  <c r="T66" i="6"/>
  <c r="T54" i="6"/>
  <c r="T53" i="6"/>
  <c r="G28" i="5"/>
  <c r="G129" i="5" s="1"/>
  <c r="G27" i="5"/>
  <c r="G105" i="5" s="1"/>
  <c r="T180" i="5"/>
  <c r="T155" i="5"/>
  <c r="L54" i="6"/>
  <c r="L53" i="6"/>
  <c r="L66" i="6"/>
  <c r="R151" i="4"/>
  <c r="R166" i="4"/>
  <c r="R152" i="4"/>
  <c r="I105" i="5"/>
  <c r="I128" i="5"/>
  <c r="V115" i="6"/>
  <c r="L72" i="6"/>
  <c r="G144" i="6"/>
  <c r="G172" i="6" s="1"/>
  <c r="H72" i="6"/>
  <c r="H45" i="6"/>
  <c r="H71" i="6" s="1"/>
  <c r="O72" i="5"/>
  <c r="O45" i="5"/>
  <c r="E94" i="6"/>
  <c r="E121" i="6"/>
  <c r="O19" i="6"/>
  <c r="O28" i="6" s="1"/>
  <c r="O130" i="4"/>
  <c r="J45" i="5"/>
  <c r="J71" i="5" s="1"/>
  <c r="L56" i="5"/>
  <c r="L79" i="5"/>
  <c r="K55" i="5"/>
  <c r="K154" i="5"/>
  <c r="K104" i="5"/>
  <c r="T53" i="4"/>
  <c r="T79" i="4" s="1"/>
  <c r="T65" i="4"/>
  <c r="T52" i="4"/>
  <c r="I92" i="4"/>
  <c r="I120" i="4"/>
  <c r="D103" i="4"/>
  <c r="D127" i="4"/>
  <c r="D130" i="4" s="1"/>
  <c r="E71" i="4"/>
  <c r="N176" i="5"/>
  <c r="N144" i="5"/>
  <c r="N172" i="5" s="1"/>
  <c r="H215" i="27"/>
  <c r="H174" i="27"/>
  <c r="E131" i="27"/>
  <c r="E90" i="27"/>
  <c r="H131" i="27"/>
  <c r="K215" i="27"/>
  <c r="K174" i="27"/>
  <c r="K298" i="25"/>
  <c r="K257" i="25"/>
  <c r="D198" i="22"/>
  <c r="R120" i="22"/>
  <c r="D298" i="21"/>
  <c r="D257" i="21"/>
  <c r="R198" i="16"/>
  <c r="L274" i="14"/>
  <c r="H197" i="14"/>
  <c r="I274" i="14"/>
  <c r="E120" i="14"/>
  <c r="E46" i="15"/>
  <c r="N33" i="9"/>
  <c r="D87" i="9"/>
  <c r="M88" i="9"/>
  <c r="J132" i="9"/>
  <c r="S132" i="9" s="1"/>
  <c r="J131" i="9"/>
  <c r="S112" i="9"/>
  <c r="O63" i="7"/>
  <c r="F60" i="7"/>
  <c r="O60" i="7" s="1"/>
  <c r="I98" i="7"/>
  <c r="I99" i="7"/>
  <c r="R79" i="7"/>
  <c r="M61" i="7"/>
  <c r="D60" i="7"/>
  <c r="T94" i="6"/>
  <c r="T120" i="6" s="1"/>
  <c r="T124" i="6"/>
  <c r="F132" i="9"/>
  <c r="O132" i="9" s="1"/>
  <c r="O120" i="9"/>
  <c r="H120" i="7"/>
  <c r="N117" i="7"/>
  <c r="R180" i="6"/>
  <c r="R155" i="6"/>
  <c r="J67" i="7"/>
  <c r="D66" i="6"/>
  <c r="D53" i="6"/>
  <c r="G128" i="5"/>
  <c r="F155" i="6"/>
  <c r="F180" i="6"/>
  <c r="N62" i="7"/>
  <c r="N66" i="6"/>
  <c r="N54" i="6"/>
  <c r="N53" i="6"/>
  <c r="N120" i="6"/>
  <c r="P92" i="7"/>
  <c r="O53" i="6"/>
  <c r="O66" i="6"/>
  <c r="S75" i="6"/>
  <c r="L144" i="6"/>
  <c r="T128" i="5"/>
  <c r="T105" i="5"/>
  <c r="T124" i="5"/>
  <c r="V105" i="6"/>
  <c r="V128" i="6"/>
  <c r="O45" i="6"/>
  <c r="O71" i="6" s="1"/>
  <c r="K115" i="5"/>
  <c r="K102" i="5"/>
  <c r="K103" i="5"/>
  <c r="K129" i="5" s="1"/>
  <c r="T56" i="7"/>
  <c r="K55" i="7"/>
  <c r="D19" i="5"/>
  <c r="D28" i="5" s="1"/>
  <c r="D181" i="5" s="1"/>
  <c r="V101" i="4"/>
  <c r="V128" i="4" s="1"/>
  <c r="Q151" i="4"/>
  <c r="Q166" i="4"/>
  <c r="Q152" i="4"/>
  <c r="Q180" i="4" s="1"/>
  <c r="M54" i="5"/>
  <c r="M80" i="5" s="1"/>
  <c r="M53" i="5"/>
  <c r="M66" i="5"/>
  <c r="P152" i="4"/>
  <c r="P180" i="4" s="1"/>
  <c r="P151" i="4"/>
  <c r="P166" i="4"/>
  <c r="K172" i="6"/>
  <c r="L80" i="5"/>
  <c r="H155" i="5"/>
  <c r="H180" i="5"/>
  <c r="V27" i="4"/>
  <c r="L180" i="5"/>
  <c r="L155" i="5"/>
  <c r="G143" i="4"/>
  <c r="G171" i="4" s="1"/>
  <c r="K92" i="4"/>
  <c r="K101" i="4" s="1"/>
  <c r="K128" i="4" s="1"/>
  <c r="K120" i="4"/>
  <c r="F101" i="4"/>
  <c r="E120" i="4"/>
  <c r="E92" i="4"/>
  <c r="E119" i="4" s="1"/>
  <c r="F74" i="4"/>
  <c r="S19" i="5"/>
  <c r="N53" i="4"/>
  <c r="N79" i="4" s="1"/>
  <c r="N52" i="4"/>
  <c r="N65" i="4"/>
  <c r="S155" i="5"/>
  <c r="S180" i="5"/>
  <c r="Q92" i="4"/>
  <c r="Q119" i="4" s="1"/>
  <c r="K74" i="4"/>
  <c r="D65" i="4"/>
  <c r="I55" i="4"/>
  <c r="I78" i="4"/>
  <c r="K88" i="19"/>
  <c r="K129" i="19"/>
  <c r="F215" i="27"/>
  <c r="F174" i="27"/>
  <c r="K298" i="27"/>
  <c r="K257" i="27"/>
  <c r="E298" i="27"/>
  <c r="D298" i="27"/>
  <c r="P276" i="26"/>
  <c r="N199" i="26"/>
  <c r="D121" i="26"/>
  <c r="J131" i="25"/>
  <c r="F298" i="23"/>
  <c r="F257" i="23"/>
  <c r="E275" i="22"/>
  <c r="F120" i="22"/>
  <c r="K213" i="19"/>
  <c r="K172" i="19"/>
  <c r="I88" i="19"/>
  <c r="I129" i="19"/>
  <c r="Q198" i="16"/>
  <c r="Q275" i="16"/>
  <c r="U198" i="16"/>
  <c r="R275" i="16"/>
  <c r="K295" i="15"/>
  <c r="D46" i="15"/>
  <c r="J197" i="14"/>
  <c r="I120" i="14"/>
  <c r="F276" i="12"/>
  <c r="J120" i="12"/>
  <c r="G213" i="11"/>
  <c r="G172" i="11"/>
  <c r="G276" i="12"/>
  <c r="N198" i="12"/>
  <c r="J275" i="10"/>
  <c r="R121" i="7"/>
  <c r="I120" i="7"/>
  <c r="Q65" i="7"/>
  <c r="I131" i="9"/>
  <c r="R112" i="9"/>
  <c r="O125" i="8"/>
  <c r="K67" i="8"/>
  <c r="T67" i="8" s="1"/>
  <c r="T47" i="8"/>
  <c r="K66" i="8"/>
  <c r="N125" i="7"/>
  <c r="O47" i="7"/>
  <c r="F66" i="7"/>
  <c r="O66" i="7" s="1"/>
  <c r="D94" i="6"/>
  <c r="D120" i="6" s="1"/>
  <c r="D124" i="6"/>
  <c r="Q122" i="7"/>
  <c r="O128" i="7"/>
  <c r="P80" i="7"/>
  <c r="D22" i="8"/>
  <c r="D34" i="8" s="1"/>
  <c r="M121" i="8"/>
  <c r="R105" i="6"/>
  <c r="R128" i="6"/>
  <c r="K154" i="6"/>
  <c r="K104" i="6"/>
  <c r="K55" i="6"/>
  <c r="F153" i="6"/>
  <c r="F181" i="6" s="1"/>
  <c r="S80" i="6"/>
  <c r="Q66" i="6"/>
  <c r="Q54" i="6"/>
  <c r="Q80" i="6" s="1"/>
  <c r="Q53" i="6"/>
  <c r="F27" i="7"/>
  <c r="V75" i="6"/>
  <c r="L173" i="6"/>
  <c r="D155" i="6"/>
  <c r="D180" i="6"/>
  <c r="O72" i="6"/>
  <c r="N102" i="5"/>
  <c r="N103" i="5"/>
  <c r="N129" i="5" s="1"/>
  <c r="N115" i="5"/>
  <c r="D173" i="6"/>
  <c r="Q53" i="5"/>
  <c r="Q66" i="5"/>
  <c r="I172" i="6"/>
  <c r="J27" i="6"/>
  <c r="J28" i="6"/>
  <c r="J129" i="6" s="1"/>
  <c r="M71" i="5"/>
  <c r="H132" i="9"/>
  <c r="Q132" i="9" s="1"/>
  <c r="Q120" i="9"/>
  <c r="L123" i="4"/>
  <c r="V154" i="5"/>
  <c r="V104" i="5"/>
  <c r="V55" i="5"/>
  <c r="H167" i="5"/>
  <c r="F27" i="4"/>
  <c r="I180" i="5"/>
  <c r="T119" i="4"/>
  <c r="D78" i="4"/>
  <c r="D81" i="4" s="1"/>
  <c r="D55" i="4"/>
  <c r="N60" i="7"/>
  <c r="K131" i="27"/>
  <c r="K90" i="27"/>
  <c r="G131" i="27"/>
  <c r="Q199" i="26"/>
  <c r="E298" i="25"/>
  <c r="E257" i="25"/>
  <c r="H131" i="21"/>
  <c r="H90" i="21"/>
  <c r="M121" i="20"/>
  <c r="E90" i="21"/>
  <c r="D215" i="21"/>
  <c r="G121" i="20"/>
  <c r="F297" i="17"/>
  <c r="F256" i="17"/>
  <c r="F214" i="17"/>
  <c r="U121" i="18"/>
  <c r="E47" i="17"/>
  <c r="U275" i="16"/>
  <c r="F213" i="13"/>
  <c r="F172" i="13"/>
  <c r="D296" i="13"/>
  <c r="D255" i="13"/>
  <c r="J296" i="11"/>
  <c r="M121" i="7"/>
  <c r="D120" i="7"/>
  <c r="E87" i="9"/>
  <c r="N87" i="9" s="1"/>
  <c r="N88" i="9"/>
  <c r="M131" i="9"/>
  <c r="D66" i="8"/>
  <c r="D67" i="8"/>
  <c r="M47" i="8"/>
  <c r="M66" i="9"/>
  <c r="D27" i="7"/>
  <c r="M121" i="6"/>
  <c r="M94" i="6"/>
  <c r="M120" i="6" s="1"/>
  <c r="P88" i="7"/>
  <c r="G87" i="7"/>
  <c r="I167" i="6"/>
  <c r="S66" i="6"/>
  <c r="S172" i="6"/>
  <c r="M181" i="5"/>
  <c r="F75" i="6"/>
  <c r="O79" i="5"/>
  <c r="O56" i="5"/>
  <c r="K121" i="6"/>
  <c r="K94" i="6"/>
  <c r="G60" i="7"/>
  <c r="D153" i="6"/>
  <c r="D181" i="6" s="1"/>
  <c r="V180" i="5"/>
  <c r="V155" i="5"/>
  <c r="F115" i="6"/>
  <c r="N71" i="6"/>
  <c r="Q102" i="5"/>
  <c r="Q115" i="5"/>
  <c r="G28" i="6"/>
  <c r="G27" i="6"/>
  <c r="I152" i="4"/>
  <c r="I151" i="4"/>
  <c r="I166" i="4"/>
  <c r="P120" i="4"/>
  <c r="P92" i="4"/>
  <c r="P119" i="4" s="1"/>
  <c r="R101" i="4"/>
  <c r="R100" i="4"/>
  <c r="R114" i="4"/>
  <c r="S151" i="4"/>
  <c r="S166" i="4"/>
  <c r="S152" i="4"/>
  <c r="S180" i="4" s="1"/>
  <c r="M154" i="5"/>
  <c r="M104" i="5"/>
  <c r="M55" i="5"/>
  <c r="F66" i="8"/>
  <c r="O47" i="8"/>
  <c r="L153" i="5"/>
  <c r="L181" i="5" s="1"/>
  <c r="P55" i="4"/>
  <c r="P78" i="4"/>
  <c r="P81" i="4" s="1"/>
  <c r="M180" i="5"/>
  <c r="O55" i="4"/>
  <c r="O78" i="4"/>
  <c r="O81" i="4" s="1"/>
  <c r="O143" i="4"/>
  <c r="O171" i="4" s="1"/>
  <c r="I18" i="4"/>
  <c r="I155" i="5"/>
  <c r="M65" i="4"/>
  <c r="M52" i="4"/>
  <c r="M53" i="4"/>
  <c r="M79" i="4" s="1"/>
  <c r="D53" i="4"/>
  <c r="D79" i="4" s="1"/>
  <c r="M70" i="4"/>
  <c r="U105" i="6"/>
  <c r="U128" i="6"/>
  <c r="J215" i="25"/>
  <c r="L121" i="26"/>
  <c r="H257" i="23"/>
  <c r="H298" i="23"/>
  <c r="D131" i="23"/>
  <c r="D90" i="23"/>
  <c r="I120" i="22"/>
  <c r="K131" i="21"/>
  <c r="K90" i="21"/>
  <c r="G215" i="21"/>
  <c r="G174" i="21"/>
  <c r="P121" i="20"/>
  <c r="D297" i="17"/>
  <c r="D256" i="17"/>
  <c r="K276" i="18"/>
  <c r="E121" i="18"/>
  <c r="G130" i="17"/>
  <c r="G89" i="17"/>
  <c r="F129" i="13"/>
  <c r="F213" i="11"/>
  <c r="J129" i="11"/>
  <c r="J89" i="11"/>
  <c r="U120" i="12"/>
  <c r="R112" i="7"/>
  <c r="I131" i="7"/>
  <c r="R131" i="7" s="1"/>
  <c r="H120" i="10"/>
  <c r="N89" i="7"/>
  <c r="E88" i="7"/>
  <c r="P120" i="8"/>
  <c r="P87" i="8"/>
  <c r="S89" i="7"/>
  <c r="J88" i="7"/>
  <c r="V144" i="6"/>
  <c r="V176" i="6"/>
  <c r="H98" i="8"/>
  <c r="H99" i="8"/>
  <c r="Q79" i="8"/>
  <c r="J33" i="7"/>
  <c r="K153" i="6"/>
  <c r="K181" i="6" s="1"/>
  <c r="K152" i="6"/>
  <c r="K167" i="6"/>
  <c r="D33" i="7"/>
  <c r="M131" i="7" s="1"/>
  <c r="H27" i="7"/>
  <c r="Q92" i="7" s="1"/>
  <c r="P79" i="6"/>
  <c r="P56" i="6"/>
  <c r="H33" i="7"/>
  <c r="Q66" i="7" s="1"/>
  <c r="U71" i="6"/>
  <c r="L154" i="5"/>
  <c r="L104" i="5"/>
  <c r="L55" i="5"/>
  <c r="I22" i="7"/>
  <c r="F105" i="6"/>
  <c r="F128" i="6"/>
  <c r="H144" i="5"/>
  <c r="H173" i="5"/>
  <c r="N152" i="6"/>
  <c r="N167" i="6"/>
  <c r="N153" i="6"/>
  <c r="L124" i="5"/>
  <c r="K45" i="6"/>
  <c r="K72" i="6"/>
  <c r="U120" i="5"/>
  <c r="K45" i="5"/>
  <c r="K71" i="5" s="1"/>
  <c r="K72" i="5"/>
  <c r="V45" i="5"/>
  <c r="M179" i="4"/>
  <c r="M154" i="4"/>
  <c r="Q54" i="4"/>
  <c r="Q153" i="4"/>
  <c r="Q102" i="4"/>
  <c r="M121" i="5"/>
  <c r="Q44" i="4"/>
  <c r="Q70" i="4" s="1"/>
  <c r="Q71" i="4"/>
  <c r="S172" i="4"/>
  <c r="S143" i="4"/>
  <c r="S171" i="4" s="1"/>
  <c r="O71" i="4"/>
  <c r="O172" i="4"/>
  <c r="K153" i="4"/>
  <c r="K54" i="4"/>
  <c r="K102" i="4"/>
  <c r="J78" i="4"/>
  <c r="J55" i="4"/>
  <c r="S121" i="8"/>
  <c r="J120" i="8"/>
  <c r="S47" i="8"/>
  <c r="K297" i="17"/>
  <c r="K256" i="17"/>
  <c r="H128" i="15"/>
  <c r="H88" i="15"/>
  <c r="F131" i="27"/>
  <c r="F90" i="27"/>
  <c r="N121" i="26"/>
  <c r="F131" i="25"/>
  <c r="K199" i="24"/>
  <c r="J215" i="23"/>
  <c r="J174" i="23"/>
  <c r="F131" i="23"/>
  <c r="F90" i="23"/>
  <c r="R275" i="22"/>
  <c r="L198" i="22"/>
  <c r="F298" i="21"/>
  <c r="F257" i="21"/>
  <c r="D131" i="21"/>
  <c r="D90" i="21"/>
  <c r="E47" i="21"/>
  <c r="E298" i="21"/>
  <c r="K215" i="21"/>
  <c r="M276" i="20"/>
  <c r="E255" i="19"/>
  <c r="E296" i="19"/>
  <c r="J274" i="14"/>
  <c r="E88" i="15"/>
  <c r="E128" i="15"/>
  <c r="D171" i="15"/>
  <c r="D212" i="15"/>
  <c r="I296" i="11"/>
  <c r="I255" i="11"/>
  <c r="O120" i="12"/>
  <c r="F198" i="12"/>
  <c r="F296" i="11"/>
  <c r="D47" i="11"/>
  <c r="E120" i="12"/>
  <c r="N47" i="8"/>
  <c r="E66" i="8"/>
  <c r="E67" i="8"/>
  <c r="N67" i="8" s="1"/>
  <c r="R55" i="9"/>
  <c r="I67" i="9"/>
  <c r="R67" i="9" s="1"/>
  <c r="S65" i="7"/>
  <c r="N92" i="7"/>
  <c r="H55" i="9"/>
  <c r="Q60" i="9"/>
  <c r="S88" i="8"/>
  <c r="J87" i="8"/>
  <c r="M125" i="8"/>
  <c r="O173" i="6"/>
  <c r="O144" i="6"/>
  <c r="O172" i="6" s="1"/>
  <c r="D23" i="7"/>
  <c r="O102" i="6"/>
  <c r="O115" i="6"/>
  <c r="O103" i="6"/>
  <c r="O129" i="6" s="1"/>
  <c r="T72" i="6"/>
  <c r="I120" i="9"/>
  <c r="R120" i="9" s="1"/>
  <c r="R125" i="9"/>
  <c r="I181" i="6"/>
  <c r="U79" i="6"/>
  <c r="U56" i="6"/>
  <c r="O172" i="5"/>
  <c r="E144" i="5"/>
  <c r="E176" i="5"/>
  <c r="E121" i="5"/>
  <c r="E94" i="5"/>
  <c r="E120" i="5" s="1"/>
  <c r="V19" i="6"/>
  <c r="V28" i="6" s="1"/>
  <c r="Q72" i="5"/>
  <c r="Q45" i="5"/>
  <c r="Q71" i="5" s="1"/>
  <c r="Q167" i="6"/>
  <c r="Q153" i="6"/>
  <c r="Q181" i="6" s="1"/>
  <c r="Q152" i="6"/>
  <c r="L102" i="5"/>
  <c r="L103" i="5"/>
  <c r="L129" i="5" s="1"/>
  <c r="L115" i="5"/>
  <c r="U121" i="5"/>
  <c r="S92" i="4"/>
  <c r="S119" i="4" s="1"/>
  <c r="S120" i="4"/>
  <c r="U72" i="5"/>
  <c r="U100" i="4"/>
  <c r="U114" i="4"/>
  <c r="U101" i="4"/>
  <c r="U128" i="4" s="1"/>
  <c r="F56" i="5"/>
  <c r="O92" i="4"/>
  <c r="O123" i="4"/>
  <c r="R71" i="4"/>
  <c r="R18" i="4"/>
  <c r="R27" i="4" s="1"/>
  <c r="L175" i="4"/>
  <c r="P54" i="6"/>
  <c r="P80" i="6" s="1"/>
  <c r="Q121" i="5"/>
  <c r="Q94" i="5"/>
  <c r="Q120" i="5" s="1"/>
  <c r="H143" i="4"/>
  <c r="H171" i="4" s="1"/>
  <c r="H172" i="4"/>
  <c r="M120" i="5"/>
  <c r="S65" i="4"/>
  <c r="S52" i="4"/>
  <c r="R172" i="4"/>
  <c r="L53" i="4"/>
  <c r="L79" i="4" s="1"/>
  <c r="J53" i="4"/>
  <c r="J79" i="4" s="1"/>
  <c r="P70" i="4"/>
  <c r="V79" i="4"/>
  <c r="O79" i="4"/>
  <c r="T198" i="12"/>
  <c r="F131" i="7"/>
  <c r="O131" i="7" s="1"/>
  <c r="O112" i="7"/>
  <c r="F132" i="7"/>
  <c r="J215" i="27"/>
  <c r="J174" i="27"/>
  <c r="J131" i="27"/>
  <c r="H121" i="26"/>
  <c r="D298" i="25"/>
  <c r="D257" i="25"/>
  <c r="F275" i="22"/>
  <c r="S198" i="22"/>
  <c r="H47" i="21"/>
  <c r="H298" i="21"/>
  <c r="N275" i="22"/>
  <c r="J131" i="21"/>
  <c r="J90" i="21"/>
  <c r="P199" i="20"/>
  <c r="G296" i="19"/>
  <c r="G255" i="19"/>
  <c r="I121" i="20"/>
  <c r="F199" i="20"/>
  <c r="J130" i="17"/>
  <c r="F120" i="16"/>
  <c r="H120" i="14"/>
  <c r="Q120" i="14"/>
  <c r="P120" i="14"/>
  <c r="K296" i="11"/>
  <c r="K255" i="11"/>
  <c r="D213" i="11"/>
  <c r="E257" i="21"/>
  <c r="N112" i="9"/>
  <c r="E132" i="9"/>
  <c r="N132" i="9" s="1"/>
  <c r="E131" i="9"/>
  <c r="N131" i="9" s="1"/>
  <c r="N79" i="8"/>
  <c r="E99" i="8"/>
  <c r="N99" i="8" s="1"/>
  <c r="E98" i="8"/>
  <c r="O198" i="10"/>
  <c r="M79" i="8"/>
  <c r="D98" i="8"/>
  <c r="D99" i="8"/>
  <c r="J120" i="10"/>
  <c r="I66" i="8"/>
  <c r="R66" i="8" s="1"/>
  <c r="I67" i="8"/>
  <c r="R67" i="8" s="1"/>
  <c r="R47" i="8"/>
  <c r="E47" i="7"/>
  <c r="N52" i="7"/>
  <c r="U155" i="6"/>
  <c r="U180" i="6"/>
  <c r="I125" i="7"/>
  <c r="R125" i="7" s="1"/>
  <c r="R126" i="7"/>
  <c r="N119" i="7"/>
  <c r="E79" i="6"/>
  <c r="E56" i="6"/>
  <c r="S124" i="5"/>
  <c r="P103" i="6"/>
  <c r="P129" i="6" s="1"/>
  <c r="Q115" i="6"/>
  <c r="Q103" i="6"/>
  <c r="Q129" i="6" s="1"/>
  <c r="Q102" i="6"/>
  <c r="D172" i="5"/>
  <c r="D120" i="5"/>
  <c r="T71" i="5"/>
  <c r="E173" i="5"/>
  <c r="D45" i="6"/>
  <c r="D71" i="6" s="1"/>
  <c r="U28" i="5"/>
  <c r="U129" i="5" s="1"/>
  <c r="U27" i="5"/>
  <c r="N66" i="5"/>
  <c r="M129" i="5"/>
  <c r="F79" i="5"/>
  <c r="T153" i="4"/>
  <c r="T102" i="4"/>
  <c r="T54" i="4"/>
  <c r="F45" i="5"/>
  <c r="P121" i="5"/>
  <c r="O94" i="5"/>
  <c r="O120" i="5" s="1"/>
  <c r="V143" i="4"/>
  <c r="V171" i="4" s="1"/>
  <c r="V172" i="4"/>
  <c r="U143" i="4"/>
  <c r="U171" i="4" s="1"/>
  <c r="I114" i="4"/>
  <c r="I100" i="4"/>
  <c r="I101" i="4"/>
  <c r="R74" i="4"/>
  <c r="R44" i="4"/>
  <c r="U71" i="5"/>
  <c r="V123" i="4"/>
  <c r="L55" i="4"/>
  <c r="L78" i="4"/>
  <c r="L81" i="4" s="1"/>
  <c r="V78" i="4"/>
  <c r="V81" i="4" s="1"/>
  <c r="V55" i="4"/>
  <c r="G127" i="4"/>
  <c r="G103" i="4"/>
  <c r="K90" i="25"/>
  <c r="K131" i="25"/>
  <c r="D87" i="7"/>
  <c r="M88" i="7"/>
  <c r="I213" i="19"/>
  <c r="I172" i="19"/>
  <c r="E215" i="27"/>
  <c r="E174" i="27"/>
  <c r="N276" i="26"/>
  <c r="V121" i="26"/>
  <c r="Q121" i="26"/>
  <c r="D47" i="23"/>
  <c r="D215" i="23"/>
  <c r="F198" i="22"/>
  <c r="Q198" i="22"/>
  <c r="T198" i="22"/>
  <c r="E120" i="22"/>
  <c r="K199" i="20"/>
  <c r="I276" i="20"/>
  <c r="O121" i="20"/>
  <c r="D255" i="19"/>
  <c r="D296" i="19"/>
  <c r="F130" i="17"/>
  <c r="F89" i="17"/>
  <c r="I297" i="17"/>
  <c r="I256" i="17"/>
  <c r="V120" i="16"/>
  <c r="F88" i="15"/>
  <c r="F128" i="15"/>
  <c r="K212" i="15"/>
  <c r="I213" i="13"/>
  <c r="I172" i="13"/>
  <c r="D129" i="13"/>
  <c r="D89" i="13"/>
  <c r="J198" i="12"/>
  <c r="D296" i="11"/>
  <c r="K172" i="11"/>
  <c r="O121" i="8"/>
  <c r="F22" i="8"/>
  <c r="O87" i="8" s="1"/>
  <c r="L275" i="10"/>
  <c r="S60" i="9"/>
  <c r="J55" i="9"/>
  <c r="Q125" i="7"/>
  <c r="S79" i="8"/>
  <c r="S79" i="9"/>
  <c r="J99" i="9"/>
  <c r="S99" i="9" s="1"/>
  <c r="J98" i="9"/>
  <c r="S98" i="9" s="1"/>
  <c r="Q131" i="7"/>
  <c r="J22" i="8"/>
  <c r="J34" i="8" s="1"/>
  <c r="S56" i="8"/>
  <c r="M47" i="7"/>
  <c r="D66" i="7"/>
  <c r="E155" i="6"/>
  <c r="E180" i="6"/>
  <c r="N87" i="8"/>
  <c r="V94" i="6"/>
  <c r="V121" i="6"/>
  <c r="T92" i="7"/>
  <c r="L180" i="6"/>
  <c r="L155" i="6"/>
  <c r="O92" i="8"/>
  <c r="T172" i="6"/>
  <c r="K128" i="6"/>
  <c r="K105" i="6"/>
  <c r="J120" i="5"/>
  <c r="J103" i="5"/>
  <c r="J129" i="5" s="1"/>
  <c r="D121" i="6"/>
  <c r="J125" i="7"/>
  <c r="S125" i="7" s="1"/>
  <c r="S126" i="7"/>
  <c r="U155" i="5"/>
  <c r="U180" i="5"/>
  <c r="D71" i="5"/>
  <c r="O102" i="5"/>
  <c r="O115" i="5"/>
  <c r="S176" i="5"/>
  <c r="L27" i="6"/>
  <c r="L28" i="6"/>
  <c r="E100" i="4"/>
  <c r="E114" i="4"/>
  <c r="E101" i="4"/>
  <c r="E128" i="4" s="1"/>
  <c r="N79" i="5"/>
  <c r="N56" i="5"/>
  <c r="M128" i="5"/>
  <c r="M105" i="5"/>
  <c r="R119" i="4"/>
  <c r="D153" i="4"/>
  <c r="D102" i="4"/>
  <c r="D54" i="4"/>
  <c r="T94" i="5"/>
  <c r="L179" i="4"/>
  <c r="L154" i="4"/>
  <c r="V103" i="4"/>
  <c r="V130" i="4" s="1"/>
  <c r="I115" i="6"/>
  <c r="P120" i="5"/>
  <c r="Q52" i="4"/>
  <c r="Q65" i="4"/>
  <c r="Q53" i="4"/>
  <c r="Q79" i="4" s="1"/>
  <c r="K44" i="4"/>
  <c r="K71" i="4"/>
  <c r="F123" i="4"/>
  <c r="J154" i="4"/>
  <c r="J179" i="4"/>
  <c r="V70" i="4"/>
  <c r="V65" i="4"/>
  <c r="K19" i="3"/>
  <c r="D215" i="27"/>
  <c r="D174" i="27"/>
  <c r="G298" i="27"/>
  <c r="G257" i="27"/>
  <c r="I257" i="23"/>
  <c r="I298" i="23"/>
  <c r="K215" i="23"/>
  <c r="K174" i="23"/>
  <c r="G131" i="23"/>
  <c r="G90" i="23"/>
  <c r="J47" i="23"/>
  <c r="J131" i="23"/>
  <c r="D275" i="22"/>
  <c r="F88" i="19"/>
  <c r="F129" i="19"/>
  <c r="D276" i="18"/>
  <c r="E173" i="17"/>
  <c r="E214" i="17"/>
  <c r="D121" i="18"/>
  <c r="K275" i="16"/>
  <c r="G296" i="13"/>
  <c r="G255" i="13"/>
  <c r="V197" i="14"/>
  <c r="V274" i="14"/>
  <c r="T120" i="12"/>
  <c r="H213" i="11"/>
  <c r="O275" i="10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34" i="9"/>
  <c r="O56" i="8"/>
  <c r="F55" i="8"/>
  <c r="F67" i="8" s="1"/>
  <c r="K33" i="9"/>
  <c r="K46" i="15" s="1"/>
  <c r="T79" i="9"/>
  <c r="J257" i="23"/>
  <c r="S130" i="7"/>
  <c r="G34" i="8"/>
  <c r="P14" i="8" s="1"/>
  <c r="P79" i="8"/>
  <c r="Q63" i="7"/>
  <c r="H60" i="7"/>
  <c r="N28" i="6"/>
  <c r="N27" i="6"/>
  <c r="R48" i="7"/>
  <c r="I47" i="7"/>
  <c r="N94" i="7"/>
  <c r="Q144" i="6"/>
  <c r="Q172" i="6" s="1"/>
  <c r="Q176" i="6"/>
  <c r="F79" i="7"/>
  <c r="F173" i="17" s="1"/>
  <c r="O81" i="7"/>
  <c r="N58" i="7"/>
  <c r="E56" i="7"/>
  <c r="F92" i="7"/>
  <c r="F94" i="6"/>
  <c r="F121" i="6"/>
  <c r="P119" i="7"/>
  <c r="M173" i="5"/>
  <c r="T121" i="9"/>
  <c r="K22" i="9"/>
  <c r="T28" i="6"/>
  <c r="T181" i="6" s="1"/>
  <c r="T27" i="6"/>
  <c r="F120" i="5"/>
  <c r="F103" i="5"/>
  <c r="F129" i="5" s="1"/>
  <c r="S115" i="6"/>
  <c r="S72" i="5"/>
  <c r="S45" i="5"/>
  <c r="S71" i="5" s="1"/>
  <c r="G121" i="6"/>
  <c r="S53" i="5"/>
  <c r="S66" i="5"/>
  <c r="M172" i="4"/>
  <c r="M143" i="4"/>
  <c r="M102" i="6"/>
  <c r="M115" i="6"/>
  <c r="G72" i="6"/>
  <c r="E28" i="5"/>
  <c r="E27" i="5"/>
  <c r="G153" i="4"/>
  <c r="G54" i="4"/>
  <c r="G102" i="4"/>
  <c r="N80" i="5"/>
  <c r="Q101" i="4"/>
  <c r="Q128" i="4" s="1"/>
  <c r="Q114" i="4"/>
  <c r="Q100" i="4"/>
  <c r="S71" i="4"/>
  <c r="S44" i="4"/>
  <c r="S70" i="4" s="1"/>
  <c r="L119" i="4"/>
  <c r="I105" i="6"/>
  <c r="J66" i="5"/>
  <c r="J54" i="5"/>
  <c r="J80" i="5" s="1"/>
  <c r="J53" i="5"/>
  <c r="P128" i="5"/>
  <c r="P105" i="5"/>
  <c r="F143" i="4"/>
  <c r="F171" i="4" s="1"/>
  <c r="F172" i="4"/>
  <c r="G120" i="4"/>
  <c r="G92" i="4"/>
  <c r="E172" i="4"/>
  <c r="E143" i="4"/>
  <c r="E171" i="4" s="1"/>
  <c r="L100" i="4"/>
  <c r="L114" i="4"/>
  <c r="L101" i="4"/>
  <c r="L128" i="4" s="1"/>
  <c r="N102" i="4"/>
  <c r="N153" i="4"/>
  <c r="N54" i="4"/>
  <c r="U166" i="4"/>
  <c r="U152" i="4"/>
  <c r="U180" i="4" s="1"/>
  <c r="U151" i="4"/>
  <c r="J152" i="4"/>
  <c r="J180" i="4" s="1"/>
  <c r="G65" i="4"/>
  <c r="F65" i="4"/>
  <c r="T154" i="4"/>
  <c r="T179" i="4"/>
  <c r="G114" i="4"/>
  <c r="S19" i="8" l="1"/>
  <c r="S34" i="8"/>
  <c r="S28" i="8"/>
  <c r="S31" i="8"/>
  <c r="S17" i="8"/>
  <c r="S25" i="8"/>
  <c r="J33" i="8"/>
  <c r="S29" i="8"/>
  <c r="S15" i="8"/>
  <c r="S20" i="8"/>
  <c r="S24" i="8"/>
  <c r="S26" i="8"/>
  <c r="S18" i="8"/>
  <c r="S27" i="8"/>
  <c r="S32" i="8"/>
  <c r="S67" i="8"/>
  <c r="S30" i="8"/>
  <c r="S16" i="8"/>
  <c r="S21" i="8"/>
  <c r="S14" i="8"/>
  <c r="S23" i="8"/>
  <c r="M21" i="8"/>
  <c r="M34" i="8"/>
  <c r="D33" i="8"/>
  <c r="M25" i="8"/>
  <c r="M24" i="8"/>
  <c r="M29" i="8"/>
  <c r="M17" i="8"/>
  <c r="M26" i="8"/>
  <c r="M16" i="8"/>
  <c r="M18" i="8"/>
  <c r="M31" i="8"/>
  <c r="M28" i="8"/>
  <c r="M32" i="8"/>
  <c r="M15" i="8"/>
  <c r="M30" i="8"/>
  <c r="M20" i="8"/>
  <c r="M19" i="8"/>
  <c r="M14" i="8"/>
  <c r="M23" i="8"/>
  <c r="M27" i="8"/>
  <c r="M132" i="8"/>
  <c r="M128" i="6"/>
  <c r="M105" i="6"/>
  <c r="L154" i="6"/>
  <c r="L104" i="6"/>
  <c r="L55" i="6"/>
  <c r="E66" i="7"/>
  <c r="N47" i="7"/>
  <c r="Q180" i="6"/>
  <c r="Q155" i="6"/>
  <c r="H172" i="5"/>
  <c r="H153" i="5"/>
  <c r="H181" i="5" s="1"/>
  <c r="M67" i="8"/>
  <c r="Q56" i="6"/>
  <c r="Q79" i="6"/>
  <c r="N55" i="4"/>
  <c r="N78" i="4"/>
  <c r="N80" i="6"/>
  <c r="J120" i="7"/>
  <c r="S121" i="7"/>
  <c r="G154" i="4"/>
  <c r="G179" i="4"/>
  <c r="M127" i="4"/>
  <c r="M130" i="4" s="1"/>
  <c r="M103" i="4"/>
  <c r="D79" i="5"/>
  <c r="D56" i="5"/>
  <c r="R56" i="7"/>
  <c r="I55" i="7"/>
  <c r="R55" i="7" s="1"/>
  <c r="T55" i="9"/>
  <c r="K56" i="5"/>
  <c r="K79" i="5"/>
  <c r="L128" i="6"/>
  <c r="F81" i="4"/>
  <c r="N179" i="4"/>
  <c r="N154" i="4"/>
  <c r="N155" i="5"/>
  <c r="N180" i="5"/>
  <c r="T120" i="7"/>
  <c r="K132" i="7"/>
  <c r="T172" i="5"/>
  <c r="T153" i="5"/>
  <c r="T181" i="5" s="1"/>
  <c r="G155" i="6"/>
  <c r="G180" i="6"/>
  <c r="M103" i="6"/>
  <c r="M129" i="6" s="1"/>
  <c r="N154" i="6"/>
  <c r="N104" i="6"/>
  <c r="N55" i="6"/>
  <c r="N88" i="7"/>
  <c r="E87" i="7"/>
  <c r="N87" i="7" s="1"/>
  <c r="G154" i="6"/>
  <c r="G104" i="6"/>
  <c r="G55" i="6"/>
  <c r="M66" i="8"/>
  <c r="J154" i="6"/>
  <c r="J104" i="6"/>
  <c r="J55" i="6"/>
  <c r="M87" i="9"/>
  <c r="D99" i="9"/>
  <c r="M99" i="9" s="1"/>
  <c r="T56" i="6"/>
  <c r="T79" i="6"/>
  <c r="G152" i="4"/>
  <c r="G180" i="4" s="1"/>
  <c r="T66" i="9"/>
  <c r="G70" i="4"/>
  <c r="G53" i="4"/>
  <c r="G79" i="4" s="1"/>
  <c r="K54" i="5"/>
  <c r="K80" i="5" s="1"/>
  <c r="V80" i="6"/>
  <c r="T87" i="9"/>
  <c r="N153" i="5"/>
  <c r="N181" i="5" s="1"/>
  <c r="L70" i="4"/>
  <c r="G153" i="6"/>
  <c r="G181" i="6" s="1"/>
  <c r="E131" i="7"/>
  <c r="N112" i="7"/>
  <c r="E132" i="7"/>
  <c r="E256" i="17"/>
  <c r="M171" i="4"/>
  <c r="M152" i="4"/>
  <c r="M180" i="4" s="1"/>
  <c r="S120" i="8"/>
  <c r="J132" i="8"/>
  <c r="S132" i="8" s="1"/>
  <c r="K180" i="6"/>
  <c r="K155" i="6"/>
  <c r="F89" i="13"/>
  <c r="R120" i="7"/>
  <c r="S28" i="5"/>
  <c r="S120" i="5"/>
  <c r="P179" i="4"/>
  <c r="P154" i="4"/>
  <c r="T80" i="6"/>
  <c r="O87" i="9"/>
  <c r="F99" i="9"/>
  <c r="O99" i="9" s="1"/>
  <c r="I79" i="6"/>
  <c r="I56" i="6"/>
  <c r="I154" i="6"/>
  <c r="I104" i="6"/>
  <c r="I55" i="6"/>
  <c r="L171" i="4"/>
  <c r="L152" i="4"/>
  <c r="L180" i="4" s="1"/>
  <c r="R154" i="5"/>
  <c r="R104" i="5"/>
  <c r="R55" i="5"/>
  <c r="R128" i="5"/>
  <c r="R105" i="5"/>
  <c r="D98" i="7"/>
  <c r="M79" i="7"/>
  <c r="D99" i="7"/>
  <c r="R79" i="5"/>
  <c r="R56" i="5"/>
  <c r="H56" i="5"/>
  <c r="H79" i="5"/>
  <c r="H128" i="6"/>
  <c r="H105" i="6"/>
  <c r="D67" i="9"/>
  <c r="M67" i="9" s="1"/>
  <c r="M55" i="9"/>
  <c r="F154" i="4"/>
  <c r="F179" i="4"/>
  <c r="T105" i="6"/>
  <c r="T128" i="6"/>
  <c r="H22" i="7"/>
  <c r="Q56" i="7"/>
  <c r="L103" i="4"/>
  <c r="L127" i="4"/>
  <c r="L130" i="4" s="1"/>
  <c r="Q60" i="7"/>
  <c r="H55" i="7"/>
  <c r="T120" i="5"/>
  <c r="T103" i="5"/>
  <c r="T129" i="5" s="1"/>
  <c r="O128" i="5"/>
  <c r="O105" i="5"/>
  <c r="Q105" i="6"/>
  <c r="Q128" i="6"/>
  <c r="G155" i="5"/>
  <c r="D154" i="4"/>
  <c r="D179" i="4"/>
  <c r="E99" i="9"/>
  <c r="N99" i="9" s="1"/>
  <c r="G56" i="6"/>
  <c r="G79" i="6"/>
  <c r="V56" i="6"/>
  <c r="V79" i="6"/>
  <c r="N129" i="6"/>
  <c r="Q79" i="7"/>
  <c r="H98" i="7"/>
  <c r="H99" i="7"/>
  <c r="T80" i="5"/>
  <c r="R80" i="5"/>
  <c r="G81" i="4"/>
  <c r="H54" i="5"/>
  <c r="H80" i="5" s="1"/>
  <c r="J105" i="6"/>
  <c r="F152" i="4"/>
  <c r="F180" i="4" s="1"/>
  <c r="O179" i="4"/>
  <c r="O154" i="4"/>
  <c r="T103" i="6"/>
  <c r="T129" i="6" s="1"/>
  <c r="G255" i="11"/>
  <c r="Q127" i="4"/>
  <c r="Q130" i="4" s="1"/>
  <c r="Q103" i="4"/>
  <c r="O103" i="5"/>
  <c r="O129" i="5" s="1"/>
  <c r="G130" i="4"/>
  <c r="O119" i="4"/>
  <c r="O101" i="4"/>
  <c r="O128" i="4" s="1"/>
  <c r="O105" i="6"/>
  <c r="O128" i="6"/>
  <c r="J47" i="11"/>
  <c r="Q128" i="5"/>
  <c r="Q105" i="5"/>
  <c r="Q79" i="5"/>
  <c r="Q56" i="5"/>
  <c r="R87" i="7"/>
  <c r="G180" i="5"/>
  <c r="I80" i="6"/>
  <c r="D152" i="4"/>
  <c r="D180" i="4" s="1"/>
  <c r="F56" i="6"/>
  <c r="F79" i="6"/>
  <c r="R81" i="4"/>
  <c r="K103" i="4"/>
  <c r="K127" i="4"/>
  <c r="K130" i="4" s="1"/>
  <c r="M79" i="6"/>
  <c r="M56" i="6"/>
  <c r="G80" i="6"/>
  <c r="J128" i="6"/>
  <c r="O152" i="4"/>
  <c r="O180" i="4" s="1"/>
  <c r="S79" i="5"/>
  <c r="S56" i="5"/>
  <c r="F71" i="5"/>
  <c r="F54" i="5"/>
  <c r="F80" i="5" s="1"/>
  <c r="D22" i="7"/>
  <c r="J81" i="4"/>
  <c r="V71" i="5"/>
  <c r="V54" i="5"/>
  <c r="V80" i="5" s="1"/>
  <c r="I132" i="7"/>
  <c r="M55" i="4"/>
  <c r="M78" i="4"/>
  <c r="Q103" i="5"/>
  <c r="Q129" i="5" s="1"/>
  <c r="D132" i="7"/>
  <c r="Q54" i="5"/>
  <c r="Q80" i="5" s="1"/>
  <c r="M56" i="5"/>
  <c r="M79" i="5"/>
  <c r="M60" i="7"/>
  <c r="R180" i="4"/>
  <c r="F47" i="11"/>
  <c r="N154" i="5"/>
  <c r="N104" i="5"/>
  <c r="N55" i="5"/>
  <c r="D173" i="17"/>
  <c r="M54" i="6"/>
  <c r="M80" i="6" s="1"/>
  <c r="N105" i="6"/>
  <c r="N128" i="6"/>
  <c r="T79" i="5"/>
  <c r="T56" i="5"/>
  <c r="V154" i="4"/>
  <c r="V179" i="4"/>
  <c r="H127" i="4"/>
  <c r="H103" i="4"/>
  <c r="S66" i="7"/>
  <c r="G119" i="4"/>
  <c r="G101" i="4"/>
  <c r="G128" i="4" s="1"/>
  <c r="S54" i="5"/>
  <c r="S80" i="5" s="1"/>
  <c r="F120" i="6"/>
  <c r="F103" i="6"/>
  <c r="F129" i="6" s="1"/>
  <c r="V120" i="6"/>
  <c r="V103" i="6"/>
  <c r="V129" i="6" s="1"/>
  <c r="M99" i="8"/>
  <c r="G99" i="7"/>
  <c r="F128" i="4"/>
  <c r="Q88" i="7"/>
  <c r="H87" i="7"/>
  <c r="Q87" i="7" s="1"/>
  <c r="G66" i="7"/>
  <c r="P47" i="7"/>
  <c r="D128" i="5"/>
  <c r="D105" i="5"/>
  <c r="V152" i="4"/>
  <c r="V180" i="4" s="1"/>
  <c r="E80" i="5"/>
  <c r="Q120" i="8"/>
  <c r="Q55" i="8"/>
  <c r="H34" i="8"/>
  <c r="K155" i="5"/>
  <c r="K180" i="5"/>
  <c r="T22" i="7"/>
  <c r="T87" i="7"/>
  <c r="K34" i="7"/>
  <c r="O92" i="7"/>
  <c r="F87" i="7"/>
  <c r="P32" i="8"/>
  <c r="P16" i="8"/>
  <c r="P99" i="8"/>
  <c r="G33" i="8"/>
  <c r="P24" i="8"/>
  <c r="P25" i="8"/>
  <c r="P34" i="8"/>
  <c r="P30" i="8"/>
  <c r="P20" i="8"/>
  <c r="P26" i="8"/>
  <c r="P28" i="8"/>
  <c r="P19" i="8"/>
  <c r="P18" i="8"/>
  <c r="P132" i="8"/>
  <c r="P23" i="8"/>
  <c r="P17" i="8"/>
  <c r="P31" i="8"/>
  <c r="P29" i="8"/>
  <c r="P15" i="8"/>
  <c r="P21" i="8"/>
  <c r="S55" i="9"/>
  <c r="J67" i="9"/>
  <c r="S67" i="9" s="1"/>
  <c r="M98" i="8"/>
  <c r="D172" i="13"/>
  <c r="S53" i="4"/>
  <c r="S79" i="4" s="1"/>
  <c r="E89" i="13"/>
  <c r="D56" i="6"/>
  <c r="D79" i="6"/>
  <c r="R154" i="4"/>
  <c r="R179" i="4"/>
  <c r="M56" i="7"/>
  <c r="D55" i="7"/>
  <c r="J171" i="15"/>
  <c r="S154" i="6"/>
  <c r="S104" i="6"/>
  <c r="S55" i="6"/>
  <c r="S180" i="6"/>
  <c r="S56" i="6"/>
  <c r="S155" i="6"/>
  <c r="S79" i="6"/>
  <c r="S105" i="6"/>
  <c r="S128" i="6"/>
  <c r="M87" i="8"/>
  <c r="T130" i="4"/>
  <c r="E33" i="7"/>
  <c r="E34" i="7"/>
  <c r="I89" i="13"/>
  <c r="S172" i="5"/>
  <c r="D129" i="5"/>
  <c r="E89" i="17"/>
  <c r="V154" i="6"/>
  <c r="V104" i="6"/>
  <c r="V55" i="6"/>
  <c r="E55" i="7"/>
  <c r="N55" i="7" s="1"/>
  <c r="N56" i="7"/>
  <c r="S78" i="4"/>
  <c r="S55" i="4"/>
  <c r="U103" i="4"/>
  <c r="U127" i="4"/>
  <c r="U130" i="4" s="1"/>
  <c r="H47" i="11"/>
  <c r="Q99" i="8"/>
  <c r="I27" i="4"/>
  <c r="I79" i="4" s="1"/>
  <c r="I70" i="4"/>
  <c r="S154" i="4"/>
  <c r="S179" i="4"/>
  <c r="T66" i="8"/>
  <c r="K89" i="13"/>
  <c r="I81" i="4"/>
  <c r="K119" i="4"/>
  <c r="L172" i="6"/>
  <c r="L153" i="6"/>
  <c r="L181" i="6" s="1"/>
  <c r="D54" i="6"/>
  <c r="D80" i="6" s="1"/>
  <c r="O55" i="5"/>
  <c r="O154" i="5"/>
  <c r="O104" i="5"/>
  <c r="O120" i="6"/>
  <c r="V71" i="6"/>
  <c r="R172" i="6"/>
  <c r="R153" i="6"/>
  <c r="R181" i="6" s="1"/>
  <c r="O180" i="5"/>
  <c r="O155" i="5"/>
  <c r="N119" i="4"/>
  <c r="N101" i="4"/>
  <c r="N128" i="4" s="1"/>
  <c r="E79" i="5"/>
  <c r="E56" i="5"/>
  <c r="U80" i="5"/>
  <c r="G105" i="6"/>
  <c r="G128" i="6"/>
  <c r="E172" i="5"/>
  <c r="E153" i="5"/>
  <c r="E181" i="5" s="1"/>
  <c r="H172" i="13"/>
  <c r="N105" i="5"/>
  <c r="N128" i="5"/>
  <c r="Q154" i="4"/>
  <c r="Q179" i="4"/>
  <c r="I172" i="11"/>
  <c r="R98" i="7"/>
  <c r="L79" i="6"/>
  <c r="L56" i="6"/>
  <c r="N79" i="7"/>
  <c r="E99" i="7"/>
  <c r="E98" i="7"/>
  <c r="E78" i="4"/>
  <c r="E81" i="4" s="1"/>
  <c r="E55" i="4"/>
  <c r="E103" i="5"/>
  <c r="E129" i="5" s="1"/>
  <c r="O56" i="7"/>
  <c r="F55" i="7"/>
  <c r="U120" i="6"/>
  <c r="U103" i="6"/>
  <c r="U129" i="6" s="1"/>
  <c r="U172" i="5"/>
  <c r="U153" i="5"/>
  <c r="U181" i="5" s="1"/>
  <c r="P27" i="8"/>
  <c r="J132" i="7"/>
  <c r="J131" i="7"/>
  <c r="S112" i="7"/>
  <c r="J256" i="17"/>
  <c r="H154" i="4"/>
  <c r="H179" i="4"/>
  <c r="O181" i="5"/>
  <c r="E172" i="6"/>
  <c r="E153" i="6"/>
  <c r="E181" i="6" s="1"/>
  <c r="G129" i="6"/>
  <c r="G33" i="7"/>
  <c r="G34" i="7"/>
  <c r="P27" i="7" s="1"/>
  <c r="P79" i="7"/>
  <c r="L120" i="6"/>
  <c r="L103" i="6"/>
  <c r="L129" i="6" s="1"/>
  <c r="K70" i="4"/>
  <c r="K53" i="4"/>
  <c r="K79" i="4" s="1"/>
  <c r="M66" i="7"/>
  <c r="D89" i="11"/>
  <c r="O120" i="8"/>
  <c r="F34" i="8"/>
  <c r="O99" i="8" s="1"/>
  <c r="K71" i="6"/>
  <c r="K54" i="6"/>
  <c r="K80" i="6" s="1"/>
  <c r="R127" i="4"/>
  <c r="R130" i="4" s="1"/>
  <c r="R103" i="4"/>
  <c r="E120" i="6"/>
  <c r="E103" i="6"/>
  <c r="E129" i="6" s="1"/>
  <c r="L80" i="6"/>
  <c r="P66" i="9"/>
  <c r="G88" i="15"/>
  <c r="E105" i="5"/>
  <c r="E128" i="5"/>
  <c r="J98" i="7"/>
  <c r="S79" i="7"/>
  <c r="H152" i="4"/>
  <c r="H180" i="4" s="1"/>
  <c r="J155" i="5"/>
  <c r="J180" i="5"/>
  <c r="E154" i="4"/>
  <c r="E179" i="4"/>
  <c r="H55" i="5"/>
  <c r="H154" i="5"/>
  <c r="H104" i="5"/>
  <c r="D105" i="6"/>
  <c r="D128" i="6"/>
  <c r="S120" i="6"/>
  <c r="S103" i="6"/>
  <c r="S129" i="6" s="1"/>
  <c r="U79" i="5"/>
  <c r="U56" i="5"/>
  <c r="U154" i="4"/>
  <c r="U179" i="4"/>
  <c r="R171" i="4"/>
  <c r="F98" i="7"/>
  <c r="O79" i="7"/>
  <c r="F99" i="7"/>
  <c r="R70" i="4"/>
  <c r="R53" i="4"/>
  <c r="R79" i="4" s="1"/>
  <c r="S87" i="8"/>
  <c r="J99" i="8"/>
  <c r="S99" i="8" s="1"/>
  <c r="F255" i="11"/>
  <c r="V172" i="6"/>
  <c r="V153" i="6"/>
  <c r="V181" i="6" s="1"/>
  <c r="R128" i="4"/>
  <c r="P60" i="7"/>
  <c r="G55" i="7"/>
  <c r="G67" i="7" s="1"/>
  <c r="P67" i="7" s="1"/>
  <c r="M92" i="7"/>
  <c r="O54" i="6"/>
  <c r="O80" i="6" s="1"/>
  <c r="O71" i="5"/>
  <c r="O54" i="5"/>
  <c r="O80" i="5" s="1"/>
  <c r="P127" i="4"/>
  <c r="P103" i="4"/>
  <c r="G22" i="7"/>
  <c r="P67" i="8"/>
  <c r="R120" i="6"/>
  <c r="R103" i="6"/>
  <c r="R129" i="6" s="1"/>
  <c r="E254" i="15"/>
  <c r="F154" i="6"/>
  <c r="F104" i="6"/>
  <c r="F55" i="6"/>
  <c r="E152" i="4"/>
  <c r="E180" i="4" s="1"/>
  <c r="D103" i="6"/>
  <c r="D129" i="6" s="1"/>
  <c r="O153" i="6"/>
  <c r="O181" i="6" s="1"/>
  <c r="Q154" i="6"/>
  <c r="Q104" i="6"/>
  <c r="Q55" i="6"/>
  <c r="U172" i="6"/>
  <c r="U153" i="6"/>
  <c r="U181" i="6" s="1"/>
  <c r="J56" i="5"/>
  <c r="J79" i="5"/>
  <c r="E55" i="5"/>
  <c r="E154" i="5"/>
  <c r="E104" i="5"/>
  <c r="U154" i="5"/>
  <c r="U104" i="5"/>
  <c r="U55" i="5"/>
  <c r="U105" i="5"/>
  <c r="U128" i="5"/>
  <c r="N181" i="6"/>
  <c r="I155" i="6"/>
  <c r="S88" i="7"/>
  <c r="J87" i="7"/>
  <c r="K120" i="6"/>
  <c r="K103" i="6"/>
  <c r="K129" i="6" s="1"/>
  <c r="T55" i="7"/>
  <c r="K67" i="7"/>
  <c r="T67" i="7" s="1"/>
  <c r="O56" i="6"/>
  <c r="O79" i="6"/>
  <c r="M180" i="6"/>
  <c r="M155" i="6"/>
  <c r="M125" i="7"/>
  <c r="P66" i="8"/>
  <c r="T67" i="9"/>
  <c r="E172" i="13"/>
  <c r="P180" i="5"/>
  <c r="P155" i="5"/>
  <c r="G172" i="5"/>
  <c r="G153" i="5"/>
  <c r="G181" i="5" s="1"/>
  <c r="D154" i="5"/>
  <c r="D104" i="5"/>
  <c r="D55" i="5"/>
  <c r="I129" i="6"/>
  <c r="N120" i="7"/>
  <c r="K34" i="9"/>
  <c r="T99" i="9" s="1"/>
  <c r="Q55" i="4"/>
  <c r="Q78" i="4"/>
  <c r="I180" i="6"/>
  <c r="M120" i="8"/>
  <c r="M22" i="8"/>
  <c r="I119" i="4"/>
  <c r="E155" i="5"/>
  <c r="P101" i="4"/>
  <c r="P128" i="4" s="1"/>
  <c r="H54" i="6"/>
  <c r="H80" i="6" s="1"/>
  <c r="K171" i="4"/>
  <c r="H171" i="15"/>
  <c r="Q98" i="9"/>
  <c r="I34" i="7"/>
  <c r="R22" i="7" s="1"/>
  <c r="N34" i="8"/>
  <c r="N24" i="8"/>
  <c r="N26" i="8"/>
  <c r="N29" i="8"/>
  <c r="N19" i="8"/>
  <c r="N25" i="8"/>
  <c r="E33" i="8"/>
  <c r="N30" i="8"/>
  <c r="N15" i="8"/>
  <c r="N18" i="8"/>
  <c r="N20" i="8"/>
  <c r="N27" i="8"/>
  <c r="N32" i="8"/>
  <c r="N31" i="8"/>
  <c r="N28" i="8"/>
  <c r="N23" i="8"/>
  <c r="N16" i="8"/>
  <c r="N21" i="8"/>
  <c r="N17" i="8"/>
  <c r="N132" i="8"/>
  <c r="R181" i="5"/>
  <c r="P71" i="5"/>
  <c r="P54" i="5"/>
  <c r="P80" i="5" s="1"/>
  <c r="O180" i="6"/>
  <c r="O155" i="6"/>
  <c r="S101" i="4"/>
  <c r="S128" i="4" s="1"/>
  <c r="T120" i="9"/>
  <c r="K132" i="9"/>
  <c r="T132" i="9" s="1"/>
  <c r="J22" i="7"/>
  <c r="S56" i="7"/>
  <c r="T154" i="6"/>
  <c r="T104" i="6"/>
  <c r="T55" i="6"/>
  <c r="T33" i="9"/>
  <c r="T98" i="9"/>
  <c r="T131" i="9"/>
  <c r="E103" i="4"/>
  <c r="E127" i="4"/>
  <c r="E130" i="4" s="1"/>
  <c r="I103" i="4"/>
  <c r="I127" i="4"/>
  <c r="I130" i="4" s="1"/>
  <c r="N180" i="6"/>
  <c r="N155" i="6"/>
  <c r="P22" i="8"/>
  <c r="R131" i="9"/>
  <c r="I254" i="15"/>
  <c r="Q120" i="7"/>
  <c r="H132" i="7"/>
  <c r="J254" i="15"/>
  <c r="S131" i="9"/>
  <c r="T78" i="4"/>
  <c r="T81" i="4" s="1"/>
  <c r="T55" i="4"/>
  <c r="E180" i="5"/>
  <c r="G56" i="5"/>
  <c r="G79" i="5"/>
  <c r="T180" i="6"/>
  <c r="E171" i="15"/>
  <c r="U78" i="4"/>
  <c r="U81" i="4" s="1"/>
  <c r="U55" i="4"/>
  <c r="O120" i="7"/>
  <c r="D80" i="5"/>
  <c r="F67" i="9"/>
  <c r="O67" i="9" s="1"/>
  <c r="O55" i="9"/>
  <c r="T171" i="4"/>
  <c r="T152" i="4"/>
  <c r="T180" i="4" s="1"/>
  <c r="J155" i="6"/>
  <c r="R180" i="5"/>
  <c r="R155" i="5"/>
  <c r="J119" i="4"/>
  <c r="J101" i="4"/>
  <c r="J128" i="4" s="1"/>
  <c r="J79" i="6"/>
  <c r="J56" i="6"/>
  <c r="J172" i="6"/>
  <c r="J153" i="6"/>
  <c r="J181" i="6" s="1"/>
  <c r="R47" i="7"/>
  <c r="I66" i="7"/>
  <c r="I67" i="7"/>
  <c r="I89" i="17"/>
  <c r="O55" i="8"/>
  <c r="S22" i="8"/>
  <c r="S55" i="8"/>
  <c r="L128" i="5"/>
  <c r="L105" i="5"/>
  <c r="Q55" i="9"/>
  <c r="H67" i="9"/>
  <c r="Q67" i="9" s="1"/>
  <c r="I154" i="4"/>
  <c r="I179" i="4"/>
  <c r="O125" i="7"/>
  <c r="F22" i="7"/>
  <c r="I132" i="9"/>
  <c r="R132" i="9" s="1"/>
  <c r="K105" i="5"/>
  <c r="K128" i="5"/>
  <c r="N56" i="6"/>
  <c r="N79" i="6"/>
  <c r="Q121" i="7"/>
  <c r="G55" i="5"/>
  <c r="G154" i="5"/>
  <c r="G104" i="5"/>
  <c r="G54" i="5"/>
  <c r="G80" i="5" s="1"/>
  <c r="T155" i="6"/>
  <c r="H79" i="6"/>
  <c r="H56" i="6"/>
  <c r="M55" i="8"/>
  <c r="I47" i="11"/>
  <c r="L105" i="6"/>
  <c r="J180" i="6"/>
  <c r="J80" i="6"/>
  <c r="F79" i="4"/>
  <c r="S127" i="4"/>
  <c r="S130" i="4" s="1"/>
  <c r="S103" i="4"/>
  <c r="S55" i="7" l="1"/>
  <c r="J34" i="7"/>
  <c r="P22" i="7"/>
  <c r="P120" i="7"/>
  <c r="P33" i="8"/>
  <c r="G47" i="13"/>
  <c r="P131" i="8"/>
  <c r="P98" i="8"/>
  <c r="R67" i="7"/>
  <c r="N81" i="4"/>
  <c r="R66" i="7"/>
  <c r="I89" i="11"/>
  <c r="P34" i="7"/>
  <c r="P17" i="7"/>
  <c r="P18" i="7"/>
  <c r="P16" i="7"/>
  <c r="P24" i="7"/>
  <c r="P20" i="7"/>
  <c r="P32" i="7"/>
  <c r="P23" i="7"/>
  <c r="P30" i="7"/>
  <c r="P26" i="7"/>
  <c r="P28" i="7"/>
  <c r="P25" i="7"/>
  <c r="P21" i="7"/>
  <c r="P15" i="7"/>
  <c r="P31" i="7"/>
  <c r="P29" i="7"/>
  <c r="P19" i="7"/>
  <c r="M22" i="7"/>
  <c r="D34" i="7"/>
  <c r="Q55" i="7"/>
  <c r="H67" i="7"/>
  <c r="T22" i="9"/>
  <c r="R33" i="7"/>
  <c r="F34" i="7"/>
  <c r="S87" i="7"/>
  <c r="P130" i="4"/>
  <c r="P14" i="7"/>
  <c r="M55" i="7"/>
  <c r="D67" i="7"/>
  <c r="O99" i="7"/>
  <c r="P33" i="7"/>
  <c r="G47" i="11"/>
  <c r="P98" i="7"/>
  <c r="O55" i="7"/>
  <c r="F67" i="7"/>
  <c r="N34" i="7"/>
  <c r="N25" i="7"/>
  <c r="N18" i="7"/>
  <c r="N16" i="7"/>
  <c r="N26" i="7"/>
  <c r="N24" i="7"/>
  <c r="N32" i="7"/>
  <c r="N20" i="7"/>
  <c r="N30" i="7"/>
  <c r="N15" i="7"/>
  <c r="N31" i="7"/>
  <c r="N28" i="7"/>
  <c r="N27" i="7"/>
  <c r="N21" i="7"/>
  <c r="N29" i="7"/>
  <c r="N17" i="7"/>
  <c r="N23" i="7"/>
  <c r="N19" i="7"/>
  <c r="O87" i="7"/>
  <c r="P131" i="7"/>
  <c r="N33" i="7"/>
  <c r="E47" i="11"/>
  <c r="P66" i="7"/>
  <c r="G89" i="11"/>
  <c r="H130" i="4"/>
  <c r="O98" i="7"/>
  <c r="F172" i="11"/>
  <c r="N14" i="7"/>
  <c r="T34" i="7"/>
  <c r="T19" i="7"/>
  <c r="T18" i="7"/>
  <c r="T17" i="7"/>
  <c r="T16" i="7"/>
  <c r="T15" i="7"/>
  <c r="T29" i="7"/>
  <c r="T25" i="7"/>
  <c r="T20" i="7"/>
  <c r="T99" i="7"/>
  <c r="T21" i="7"/>
  <c r="T31" i="7"/>
  <c r="T28" i="7"/>
  <c r="T30" i="7"/>
  <c r="T14" i="7"/>
  <c r="T32" i="7"/>
  <c r="T26" i="7"/>
  <c r="T24" i="7"/>
  <c r="T33" i="7"/>
  <c r="T23" i="7"/>
  <c r="T27" i="7"/>
  <c r="P132" i="7"/>
  <c r="N22" i="7"/>
  <c r="I180" i="4"/>
  <c r="N33" i="8"/>
  <c r="N131" i="8"/>
  <c r="E47" i="13"/>
  <c r="N98" i="8"/>
  <c r="M33" i="8"/>
  <c r="M131" i="8"/>
  <c r="D47" i="13"/>
  <c r="O34" i="8"/>
  <c r="F33" i="8"/>
  <c r="O18" i="8"/>
  <c r="O14" i="8"/>
  <c r="O26" i="8"/>
  <c r="O20" i="8"/>
  <c r="O30" i="8"/>
  <c r="O28" i="8"/>
  <c r="O21" i="8"/>
  <c r="O19" i="8"/>
  <c r="O25" i="8"/>
  <c r="O15" i="8"/>
  <c r="O132" i="8"/>
  <c r="O17" i="8"/>
  <c r="O16" i="8"/>
  <c r="O29" i="8"/>
  <c r="O24" i="8"/>
  <c r="O32" i="8"/>
  <c r="O31" i="8"/>
  <c r="O27" i="8"/>
  <c r="O23" i="8"/>
  <c r="R99" i="7"/>
  <c r="N132" i="7"/>
  <c r="P55" i="7"/>
  <c r="J99" i="7"/>
  <c r="S99" i="7" s="1"/>
  <c r="N98" i="7"/>
  <c r="E172" i="11"/>
  <c r="P99" i="7"/>
  <c r="M120" i="7"/>
  <c r="Q22" i="7"/>
  <c r="H34" i="7"/>
  <c r="S33" i="8"/>
  <c r="J47" i="13"/>
  <c r="S98" i="8"/>
  <c r="S131" i="8"/>
  <c r="S66" i="8"/>
  <c r="I128" i="4"/>
  <c r="S98" i="7"/>
  <c r="J172" i="11"/>
  <c r="O22" i="8"/>
  <c r="N99" i="7"/>
  <c r="S81" i="4"/>
  <c r="N66" i="8"/>
  <c r="P87" i="7"/>
  <c r="M98" i="7"/>
  <c r="D172" i="11"/>
  <c r="N131" i="7"/>
  <c r="E255" i="11"/>
  <c r="O67" i="8"/>
  <c r="Q81" i="4"/>
  <c r="Q17" i="8"/>
  <c r="Q34" i="8"/>
  <c r="H33" i="8"/>
  <c r="Q25" i="8"/>
  <c r="Q26" i="8"/>
  <c r="Q29" i="8"/>
  <c r="Q31" i="8"/>
  <c r="Q15" i="8"/>
  <c r="Q21" i="8"/>
  <c r="Q132" i="8"/>
  <c r="Q20" i="8"/>
  <c r="Q32" i="8"/>
  <c r="Q27" i="8"/>
  <c r="Q67" i="8"/>
  <c r="Q28" i="8"/>
  <c r="Q16" i="8"/>
  <c r="Q30" i="8"/>
  <c r="Q18" i="8"/>
  <c r="Q24" i="8"/>
  <c r="Q14" i="8"/>
  <c r="Q19" i="8"/>
  <c r="Q23" i="8"/>
  <c r="M81" i="4"/>
  <c r="T132" i="7"/>
  <c r="E67" i="7"/>
  <c r="N67" i="7" s="1"/>
  <c r="T34" i="9"/>
  <c r="T25" i="9"/>
  <c r="T17" i="9"/>
  <c r="T30" i="9"/>
  <c r="T16" i="9"/>
  <c r="T29" i="9"/>
  <c r="T21" i="9"/>
  <c r="T32" i="9"/>
  <c r="T26" i="9"/>
  <c r="T19" i="9"/>
  <c r="T20" i="9"/>
  <c r="T24" i="9"/>
  <c r="T28" i="9"/>
  <c r="T27" i="9"/>
  <c r="T15" i="9"/>
  <c r="T18" i="9"/>
  <c r="T31" i="9"/>
  <c r="T14" i="9"/>
  <c r="T23" i="9"/>
  <c r="S131" i="7"/>
  <c r="J255" i="11"/>
  <c r="Q22" i="8"/>
  <c r="R132" i="7"/>
  <c r="S129" i="5"/>
  <c r="S181" i="5"/>
  <c r="N66" i="7"/>
  <c r="E89" i="11"/>
  <c r="R18" i="7"/>
  <c r="R34" i="7"/>
  <c r="R19" i="7"/>
  <c r="R32" i="7"/>
  <c r="R25" i="7"/>
  <c r="R30" i="7"/>
  <c r="R20" i="7"/>
  <c r="R16" i="7"/>
  <c r="R31" i="7"/>
  <c r="R17" i="7"/>
  <c r="R26" i="7"/>
  <c r="R15" i="7"/>
  <c r="R23" i="7"/>
  <c r="R21" i="7"/>
  <c r="R24" i="7"/>
  <c r="R28" i="7"/>
  <c r="R29" i="7"/>
  <c r="R14" i="7"/>
  <c r="R27" i="7"/>
  <c r="S132" i="7"/>
  <c r="Q99" i="7"/>
  <c r="M87" i="7"/>
  <c r="Q98" i="7"/>
  <c r="H172" i="11"/>
  <c r="S120" i="7"/>
  <c r="M34" i="7" l="1"/>
  <c r="M17" i="7"/>
  <c r="M29" i="7"/>
  <c r="M24" i="7"/>
  <c r="M18" i="7"/>
  <c r="M19" i="7"/>
  <c r="M30" i="7"/>
  <c r="M15" i="7"/>
  <c r="M25" i="7"/>
  <c r="M16" i="7"/>
  <c r="M32" i="7"/>
  <c r="M20" i="7"/>
  <c r="M31" i="7"/>
  <c r="M21" i="7"/>
  <c r="M14" i="7"/>
  <c r="M28" i="7"/>
  <c r="M26" i="7"/>
  <c r="M27" i="7"/>
  <c r="M33" i="7"/>
  <c r="M23" i="7"/>
  <c r="O33" i="8"/>
  <c r="F47" i="13"/>
  <c r="O131" i="8"/>
  <c r="O66" i="8"/>
  <c r="O98" i="8"/>
  <c r="Q34" i="7"/>
  <c r="Q19" i="7"/>
  <c r="Q16" i="7"/>
  <c r="Q17" i="7"/>
  <c r="Q29" i="7"/>
  <c r="Q31" i="7"/>
  <c r="Q18" i="7"/>
  <c r="Q14" i="7"/>
  <c r="Q15" i="7"/>
  <c r="Q26" i="7"/>
  <c r="Q25" i="7"/>
  <c r="Q21" i="7"/>
  <c r="Q28" i="7"/>
  <c r="Q20" i="7"/>
  <c r="Q24" i="7"/>
  <c r="Q32" i="7"/>
  <c r="Q30" i="7"/>
  <c r="Q27" i="7"/>
  <c r="Q23" i="7"/>
  <c r="Q33" i="7"/>
  <c r="M67" i="7"/>
  <c r="O24" i="7"/>
  <c r="O18" i="7"/>
  <c r="O34" i="7"/>
  <c r="O32" i="7"/>
  <c r="O26" i="7"/>
  <c r="O29" i="7"/>
  <c r="O19" i="7"/>
  <c r="O31" i="7"/>
  <c r="O23" i="7"/>
  <c r="O25" i="7"/>
  <c r="O21" i="7"/>
  <c r="O17" i="7"/>
  <c r="O20" i="7"/>
  <c r="O16" i="7"/>
  <c r="O15" i="7"/>
  <c r="O28" i="7"/>
  <c r="O30" i="7"/>
  <c r="O14" i="7"/>
  <c r="O132" i="7"/>
  <c r="O27" i="7"/>
  <c r="O33" i="7"/>
  <c r="Q132" i="7"/>
  <c r="O22" i="7"/>
  <c r="M99" i="7"/>
  <c r="Q33" i="8"/>
  <c r="H47" i="13"/>
  <c r="Q131" i="8"/>
  <c r="Q66" i="8"/>
  <c r="Q98" i="8"/>
  <c r="M132" i="7"/>
  <c r="S34" i="7"/>
  <c r="S19" i="7"/>
  <c r="S20" i="7"/>
  <c r="S18" i="7"/>
  <c r="S17" i="7"/>
  <c r="S15" i="7"/>
  <c r="S21" i="7"/>
  <c r="S25" i="7"/>
  <c r="S28" i="7"/>
  <c r="S24" i="7"/>
  <c r="S30" i="7"/>
  <c r="S27" i="7"/>
  <c r="S29" i="7"/>
  <c r="S31" i="7"/>
  <c r="S16" i="7"/>
  <c r="S26" i="7"/>
  <c r="S14" i="7"/>
  <c r="S32" i="7"/>
  <c r="S33" i="7"/>
  <c r="S67" i="7"/>
  <c r="S23" i="7"/>
  <c r="Q67" i="7"/>
  <c r="O67" i="7"/>
  <c r="S22" i="7"/>
</calcChain>
</file>

<file path=xl/sharedStrings.xml><?xml version="1.0" encoding="utf-8"?>
<sst xmlns="http://schemas.openxmlformats.org/spreadsheetml/2006/main" count="5699" uniqueCount="229">
  <si>
    <t>Deflactores 27/01/2026</t>
  </si>
  <si>
    <t>2000</t>
  </si>
  <si>
    <t>2001</t>
  </si>
  <si>
    <t>2002</t>
  </si>
  <si>
    <t>2003</t>
  </si>
  <si>
    <t>2005</t>
  </si>
  <si>
    <t>2006</t>
  </si>
  <si>
    <t>2007</t>
  </si>
  <si>
    <t>2008</t>
  </si>
  <si>
    <t>2009</t>
  </si>
  <si>
    <t>2026*</t>
  </si>
  <si>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</si>
  <si>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</si>
  <si>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</si>
  <si>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</si>
  <si>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</si>
  <si>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</si>
  <si>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</si>
  <si>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</si>
  <si>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</si>
  <si>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</si>
  <si>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</si>
  <si>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</si>
  <si>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</si>
  <si>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</si>
  <si>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</si>
  <si>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compromisos,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</si>
  <si>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</si>
  <si>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</si>
  <si>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</si>
  <si>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</si>
  <si>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</si>
  <si>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</si>
  <si>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</si>
  <si>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</si>
  <si>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</si>
  <si>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</si>
  <si>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Apropiaciones Presupuesto General de la Nación - PGN</t>
  </si>
  <si>
    <t>CONCEPTO</t>
  </si>
  <si>
    <t>I.</t>
  </si>
  <si>
    <t>FUNCIONAMIENTO</t>
  </si>
  <si>
    <t>II.</t>
  </si>
  <si>
    <t>SERVICIO DE LA DEUDA</t>
  </si>
  <si>
    <t>DEUDA EXTERNA</t>
  </si>
  <si>
    <t>DEUDA INTERNA</t>
  </si>
  <si>
    <t>III.</t>
  </si>
  <si>
    <t>INVERSIÓN</t>
  </si>
  <si>
    <t>IV.</t>
  </si>
  <si>
    <t>TOTAL SIN DEUDA (I + III)</t>
  </si>
  <si>
    <t>V.</t>
  </si>
  <si>
    <t>TOTAL  (I + II + III)</t>
  </si>
  <si>
    <t>* Información con corte a 30 de abril</t>
  </si>
  <si>
    <t>Fuente: Dirección General de Presupuesto Público Nacional. Ejecución del Presupuesto General de la Nación.</t>
  </si>
  <si>
    <t>Apropiaciones con Fuente Nación</t>
  </si>
  <si>
    <t>Apropiaciones con Fuente Propios</t>
  </si>
  <si>
    <t>Apropiaciones Presupuesto General de la Nación-PGN</t>
  </si>
  <si>
    <t xml:space="preserve">Gastos de Personal </t>
  </si>
  <si>
    <t>Gastos Generales</t>
  </si>
  <si>
    <t>Transferencias</t>
  </si>
  <si>
    <t>Operación Comercial</t>
  </si>
  <si>
    <t>Amortización</t>
  </si>
  <si>
    <t>Intereses</t>
  </si>
  <si>
    <t>Compromisos Presupuesto General de la Nación-PGN</t>
  </si>
  <si>
    <t>TOTAL CON DEUDA (I + II + III)</t>
  </si>
  <si>
    <t>VI.</t>
  </si>
  <si>
    <t>PRESUPUESTO SIN DEUDA</t>
  </si>
  <si>
    <t>VII.</t>
  </si>
  <si>
    <t>% COMPROMISOS/ PRESUPUESTO   ( IV / VI )</t>
  </si>
  <si>
    <t>Porcentaje Compromisos PGN</t>
  </si>
  <si>
    <t>Obligaciones Presupuesto General de la Nación-PGN</t>
  </si>
  <si>
    <t>% OBLIGACIONES / PRESUPUESTO   ( IV / VI )</t>
  </si>
  <si>
    <t xml:space="preserve">Porcentaje Obligaciones PGN </t>
  </si>
  <si>
    <t>Pagos Presupuesto General de la Nación-PGN</t>
  </si>
  <si>
    <t>% PAGOS / PRESUPUESTO   ( IV / VI )</t>
  </si>
  <si>
    <t>Porcentaje Pagos PGN</t>
  </si>
  <si>
    <t>Apropiaciones Fuente Nación</t>
  </si>
  <si>
    <t>Compromisos Fuente Nación</t>
  </si>
  <si>
    <t>% COMPROMISOS / PRESUPUESTO   ( IV / VI )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</si>
  <si>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</si>
  <si>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</si>
  <si>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</si>
  <si>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</si>
  <si>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</si>
  <si>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</si>
  <si>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</si>
  <si>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</si>
  <si>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</si>
  <si>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</si>
  <si>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</si>
  <si>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</si>
  <si>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Apropiaciones PGN 2019 - 2026</t>
  </si>
  <si>
    <t xml:space="preserve">Porcentaje de participación por tipo y cuenta del total </t>
  </si>
  <si>
    <t>Gastos de Personal</t>
  </si>
  <si>
    <t>Adquisición de Bienes y Servicios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</si>
  <si>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</si>
  <si>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</si>
  <si>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</si>
  <si>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</si>
  <si>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</si>
  <si>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</si>
  <si>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</si>
  <si>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Compromisos PGN 2019-2026</t>
  </si>
  <si>
    <t>Porcentaje de ejecución compromisos/apropiación</t>
  </si>
  <si>
    <t>Comisiones Y Otros Gastos</t>
  </si>
  <si>
    <t>Fondo de Contigencias</t>
  </si>
  <si>
    <t>Obligaciones PGN 2019-2026</t>
  </si>
  <si>
    <t>Porcentaje de ejecución Obligación/apropiación</t>
  </si>
  <si>
    <t>Pagos PGN 2019-2026</t>
  </si>
  <si>
    <t>Porcentaje de ejecución pagos/apropiación</t>
  </si>
  <si>
    <t>Apropiaciones Fuente Nación 2019-2026</t>
  </si>
  <si>
    <t>Compromisos Fuente Nación 2019-2026</t>
  </si>
  <si>
    <t>Porcentaje de ejecución compromiso/apropiación</t>
  </si>
  <si>
    <t>Obligaciones Fuente Nación 2019-2026</t>
  </si>
  <si>
    <t>Porcentaje de ejecución obligaciones/apropiación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</si>
  <si>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</si>
  <si>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</si>
  <si>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</si>
  <si>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</si>
  <si>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</si>
  <si>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Apropiaciones Presupuesto General de la Nación por Sector</t>
  </si>
  <si>
    <t>Sector</t>
  </si>
  <si>
    <t>2004</t>
  </si>
  <si>
    <t xml:space="preserve">2009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</si>
  <si>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</si>
  <si>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</si>
  <si>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</si>
  <si>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</si>
  <si>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</si>
  <si>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</si>
  <si>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</si>
  <si>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</si>
  <si>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</si>
  <si>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</si>
  <si>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</si>
  <si>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</si>
  <si>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IGUALDAD Y EQUIDAD</t>
  </si>
  <si>
    <t>INCLUSIÓN SOCIAL Y RECONCILIACIÓN</t>
  </si>
  <si>
    <t>INFORMACIÓN ESTADÍSTICA</t>
  </si>
  <si>
    <t>INTELIGENCIA</t>
  </si>
  <si>
    <t>INTERIOR Y JUSTICIA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</si>
  <si>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</si>
  <si>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</si>
  <si>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</si>
  <si>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</si>
  <si>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</si>
  <si>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</si>
  <si>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</si>
  <si>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SALUD, PROTECCIÓN SOCIAL Y TRABAJO</t>
  </si>
  <si>
    <t>SISTEMA INTEGRAL DE VERDAD, JUSTICIA, REPARACIÓN Y NO REPETICIÓN</t>
  </si>
  <si>
    <t>TECNOLOGÍAS DE LA INFORMACIÓN Y LAS COMUNICACIONES</t>
  </si>
  <si>
    <t>TRANSPORTE</t>
  </si>
  <si>
    <t>VIVIENDA, CIUDAD Y TERRITORIO</t>
  </si>
  <si>
    <t>TOTAL  SIN DEUDA</t>
  </si>
  <si>
    <t>Compromisos Presupuesto General de la Nación por Sector</t>
  </si>
  <si>
    <t>TOTAL SIN DEUDA</t>
  </si>
  <si>
    <t xml:space="preserve">Porcentaje de Ejecución - Compromisos/Apropiación PGN por Sector </t>
  </si>
  <si>
    <t xml:space="preserve">Obligaciones Presupuesto General de la Nación por Sector </t>
  </si>
  <si>
    <t xml:space="preserve">Porcentaje de Ejecución - Obligaciones/Apropiación PGN Sector </t>
  </si>
  <si>
    <t xml:space="preserve">Pagos Presupuesto General de la Nación por Sector </t>
  </si>
  <si>
    <t xml:space="preserve">Porcentaje de Ejecución - Pagos/Apropiación PGN por Sector </t>
  </si>
  <si>
    <t>INTERIOR</t>
  </si>
  <si>
    <t>JUSTICIA Y DEL DERECHO</t>
  </si>
  <si>
    <t>SALUD Y PROTECCIÓN SOCIAL</t>
  </si>
  <si>
    <t>TRABAJO</t>
  </si>
  <si>
    <t>Apropiaciones Fuente Nación por Sector</t>
  </si>
  <si>
    <t>Compromisos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</si>
  <si>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</si>
  <si>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</si>
  <si>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</si>
  <si>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Pagos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</si>
  <si>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</si>
  <si>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</si>
  <si>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</si>
  <si>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</si>
  <si>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</si>
  <si>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</si>
  <si>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Pagos Fuente Propios por Sector</t>
  </si>
  <si>
    <t>Porcentaje de Ejecución - Pagos/Apropiación Fuente Propios por Sector</t>
  </si>
  <si>
    <t>Apropiaciones Presupuesto General de la Nación Funcionamiento por Sector</t>
  </si>
  <si>
    <t>TOTAL FUNCIONAMIENTO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</si>
  <si>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</si>
  <si>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</si>
  <si>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</si>
  <si>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</si>
  <si>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</si>
  <si>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</si>
  <si>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Cuadro No. 11.B Ejecución Sectorial Funcionamiento de gastos PGN por compromiso, obligaciones y pagos del 2019 al 2026</t>
  </si>
  <si>
    <t>2025*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</si>
  <si>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</si>
  <si>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</si>
  <si>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</si>
  <si>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</si>
  <si>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</si>
  <si>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</si>
  <si>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</si>
  <si>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</si>
  <si>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</si>
  <si>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</si>
  <si>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</si>
  <si>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</si>
  <si>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</si>
  <si>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Apropiaciones Presupuesto General de la Nación Inversión por Sector</t>
  </si>
  <si>
    <t>TOTAL INVERSIÓN</t>
  </si>
  <si>
    <t>Compromisos Presupuesto General de la Nación Inversión por Sector</t>
  </si>
  <si>
    <t>Porcentaje de Ejecución - Compromisos/Apropiación PGN Inversión por Sector</t>
  </si>
  <si>
    <t>Obligaciones Presupuesto General de la Nación Inversión por Sector</t>
  </si>
  <si>
    <t>Porcentaje de Ejecución - Obligaciones/Apropiación PGN Inversión por Sector</t>
  </si>
  <si>
    <t xml:space="preserve">Pagos Presupuesto General de la Nación Inversión por Sector </t>
  </si>
  <si>
    <t>Porcentaje de Ejecución -Pagos/Apropiación PGN Inversión por Sector</t>
  </si>
  <si>
    <t xml:space="preserve"> 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</si>
  <si>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</si>
  <si>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</si>
  <si>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</si>
  <si>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</si>
  <si>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</si>
  <si>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</si>
  <si>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</si>
  <si>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Cuadro No. 16.A Ejecución Sectorial Inversión de gastos PGN Recurso Propios por compromiso, obligaciones y pagos del 2000 al 2018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</si>
  <si>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</si>
  <si>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</si>
  <si>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</si>
  <si>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</si>
  <si>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</si>
  <si>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</si>
  <si>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</si>
  <si>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Cuadro No. 16.B Ejecución Sectorial Inversión de gastos PGN Recurso Propios por compromiso, obligaciones y pagos del 2019 al 2026</t>
  </si>
  <si>
    <t>Cifras a precios constantes</t>
  </si>
  <si>
    <t>Valores en millones de pesos (precios constantes de 2026)</t>
  </si>
  <si>
    <t>* Información con corte a 30 de abril  no incluye provisión incremento salarial en los sectores que está prevista en el sector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</si>
</sst>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#,##0.0"/>
    <numFmt numFmtId="166" formatCode="_(* #,##0.0_);_(* \(#,##0.0\);_(* &quot;-&quot;??_);_(@_)"/>
    <numFmt numFmtId="167" formatCode="_-* #,##0.0_-;\-* #,##0.0_-;_-* &quot;-&quot;?_-;_-@_-"/>
    <numFmt numFmtId="168" formatCode="_-* #,##0_-;\-* #,##0_-;_-* &quot;-&quot;?_-;_-@_-"/>
    <numFmt numFmtId="169" formatCode="_(* #,##0.00_);_(* \(#,##0.00\);_(* \-??_);_(@_)"/>
    <numFmt numFmtId="170" formatCode="_-* #,##0.00\ _P_t_a_-;\-* #,##0.00\ _P_t_a_-;_-* &quot;-&quot;??\ _P_t_a_-;_-@_-"/>
    <numFmt numFmtId="171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  <border>
      <left/>
      <right/>
      <top style="medium">
        <color rgb="FF16ADB9"/>
      </top>
      <bottom style="medium">
        <color rgb="FF16ADB9"/>
      </bottom>
      <diagonal/>
    </border>
  </borders>
  <cellStyleXfs count="16">
    <xf numFmtId="0" fontId="0" fillId="0" borderId="0"/>
    <xf numFmtId="0" fontId="2" fillId="0" borderId="0"/>
    <xf numFmtId="169" fontId="2" fillId="0" borderId="0"/>
    <xf numFmtId="0" fontId="3" fillId="0" borderId="0"/>
    <xf numFmtId="9" fontId="3" fillId="0" borderId="0"/>
    <xf numFmtId="170" fontId="3" fillId="0" borderId="0"/>
    <xf numFmtId="171" fontId="3" fillId="0" borderId="0"/>
    <xf numFmtId="0" fontId="3" fillId="0" borderId="0"/>
    <xf numFmtId="43" fontId="1" fillId="0" borderId="0"/>
    <xf numFmtId="43" fontId="1" fillId="0" borderId="0"/>
    <xf numFmtId="41" fontId="1" fillId="0" borderId="0"/>
    <xf numFmtId="43" fontId="1" fillId="0" borderId="0"/>
    <xf numFmtId="43" fontId="5" fillId="0" borderId="0"/>
    <xf numFmtId="0" fontId="5" fillId="0" borderId="0"/>
    <xf numFmtId="41" fontId="5" fillId="0" borderId="0"/>
    <xf numFmtId="0" fontId="21" fillId="0" borderId="0"/>
  </cellStyleXfs>
  <cellXfs count="185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4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43" fontId="5" fillId="0" borderId="0" xfId="9" applyFont="1"/>
    <xf numFmtId="41" fontId="5" fillId="0" borderId="0" xfId="10" applyFont="1"/>
    <xf numFmtId="3" fontId="6" fillId="0" borderId="0" xfId="0" applyNumberFormat="1" applyFont="1"/>
    <xf numFmtId="0" fontId="6" fillId="0" borderId="0" xfId="0" applyFont="1"/>
    <xf numFmtId="164" fontId="5" fillId="0" borderId="0" xfId="9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4" fontId="6" fillId="0" borderId="0" xfId="9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41" fontId="6" fillId="0" borderId="0" xfId="1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5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4" fontId="4" fillId="2" borderId="0" xfId="9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9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9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 wrapText="1"/>
    </xf>
    <xf numFmtId="164" fontId="4" fillId="2" borderId="0" xfId="9" applyNumberFormat="1" applyFont="1" applyFill="1" applyAlignment="1">
      <alignment horizontal="right" vertical="center" wrapText="1"/>
    </xf>
    <xf numFmtId="164" fontId="6" fillId="4" borderId="2" xfId="9" applyNumberFormat="1" applyFont="1" applyFill="1" applyBorder="1" applyAlignment="1">
      <alignment horizontal="right" vertical="center" wrapText="1"/>
    </xf>
    <xf numFmtId="164" fontId="6" fillId="4" borderId="1" xfId="9" applyNumberFormat="1" applyFont="1" applyFill="1" applyBorder="1" applyAlignment="1">
      <alignment horizontal="right" vertical="center" wrapText="1"/>
    </xf>
    <xf numFmtId="166" fontId="6" fillId="4" borderId="1" xfId="9" applyNumberFormat="1" applyFont="1" applyFill="1" applyBorder="1" applyAlignment="1">
      <alignment horizontal="right" vertical="center" wrapText="1"/>
    </xf>
    <xf numFmtId="166" fontId="6" fillId="3" borderId="0" xfId="9" applyNumberFormat="1" applyFont="1" applyFill="1" applyAlignment="1">
      <alignment horizontal="right" vertical="center" wrapText="1"/>
    </xf>
    <xf numFmtId="166" fontId="4" fillId="2" borderId="0" xfId="9" applyNumberFormat="1" applyFont="1" applyFill="1" applyAlignment="1">
      <alignment horizontal="right" vertical="center" wrapText="1"/>
    </xf>
    <xf numFmtId="166" fontId="6" fillId="4" borderId="2" xfId="9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164" fontId="4" fillId="3" borderId="0" xfId="9" applyNumberFormat="1" applyFont="1" applyFill="1" applyAlignment="1">
      <alignment horizontal="right" vertical="center" wrapText="1"/>
    </xf>
    <xf numFmtId="41" fontId="6" fillId="3" borderId="0" xfId="10" applyFont="1" applyFill="1" applyAlignment="1">
      <alignment horizontal="right" vertical="center" wrapText="1"/>
    </xf>
    <xf numFmtId="41" fontId="4" fillId="2" borderId="0" xfId="10" applyFont="1" applyFill="1" applyAlignment="1">
      <alignment horizontal="right" vertical="center" wrapText="1"/>
    </xf>
    <xf numFmtId="41" fontId="4" fillId="3" borderId="0" xfId="10" applyFont="1" applyFill="1" applyAlignment="1">
      <alignment horizontal="right" vertical="center" wrapText="1"/>
    </xf>
    <xf numFmtId="41" fontId="6" fillId="4" borderId="2" xfId="10" applyFont="1" applyFill="1" applyBorder="1" applyAlignment="1">
      <alignment horizontal="right" vertical="center" wrapText="1"/>
    </xf>
    <xf numFmtId="41" fontId="6" fillId="4" borderId="1" xfId="10" applyFont="1" applyFill="1" applyBorder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center" wrapText="1"/>
    </xf>
    <xf numFmtId="3" fontId="4" fillId="3" borderId="0" xfId="9" applyNumberFormat="1" applyFont="1" applyFill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top" wrapText="1"/>
    </xf>
    <xf numFmtId="3" fontId="4" fillId="3" borderId="0" xfId="9" applyNumberFormat="1" applyFont="1" applyFill="1" applyAlignment="1">
      <alignment horizontal="right" vertical="top" wrapText="1"/>
    </xf>
    <xf numFmtId="165" fontId="4" fillId="2" borderId="0" xfId="9" applyNumberFormat="1" applyFont="1" applyFill="1" applyAlignment="1">
      <alignment horizontal="right" vertical="center" wrapText="1"/>
    </xf>
    <xf numFmtId="165" fontId="4" fillId="2" borderId="0" xfId="9" applyNumberFormat="1" applyFont="1" applyFill="1" applyAlignment="1">
      <alignment horizontal="right" vertical="top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top" wrapText="1"/>
    </xf>
    <xf numFmtId="166" fontId="6" fillId="4" borderId="0" xfId="9" applyNumberFormat="1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right" vertical="center" wrapText="1"/>
    </xf>
    <xf numFmtId="0" fontId="7" fillId="2" borderId="0" xfId="0" applyFont="1" applyFill="1"/>
    <xf numFmtId="164" fontId="6" fillId="2" borderId="0" xfId="9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6" fontId="6" fillId="4" borderId="11" xfId="9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4" fontId="6" fillId="3" borderId="0" xfId="9" applyNumberFormat="1" applyFont="1" applyFill="1" applyAlignment="1">
      <alignment vertical="center" wrapText="1"/>
    </xf>
    <xf numFmtId="164" fontId="4" fillId="2" borderId="0" xfId="9" applyNumberFormat="1" applyFont="1" applyFill="1" applyAlignment="1">
      <alignment vertical="center" wrapText="1"/>
    </xf>
    <xf numFmtId="164" fontId="6" fillId="4" borderId="2" xfId="9" applyNumberFormat="1" applyFont="1" applyFill="1" applyBorder="1" applyAlignment="1">
      <alignment vertical="center" wrapText="1"/>
    </xf>
    <xf numFmtId="164" fontId="6" fillId="4" borderId="1" xfId="9" applyNumberFormat="1" applyFont="1" applyFill="1" applyBorder="1" applyAlignment="1">
      <alignment vertical="center" wrapText="1"/>
    </xf>
    <xf numFmtId="166" fontId="6" fillId="4" borderId="1" xfId="9" applyNumberFormat="1" applyFont="1" applyFill="1" applyBorder="1" applyAlignment="1">
      <alignment vertical="center" wrapText="1"/>
    </xf>
    <xf numFmtId="166" fontId="6" fillId="2" borderId="0" xfId="9" applyNumberFormat="1" applyFont="1" applyFill="1" applyAlignment="1">
      <alignment vertical="center" wrapText="1"/>
    </xf>
    <xf numFmtId="166" fontId="5" fillId="0" borderId="0" xfId="9" applyNumberFormat="1" applyFont="1"/>
    <xf numFmtId="166" fontId="5" fillId="0" borderId="0" xfId="9" applyNumberFormat="1" applyFont="1" applyAlignment="1">
      <alignment horizontal="left" vertical="center"/>
    </xf>
    <xf numFmtId="166" fontId="5" fillId="2" borderId="0" xfId="9" applyNumberFormat="1" applyFont="1" applyFill="1"/>
    <xf numFmtId="166" fontId="6" fillId="4" borderId="2" xfId="9" applyNumberFormat="1" applyFont="1" applyFill="1" applyBorder="1" applyAlignment="1">
      <alignment vertical="center" wrapText="1"/>
    </xf>
    <xf numFmtId="166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4" fillId="3" borderId="0" xfId="9" applyNumberFormat="1" applyFont="1" applyFill="1" applyAlignment="1">
      <alignment horizontal="right" vertical="center" wrapText="1"/>
    </xf>
    <xf numFmtId="164" fontId="6" fillId="2" borderId="0" xfId="9" applyNumberFormat="1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6" fontId="6" fillId="3" borderId="0" xfId="9" applyNumberFormat="1" applyFont="1" applyFill="1" applyAlignment="1">
      <alignment vertical="center" wrapText="1"/>
    </xf>
    <xf numFmtId="0" fontId="15" fillId="0" borderId="0" xfId="0" applyFont="1" applyAlignment="1">
      <alignment vertical="center"/>
    </xf>
    <xf numFmtId="164" fontId="16" fillId="2" borderId="0" xfId="9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165" fontId="16" fillId="2" borderId="0" xfId="0" applyNumberFormat="1" applyFont="1" applyFill="1"/>
    <xf numFmtId="164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1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5" fillId="0" borderId="0" xfId="9" applyNumberFormat="1" applyFont="1"/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6" fillId="2" borderId="10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165" fontId="5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2" xfId="0" applyBorder="1"/>
    <xf numFmtId="43" fontId="11" fillId="0" borderId="0" xfId="9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00000000-0005-0000-0000-00000E000000}"/>
    <cellStyle name="Millares 2" xfId="2" xr:uid="{00000000-0005-0000-0000-000002000000}"/>
    <cellStyle name="Millares 2 2" xfId="6" xr:uid="{00000000-0005-0000-0000-000006000000}"/>
    <cellStyle name="Millares 2 3" xfId="5" xr:uid="{00000000-0005-0000-0000-000005000000}"/>
    <cellStyle name="Millares 3" xfId="12" xr:uid="{00000000-0005-0000-0000-00000C000000}"/>
    <cellStyle name="Millares 8" xfId="8" xr:uid="{00000000-0005-0000-0000-000008000000}"/>
    <cellStyle name="Millares 9" xfId="11" xr:uid="{00000000-0005-0000-0000-00000B000000}"/>
    <cellStyle name="Normal" xfId="0" builtinId="0"/>
    <cellStyle name="Normal 2" xfId="1" xr:uid="{00000000-0005-0000-0000-000001000000}"/>
    <cellStyle name="Normal 2 2" xfId="7" xr:uid="{00000000-0005-0000-0000-000007000000}"/>
    <cellStyle name="Normal 2 3" xfId="3" xr:uid="{00000000-0005-0000-0000-000003000000}"/>
    <cellStyle name="Normal 3" xfId="13" xr:uid="{00000000-0005-0000-0000-00000D000000}"/>
    <cellStyle name="Porcentu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33"/>
  <sheetViews>
    <sheetView showGridLines="0" tabSelected="1" zoomScaleNormal="100" workbookViewId="0">
      <pane ySplit="6" topLeftCell="A7" activePane="bottomLeft" state="frozen"/>
      <selection pane="bottomLeft" activeCell="A8" sqref="A8"/>
    </sheetView>
  </sheetViews>
  <sheetFormatPr baseColWidth="10" defaultColWidth="0" defaultRowHeight="14.25" zeroHeight="1" x14ac:dyDescent="0.2"/>
  <cols>
    <col min="1" max="1" width="136.7109375" style="94" customWidth="1"/>
    <col min="2" max="2" width="11.42578125" style="94" hidden="1" customWidth="1"/>
    <col min="3" max="16384" width="11.42578125" style="94" hidden="1"/>
  </cols>
  <sheetData>
    <row r="1" spans="1:1" x14ac:dyDescent="0.2">
      <c r="A1" s="93"/>
    </row>
    <row r="2" spans="1:1" x14ac:dyDescent="0.2">
      <c r="A2" s="93"/>
    </row>
    <row r="3" spans="1:1" x14ac:dyDescent="0.2">
      <c r="A3" s="93"/>
    </row>
    <row r="4" spans="1:1" x14ac:dyDescent="0.2">
      <c r="A4" s="92"/>
    </row>
    <row r="5" spans="1:1" ht="15" customHeight="1" x14ac:dyDescent="0.2">
      <c r="A5" s="149" t="s">
        <v>11</v>
      </c>
    </row>
    <row r="6" spans="1:1" ht="15" customHeight="1" x14ac:dyDescent="0.25">
      <c r="A6" s="148" t="s">
        <v>226</v>
      </c>
    </row>
    <row r="8" spans="1:1" ht="15" customHeight="1" x14ac:dyDescent="0.25">
      <c r="A8" s="95"/>
    </row>
    <row r="9" spans="1:1" s="96" customFormat="1" ht="15" customHeight="1" x14ac:dyDescent="0.25">
      <c r="A9" s="142" t="s">
        <v>12</v>
      </c>
    </row>
    <row r="10" spans="1:1" s="96" customFormat="1" ht="15" customHeight="1" x14ac:dyDescent="0.25">
      <c r="A10" s="142" t="s">
        <v>13</v>
      </c>
    </row>
    <row r="11" spans="1:1" s="96" customFormat="1" ht="15" customHeight="1" x14ac:dyDescent="0.25">
      <c r="A11" s="142" t="s">
        <v>14</v>
      </c>
    </row>
    <row r="12" spans="1:1" s="96" customFormat="1" ht="15" customHeight="1" x14ac:dyDescent="0.25">
      <c r="A12" s="142" t="s">
        <v>15</v>
      </c>
    </row>
    <row r="13" spans="1:1" s="96" customFormat="1" ht="15" customHeight="1" x14ac:dyDescent="0.25">
      <c r="A13" s="142" t="s">
        <v>16</v>
      </c>
    </row>
    <row r="14" spans="1:1" s="96" customFormat="1" ht="15" customHeight="1" x14ac:dyDescent="0.25">
      <c r="A14" s="142" t="s">
        <v>17</v>
      </c>
    </row>
    <row r="15" spans="1:1" s="96" customFormat="1" ht="15" customHeight="1" x14ac:dyDescent="0.25">
      <c r="A15" s="142" t="s">
        <v>18</v>
      </c>
    </row>
    <row r="16" spans="1:1" s="96" customFormat="1" ht="15" customHeight="1" x14ac:dyDescent="0.25">
      <c r="A16" s="142" t="s">
        <v>19</v>
      </c>
    </row>
    <row r="17" spans="1:1" s="96" customFormat="1" ht="15" customHeight="1" x14ac:dyDescent="0.25">
      <c r="A17" s="142" t="s">
        <v>20</v>
      </c>
    </row>
    <row r="18" spans="1:1" s="96" customFormat="1" ht="15" customHeight="1" x14ac:dyDescent="0.25">
      <c r="A18" s="142" t="s">
        <v>21</v>
      </c>
    </row>
    <row r="19" spans="1:1" s="96" customFormat="1" ht="15" customHeight="1" x14ac:dyDescent="0.25">
      <c r="A19" s="142" t="s">
        <v>22</v>
      </c>
    </row>
    <row r="20" spans="1:1" s="96" customFormat="1" ht="15" customHeight="1" x14ac:dyDescent="0.25">
      <c r="A20" s="142" t="s">
        <v>23</v>
      </c>
    </row>
    <row r="21" spans="1:1" s="96" customFormat="1" ht="15" customHeight="1" x14ac:dyDescent="0.25">
      <c r="A21" s="142" t="s">
        <v>24</v>
      </c>
    </row>
    <row r="22" spans="1:1" s="96" customFormat="1" ht="15" customHeight="1" x14ac:dyDescent="0.25">
      <c r="A22" s="142" t="s">
        <v>25</v>
      </c>
    </row>
    <row r="23" spans="1:1" s="96" customFormat="1" ht="15" customHeight="1" x14ac:dyDescent="0.25">
      <c r="A23" s="142" t="s">
        <v>26</v>
      </c>
    </row>
    <row r="24" spans="1:1" s="96" customFormat="1" ht="15" customHeight="1" x14ac:dyDescent="0.25">
      <c r="A24" s="142" t="s">
        <v>27</v>
      </c>
    </row>
    <row r="25" spans="1:1" ht="15" customHeight="1" x14ac:dyDescent="0.2">
      <c r="A25" s="143" t="s">
        <v>28</v>
      </c>
    </row>
    <row r="26" spans="1:1" ht="15" customHeight="1" x14ac:dyDescent="0.2">
      <c r="A26" s="143" t="s">
        <v>29</v>
      </c>
    </row>
    <row r="27" spans="1:1" ht="15" customHeight="1" x14ac:dyDescent="0.2">
      <c r="A27" s="143" t="s">
        <v>30</v>
      </c>
    </row>
    <row r="28" spans="1:1" ht="15" customHeight="1" x14ac:dyDescent="0.2">
      <c r="A28" s="143" t="s">
        <v>31</v>
      </c>
    </row>
    <row r="29" spans="1:1" ht="15" customHeight="1" x14ac:dyDescent="0.2">
      <c r="A29" s="143" t="s">
        <v>32</v>
      </c>
    </row>
    <row r="30" spans="1:1" ht="15" customHeight="1" x14ac:dyDescent="0.2">
      <c r="A30" s="143" t="s">
        <v>33</v>
      </c>
    </row>
    <row r="31" spans="1:1" ht="15" customHeight="1" x14ac:dyDescent="0.2">
      <c r="A31" s="143" t="s">
        <v>34</v>
      </c>
    </row>
    <row r="32" spans="1:1" ht="15" customHeight="1" x14ac:dyDescent="0.2">
      <c r="A32" s="143" t="s">
        <v>35</v>
      </c>
    </row>
    <row r="33" spans="1:1" ht="15" customHeight="1" x14ac:dyDescent="0.2">
      <c r="A33" s="143" t="s">
        <v>36</v>
      </c>
    </row>
  </sheetData>
  <hyperlinks>
    <hyperlink ref="A9" location="'C1 Aprop Resumen 2000-2026'!A1" display="Cuadro No. 1. Apropiaciones agregadas PGN 2000-2026 por fuente" xr:uid="{00000000-0004-0000-0000-000000000000}"/>
    <hyperlink ref="A10" location="'C2 Ejecución 00-18'!A1" display="Cuadro No. 2. Ejecución desagregada PGN 2000-2018 por compromisos, obligaciones y pagos" xr:uid="{00000000-0004-0000-0000-000001000000}"/>
    <hyperlink ref="A11" location="'C3 Ejecución Nación 00-18'!A1" display="Cuadro No. 3. Ejecución desagregada PGN 2000-2018 - Recurso Nación por compromisos, obligaciones y pagos" xr:uid="{00000000-0004-0000-0000-000002000000}"/>
    <hyperlink ref="A12" location="'C4 Ejecución Propios 00-18'!A1" display="Cuadro No. 4. Ejecución desagregada PGN 2000-2018 - Recurso Propios por compromisos, obligaciones y pagos" xr:uid="{00000000-0004-0000-0000-000003000000}"/>
    <hyperlink ref="A13" location="'C5 Ejecución PGN 2019-2026'!A1" display="Cuadro No. 5. Ejecución desagregada PGN por compromisos, obligaciones y pagos del 2019-2026" xr:uid="{00000000-0004-0000-0000-000004000000}"/>
    <hyperlink ref="A14" location="'C6 Ejec. Nac 19-26'!A1" display="Cuadro No. 6. Ejecución desagregada de gastos PGN Recurso Nación por compromisos, obligaciones y pagos del 2019 al 2026" xr:uid="{00000000-0004-0000-0000-000005000000}"/>
    <hyperlink ref="A15" location="'C7 Ejec. Prop 19-26'!A1" display="Cuadro No. 7. Ejecución desagregada PGN Recurso Propios por compromisos, obligaciones y pagos del 2019 al 2026" xr:uid="{00000000-0004-0000-0000-000006000000}"/>
    <hyperlink ref="A16" location="'C8 A Ejec. Sect. PGN 00-18'!A1" display="Cuadro No. 8.A Ejecución Sectorial PGN por compromisos, obligaciones y pagos del 2000-2018" xr:uid="{00000000-0004-0000-0000-000007000000}"/>
    <hyperlink ref="A17" location="'C8 B Ejec. Sect. PGN 19-26'!A1" display="Cuadro No. 8.B Ejecución Sectorial PGN por compromisos, obligaciones y pagos del 2019 al 2026" xr:uid="{00000000-0004-0000-0000-000008000000}"/>
    <hyperlink ref="A18" location="'C9 A Ejec. Sect. Nac 00-18'!A1" display="Cuadro No. 9.A Ejecución Sectorial PGN Recurso Nación por compromisos, obligaciones y pagos del 2000 al 2018" xr:uid="{00000000-0004-0000-0000-000009000000}"/>
    <hyperlink ref="A19" location="'C9 B Ejec. Sect. Nac 19-26'!A1" display="Cuadro No. 9.B Ejecución Sectorial PGN Recurso Nación por compromisos, obligaciones y pagos del 2019 al 2026" xr:uid="{00000000-0004-0000-0000-00000A000000}"/>
    <hyperlink ref="A20" location="'C10 A Ejec. Sect Prop 00-18'!A1" display="Cuadro No. 10.A Ejecución Sectorial PGN Recurso Propios por compromisos, obligación y pago del 2000 al 2018" xr:uid="{00000000-0004-0000-0000-00000B000000}"/>
    <hyperlink ref="A21" location="'C10 B Ejec. Sect Prop 19-26'!A1" display="Cuadro No. 10.B Ejecución Sectorial PGN Recurso Propios por compromisos, obligaciones y pagos del 2019 al 2026" xr:uid="{00000000-0004-0000-0000-00000C000000}"/>
    <hyperlink ref="A22" location="'C11 A Sec. Fto 00-18'!A1" display="Cuadro No. 11.A Ejecución Sectorial Funcionamiento PGN por compromisos, obligaciones y pagos del 2000 al 2018" xr:uid="{00000000-0004-0000-0000-00000D000000}"/>
    <hyperlink ref="A23" location="'C11 B Sec. Fto 19-26'!A1" display="Cuadro No. 11.B Ejecución Sectorial Funcionamiento PGN por compromisos, obligaciones y pagos del 2019 al 2026" xr:uid="{00000000-0004-0000-0000-00000E000000}"/>
    <hyperlink ref="A24" location="'C12 A Sec. Fto. Nac 00-18'!A1" display="Cuadro No. 12.A Ejecución Sectorial Funcionamiento PGN Recurso Nación por compromisos, obligaciones y pagos del 2000 al 2018" xr:uid="{00000000-0004-0000-0000-00000F000000}"/>
    <hyperlink ref="A25" location="'C12 B Sec. Fto. Nac 19-26'!A1" display="Cuadro No. 12.B Ejecución Sectorial Funcionamiento PGN Recurso Nación por compromisos, obligaciones y pagos del 2019 al 2026" xr:uid="{00000000-0004-0000-0000-000010000000}"/>
    <hyperlink ref="A26" location="'C13 A Sec. Fto. Prop 00-18'!A1" display="Cuadro No. 13.A Ejecución Sectorial Funcionamiento PGN Recurso Propios por compromisos, obligaciones y pagos del 2000 al 2018" xr:uid="{00000000-0004-0000-0000-000011000000}"/>
    <hyperlink ref="A27" location="'C13 B Sec. Fto. Prop 19-26'!A1" display="Cuadro No. 13.B Ejecución Sectorial Funcionamiento PGN Recurso Propios por compromisos, obligaciones y pagos del 2019 al 2026" xr:uid="{00000000-0004-0000-0000-000012000000}"/>
    <hyperlink ref="A28" location="'C14 A Sec. Invsión 00-18'!A1" display="Cuadro No. 14.A Ejecución Sectorial Inversión PGN por compromisos, obligaciones y pagos del 2000 al 2018" xr:uid="{00000000-0004-0000-0000-000013000000}"/>
    <hyperlink ref="A29" location="'C14 B Sec. Invsión 19-26'!A1" display="Cuadro No. 14.B Ejecución Sectorial Inversión PGN por compromisos, obligaciones y pagos del 2019 al 2026" xr:uid="{00000000-0004-0000-0000-000014000000}"/>
    <hyperlink ref="A30" location="'C15 A Sec. Invsión Nac 00-18'!A1" display="Cuadro No. 15.A Ejecución Sectorial Inversión PGN Recurso Nación por compromisos, obligaciones y pagos del 2000 al 2018" xr:uid="{00000000-0004-0000-0000-000015000000}"/>
    <hyperlink ref="A31" location="'C15 B Sec. Invsión Nac 19-26'!A1" display="Cuadro No. 15.B Ejecución Sectorial Inversión PGN Recurso Nación por compromisos, obligaciones y pagos del 2019 al 2026" xr:uid="{00000000-0004-0000-0000-000016000000}"/>
    <hyperlink ref="A32" location="'C16 A Sec. Invsión Prop 00-18'!A1" display="Cuadro No. 16.A Ejecución Sectorial Inversión PGN Recurso Propios por compromisos, obligaciones y pagos del 2000 al 2018" xr:uid="{00000000-0004-0000-0000-000017000000}"/>
    <hyperlink ref="A33" location="'C16 B Sec. Invsión Prop 19-26'!A1" display="Cuadro No. 16.B Ejecución Sectorial Inversión PGN Recurso Propios por compromisos, obligaciones y pagos del 2019-2026" xr:uid="{00000000-0004-0000-0000-000018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V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15" customHeight="1" x14ac:dyDescent="0.25">
      <c r="A5" s="165" t="s">
        <v>19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5" customHeight="1" x14ac:dyDescent="0.25">
      <c r="A8" s="120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102" customFormat="1" ht="15" customHeight="1" x14ac:dyDescent="0.25">
      <c r="A9" s="99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1:22" ht="18" customHeight="1" x14ac:dyDescent="0.2">
      <c r="D10" s="155" t="s">
        <v>119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22" x14ac:dyDescent="0.2">
      <c r="C11" s="157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22" ht="9.9499999999999993" customHeight="1" x14ac:dyDescent="0.2">
      <c r="C12" s="176" t="s">
        <v>120</v>
      </c>
      <c r="D12" s="153" t="s">
        <v>1</v>
      </c>
      <c r="E12" s="153" t="s">
        <v>2</v>
      </c>
      <c r="F12" s="153" t="s">
        <v>3</v>
      </c>
      <c r="G12" s="153" t="s">
        <v>4</v>
      </c>
      <c r="H12" s="153" t="s">
        <v>121</v>
      </c>
      <c r="I12" s="153" t="s">
        <v>5</v>
      </c>
      <c r="J12" s="153" t="s">
        <v>6</v>
      </c>
      <c r="K12" s="153" t="s">
        <v>7</v>
      </c>
      <c r="L12" s="153" t="s">
        <v>8</v>
      </c>
      <c r="M12" s="153" t="s">
        <v>122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9.9499999999999993" customHeight="1" thickBot="1" x14ac:dyDescent="0.25">
      <c r="C13" s="160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C14" s="87" t="s">
        <v>123</v>
      </c>
      <c r="D14" s="56">
        <f>502.870515905*Deflactores!$A$5</f>
        <v>1872.5454644603526</v>
      </c>
      <c r="E14" s="56">
        <f>730.375774511*Deflactores!$B$5</f>
        <v>2526.4770984248603</v>
      </c>
      <c r="F14" s="56">
        <f>760.035938714999*Deflactores!$C$5</f>
        <v>2457.2677258188655</v>
      </c>
      <c r="G14" s="56">
        <f>541.498867679*Deflactores!$D$5</f>
        <v>1643.9988901829806</v>
      </c>
      <c r="H14" s="56">
        <f>646.749844226999*Deflactores!$E$5</f>
        <v>1861.2309291521967</v>
      </c>
      <c r="I14" s="56">
        <f>684.896573397*Deflactores!$F$5</f>
        <v>1879.7456641186782</v>
      </c>
      <c r="J14" s="56">
        <f>1028.791757464*Deflactores!$G$5</f>
        <v>2702.5699200487875</v>
      </c>
      <c r="K14" s="56">
        <f>1419.403948*Deflactores!$H$5</f>
        <v>3527.7942024677222</v>
      </c>
      <c r="L14" s="56">
        <f>1885.8719*Deflactores!$I$5</f>
        <v>4353.0843020211823</v>
      </c>
      <c r="M14" s="56">
        <f>1639.7332562*Deflactores!$J$5</f>
        <v>3710.651975231483</v>
      </c>
      <c r="N14" s="56">
        <f>1697.487840914*Deflactores!$K$5</f>
        <v>3723.2750083528035</v>
      </c>
      <c r="O14" s="56">
        <f>1744.571032593*Deflactores!$L$5</f>
        <v>3689.0674929701586</v>
      </c>
      <c r="P14" s="56">
        <f>2256.865825696*Deflactores!$M$5</f>
        <v>4658.693238986797</v>
      </c>
      <c r="Q14" s="56">
        <f>3748.893145789*Deflactores!$N$5</f>
        <v>7591.3113993217985</v>
      </c>
      <c r="R14" s="56">
        <f>3461.546886102*Deflactores!$O$5</f>
        <v>6761.9625121560821</v>
      </c>
      <c r="S14" s="56">
        <f>3821.854176187*Deflactores!$P$5</f>
        <v>6992.4184490440812</v>
      </c>
      <c r="T14" s="56">
        <f>2589.323218248*Deflactores!$Q$5</f>
        <v>4479.8057944397524</v>
      </c>
      <c r="U14" s="56">
        <f>2842.220718388*Deflactores!$R$5</f>
        <v>4724.128626810405</v>
      </c>
      <c r="V14" s="56">
        <f>2432.443231647*Deflactores!$S$5</f>
        <v>3918.4210690280747</v>
      </c>
    </row>
    <row r="15" spans="1:22" x14ac:dyDescent="0.2">
      <c r="C15" s="88" t="s">
        <v>124</v>
      </c>
      <c r="D15" s="57">
        <f>147.462385656*Deflactores!$A$5</f>
        <v>549.10759868612263</v>
      </c>
      <c r="E15" s="57">
        <f>161.862401862*Deflactores!$B$5</f>
        <v>559.90582611283673</v>
      </c>
      <c r="F15" s="57">
        <f>177.347796102*Deflactores!$C$5</f>
        <v>573.38211709218115</v>
      </c>
      <c r="G15" s="57">
        <f>213.131639417*Deflactores!$D$5</f>
        <v>647.07093509960396</v>
      </c>
      <c r="H15" s="57">
        <f>343.909085645*Deflactores!$E$5</f>
        <v>989.7091321049669</v>
      </c>
      <c r="I15" s="57">
        <f>316.354347659*Deflactores!$F$5</f>
        <v>868.25622500581619</v>
      </c>
      <c r="J15" s="57">
        <f>442.223359321*Deflactores!$G$5</f>
        <v>1161.6923834906229</v>
      </c>
      <c r="K15" s="57">
        <f>531.800187671*Deflactores!$H$5</f>
        <v>1321.739045167853</v>
      </c>
      <c r="L15" s="57">
        <f>1475.307795815*Deflactores!$I$5</f>
        <v>3405.3952480079629</v>
      </c>
      <c r="M15" s="57">
        <f>1721.086434788*Deflactores!$J$5</f>
        <v>3894.7510240722063</v>
      </c>
      <c r="N15" s="57">
        <f>1918.519576732*Deflactores!$K$5</f>
        <v>4208.0866919409937</v>
      </c>
      <c r="O15" s="57">
        <f>1410.078614615*Deflactores!$L$5</f>
        <v>2981.7502884803234</v>
      </c>
      <c r="P15" s="57">
        <f>416.001383759*Deflactores!$M$5</f>
        <v>858.72310700151365</v>
      </c>
      <c r="Q15" s="57">
        <f>569.080069*Deflactores!$N$5</f>
        <v>1152.357201692748</v>
      </c>
      <c r="R15" s="57">
        <f>589.780342128*Deflactores!$O$5</f>
        <v>1152.1070478311615</v>
      </c>
      <c r="S15" s="57">
        <f>716.815866512*Deflactores!$P$5</f>
        <v>1311.4776908015606</v>
      </c>
      <c r="T15" s="57">
        <f>699.37192265*Deflactores!$Q$5</f>
        <v>1209.9881426451809</v>
      </c>
      <c r="U15" s="57">
        <f>734.863679253*Deflactores!$R$5</f>
        <v>1221.4359432054493</v>
      </c>
      <c r="V15" s="57">
        <f>705.622561114*Deflactores!$S$5</f>
        <v>1136.6868810247729</v>
      </c>
    </row>
    <row r="16" spans="1:22" x14ac:dyDescent="0.2">
      <c r="C16" s="87" t="s">
        <v>125</v>
      </c>
      <c r="D16" s="56">
        <f>45.129433476*Deflactores!$A$5</f>
        <v>168.04905695666929</v>
      </c>
      <c r="E16" s="56">
        <f>75.9174265229999*Deflactores!$B$5</f>
        <v>262.60953084065164</v>
      </c>
      <c r="F16" s="56">
        <f>88.4200973889999*Deflactores!$C$5</f>
        <v>285.87049711766826</v>
      </c>
      <c r="G16" s="56">
        <f>73.44213883*Deflactores!$D$5</f>
        <v>222.97146298144844</v>
      </c>
      <c r="H16" s="56">
        <f>94.060336756*Deflactores!$E$5</f>
        <v>270.68890628954256</v>
      </c>
      <c r="I16" s="56">
        <f>99.325544478*Deflactores!$F$5</f>
        <v>272.60577555922873</v>
      </c>
      <c r="J16" s="56">
        <f>130.634067767*Deflactores!$G$5</f>
        <v>343.16731206224023</v>
      </c>
      <c r="K16" s="56">
        <f>137.227504215*Deflactores!$H$5</f>
        <v>341.06597665232931</v>
      </c>
      <c r="L16" s="56">
        <f>198.606499368*Deflactores!$I$5</f>
        <v>458.43560990448003</v>
      </c>
      <c r="M16" s="56">
        <f>237.043251318*Deflactores!$J$5</f>
        <v>536.41957031281049</v>
      </c>
      <c r="N16" s="56">
        <f>356.685774659*Deflactores!$K$5</f>
        <v>782.35566618712357</v>
      </c>
      <c r="O16" s="56">
        <f>379.576836664*Deflactores!$L$5</f>
        <v>802.65265389642957</v>
      </c>
      <c r="P16" s="56">
        <f>425.192068809*Deflactores!$M$5</f>
        <v>877.69480740859808</v>
      </c>
      <c r="Q16" s="56">
        <f>430.150279571*Deflactores!$N$5</f>
        <v>871.03168688515586</v>
      </c>
      <c r="R16" s="56">
        <f>376.768072066*Deflactores!$O$5</f>
        <v>735.99799826965034</v>
      </c>
      <c r="S16" s="56">
        <f>354.686305279*Deflactores!$P$5</f>
        <v>648.92979960070841</v>
      </c>
      <c r="T16" s="56">
        <f>306.516490806*Deflactores!$Q$5</f>
        <v>530.30627537227826</v>
      </c>
      <c r="U16" s="56">
        <f>380.331423347*Deflactores!$R$5</f>
        <v>632.15870360981307</v>
      </c>
      <c r="V16" s="56">
        <f>334.7780418*Deflactores!$S$5</f>
        <v>539.29370904531436</v>
      </c>
    </row>
    <row r="17" spans="3:22" x14ac:dyDescent="0.2">
      <c r="C17" s="88" t="s">
        <v>126</v>
      </c>
      <c r="D17" s="57">
        <f>252.244047566*Deflactores!$A$5</f>
        <v>939.28443260743256</v>
      </c>
      <c r="E17" s="57">
        <f>297.095778677*Deflactores!$B$5</f>
        <v>1027.6979427044737</v>
      </c>
      <c r="F17" s="57">
        <f>293.965209835899*Deflactores!$C$5</f>
        <v>950.41719193517622</v>
      </c>
      <c r="G17" s="57">
        <f>214.21804198*Deflactores!$D$5</f>
        <v>650.36926998905506</v>
      </c>
      <c r="H17" s="57">
        <f>201.371701214*Deflactores!$E$5</f>
        <v>579.51191160077519</v>
      </c>
      <c r="I17" s="57">
        <f>225.673526507999*Deflactores!$F$5</f>
        <v>619.37648608133736</v>
      </c>
      <c r="J17" s="57">
        <f>317.885966922*Deflactores!$G$5</f>
        <v>835.06603350589478</v>
      </c>
      <c r="K17" s="57">
        <f>338.709333347*Deflactores!$H$5</f>
        <v>841.82999785713844</v>
      </c>
      <c r="L17" s="57">
        <f>327.398541101999*Deflactores!$I$5</f>
        <v>755.72123948384228</v>
      </c>
      <c r="M17" s="57">
        <f>480.084270815*Deflactores!$J$5</f>
        <v>1086.4118545144418</v>
      </c>
      <c r="N17" s="57">
        <f>467.240523727*Deflactores!$K$5</f>
        <v>1024.846790033974</v>
      </c>
      <c r="O17" s="57">
        <f>590.689996335999*Deflactores!$L$5</f>
        <v>1249.0722493924204</v>
      </c>
      <c r="P17" s="57">
        <f>795.027825458*Deflactores!$M$5</f>
        <v>1641.1213786381566</v>
      </c>
      <c r="Q17" s="57">
        <f>1078.332831882*Deflactores!$N$5</f>
        <v>2183.5672558775873</v>
      </c>
      <c r="R17" s="57">
        <f>902.572983982*Deflactores!$O$5</f>
        <v>1763.132172692835</v>
      </c>
      <c r="S17" s="57">
        <f>893.41317536*Deflactores!$P$5</f>
        <v>1634.5780037685697</v>
      </c>
      <c r="T17" s="57">
        <f>853.455904355*Deflactores!$Q$5</f>
        <v>1476.5698923502098</v>
      </c>
      <c r="U17" s="57">
        <f>988.926138671*Deflactores!$R$5</f>
        <v>1643.7197334014311</v>
      </c>
      <c r="V17" s="57">
        <f>844.063954732*Deflactores!$S$5</f>
        <v>1359.7020233806643</v>
      </c>
    </row>
    <row r="18" spans="3:22" x14ac:dyDescent="0.2">
      <c r="C18" s="87" t="s">
        <v>127</v>
      </c>
      <c r="D18" s="56">
        <f>194.10744778*Deflactores!$A$5</f>
        <v>722.80042170354602</v>
      </c>
      <c r="E18" s="56">
        <f>222.859320268*Deflactores!$B$5</f>
        <v>770.90312750940416</v>
      </c>
      <c r="F18" s="56">
        <f>196.468797251*Deflactores!$C$5</f>
        <v>635.20211351001103</v>
      </c>
      <c r="G18" s="56">
        <f>230.374907985*Deflactores!$D$5</f>
        <v>699.42176366259855</v>
      </c>
      <c r="H18" s="56">
        <f>230.193360479*Deflactores!$E$5</f>
        <v>662.4555166628212</v>
      </c>
      <c r="I18" s="56">
        <f>252.557433626*Deflactores!$F$5</f>
        <v>693.16121475793886</v>
      </c>
      <c r="J18" s="56">
        <f>301.754682913*Deflactores!$G$5</f>
        <v>792.69018570366063</v>
      </c>
      <c r="K18" s="56">
        <f>290.367705615*Deflactores!$H$5</f>
        <v>721.68145642811146</v>
      </c>
      <c r="L18" s="56">
        <f>321.209*Deflactores!$I$5</f>
        <v>741.43416398957004</v>
      </c>
      <c r="M18" s="56">
        <f>349.769350642*Deflactores!$J$5</f>
        <v>791.5143069324123</v>
      </c>
      <c r="N18" s="56">
        <f>379.682733535*Deflactores!$K$5</f>
        <v>832.79726593668306</v>
      </c>
      <c r="O18" s="56">
        <f>403.797018673*Deflactores!$L$5</f>
        <v>853.86861727879739</v>
      </c>
      <c r="P18" s="56">
        <f>427.242213704*Deflactores!$M$5</f>
        <v>881.9267808172674</v>
      </c>
      <c r="Q18" s="56">
        <f>467.87731726*Deflactores!$N$5</f>
        <v>947.42695347013409</v>
      </c>
      <c r="R18" s="56">
        <f>471.858594278*Deflactores!$O$5</f>
        <v>921.7526818304907</v>
      </c>
      <c r="S18" s="56">
        <f>476.201646874*Deflactores!$P$5</f>
        <v>871.25280755453082</v>
      </c>
      <c r="T18" s="56">
        <f>514.24660542*Deflactores!$Q$5</f>
        <v>889.70156622248419</v>
      </c>
      <c r="U18" s="56">
        <f>555.652081499*Deflactores!$R$5</f>
        <v>923.56370769297564</v>
      </c>
      <c r="V18" s="56">
        <f>587.450488892*Deflactores!$S$5</f>
        <v>946.32357406617075</v>
      </c>
    </row>
    <row r="19" spans="3:22" x14ac:dyDescent="0.2">
      <c r="C19" s="88" t="s">
        <v>128</v>
      </c>
      <c r="D19" s="57">
        <f>65.209411522*Deflactores!$A$5</f>
        <v>242.82113172989798</v>
      </c>
      <c r="E19" s="57">
        <f>68.516762193*Deflactores!$B$5</f>
        <v>237.00954574340102</v>
      </c>
      <c r="F19" s="57">
        <f>67.359684435*Deflactores!$C$5</f>
        <v>217.78019979333698</v>
      </c>
      <c r="G19" s="57">
        <f>67.172533656*Deflactores!$D$5</f>
        <v>203.93684525062875</v>
      </c>
      <c r="H19" s="57">
        <f>96.980442216*Deflactores!$E$5</f>
        <v>279.09245001986096</v>
      </c>
      <c r="I19" s="57">
        <f>106.06837541*Deflactores!$F$5</f>
        <v>291.1119379502112</v>
      </c>
      <c r="J19" s="57">
        <f>131.089528776*Deflactores!$G$5</f>
        <v>344.36377890185872</v>
      </c>
      <c r="K19" s="57">
        <f>150.247173095*Deflactores!$H$5</f>
        <v>373.42513167485242</v>
      </c>
      <c r="L19" s="57">
        <f>183.245690033*Deflactores!$I$5</f>
        <v>422.97885487115622</v>
      </c>
      <c r="M19" s="57">
        <f>204.394866031*Deflactores!$J$5</f>
        <v>462.53755633568551</v>
      </c>
      <c r="N19" s="57">
        <f>220.204642342*Deflactores!$K$5</f>
        <v>482.99753423492945</v>
      </c>
      <c r="O19" s="57">
        <f>243.312715371999*Deflactores!$L$5</f>
        <v>514.50873145074581</v>
      </c>
      <c r="P19" s="57">
        <f>349.130995151*Deflactores!$M$5</f>
        <v>720.68715300303586</v>
      </c>
      <c r="Q19" s="57">
        <f>415.68063493*Deflactores!$N$5</f>
        <v>841.73141770283928</v>
      </c>
      <c r="R19" s="57">
        <f>393.155245505999*Deflactores!$O$5</f>
        <v>768.00953996690987</v>
      </c>
      <c r="S19" s="57">
        <f>441.348925431*Deflactores!$P$5</f>
        <v>807.48668745086741</v>
      </c>
      <c r="T19" s="57">
        <f>381.006816285999*Deflactores!$Q$5</f>
        <v>659.18249652662053</v>
      </c>
      <c r="U19" s="57">
        <f>403.435953241*Deflactores!$R$5</f>
        <v>670.56134080652851</v>
      </c>
      <c r="V19" s="57">
        <f>404.419264465*Deflactores!$S$5</f>
        <v>651.47870502511489</v>
      </c>
    </row>
    <row r="20" spans="3:22" x14ac:dyDescent="0.2">
      <c r="C20" s="87" t="s">
        <v>129</v>
      </c>
      <c r="D20" s="56">
        <f>6664.87368560295*Deflactores!$A$5</f>
        <v>24818.076615043934</v>
      </c>
      <c r="E20" s="56">
        <f>7870.9053344965*Deflactores!$B$5</f>
        <v>27226.617811617976</v>
      </c>
      <c r="F20" s="56">
        <f>8848.59431268584*Deflactores!$C$5</f>
        <v>28608.338258568438</v>
      </c>
      <c r="G20" s="56">
        <f>9951.8655951397*Deflactores!$D$5</f>
        <v>30214.017000232314</v>
      </c>
      <c r="H20" s="56">
        <f>11171.455131368*Deflactores!$E$5</f>
        <v>32149.459330739697</v>
      </c>
      <c r="I20" s="56">
        <f>12109.4277170426*Deflactores!$F$5</f>
        <v>33235.155686601764</v>
      </c>
      <c r="J20" s="56">
        <f>13324.4777921817*Deflactores!$G$5</f>
        <v>35002.548008622078</v>
      </c>
      <c r="K20" s="56">
        <f>14808.7773423891*Deflactores!$H$5</f>
        <v>36805.814812426906</v>
      </c>
      <c r="L20" s="56">
        <f>18603.8541245079*Deflactores!$I$5</f>
        <v>42942.548402405999</v>
      </c>
      <c r="M20" s="56">
        <f>20541.7900067603*Deflactores!$J$5</f>
        <v>46485.264219144679</v>
      </c>
      <c r="N20" s="56">
        <f>21043.5349949551*Deflactores!$K$5</f>
        <v>46156.953850064987</v>
      </c>
      <c r="O20" s="56">
        <f>22001.8294634344*Deflactores!$L$5</f>
        <v>46525.038157253759</v>
      </c>
      <c r="P20" s="56">
        <f>23961.7743183799*Deflactores!$M$5</f>
        <v>49462.646268188284</v>
      </c>
      <c r="Q20" s="56">
        <f>26462.909724982*Deflactores!$N$5</f>
        <v>53586.000038472739</v>
      </c>
      <c r="R20" s="56">
        <f>27039.9698040033*Deflactores!$O$5</f>
        <v>52821.258287331773</v>
      </c>
      <c r="S20" s="56">
        <f>27313.6586414323*Deflactores!$P$5</f>
        <v>49972.741447134322</v>
      </c>
      <c r="T20" s="56">
        <f>28917.9990818539*Deflactores!$Q$5</f>
        <v>50031.227827226314</v>
      </c>
      <c r="U20" s="56">
        <f>29980.0795453865*Deflactores!$R$5</f>
        <v>49830.666245632208</v>
      </c>
      <c r="V20" s="56">
        <f>31442.3882201376*Deflactores!$S$5</f>
        <v>50650.520784785556</v>
      </c>
    </row>
    <row r="21" spans="3:22" x14ac:dyDescent="0.2">
      <c r="C21" s="88" t="s">
        <v>130</v>
      </c>
      <c r="D21" s="57">
        <f>40.031901078*Deflactores!$A$5</f>
        <v>149.06730942940348</v>
      </c>
      <c r="E21" s="57">
        <f>78.919547301*Deflactores!$B$5</f>
        <v>272.99430763229816</v>
      </c>
      <c r="F21" s="57">
        <f>38.875657759*Deflactores!$C$5</f>
        <v>125.68866058186737</v>
      </c>
      <c r="G21" s="57">
        <f>39.6662662215*Deflactores!$D$5</f>
        <v>120.42739429051927</v>
      </c>
      <c r="H21" s="57">
        <f>89.682200974*Deflactores!$E$5</f>
        <v>258.08941082429703</v>
      </c>
      <c r="I21" s="57">
        <f>72.727015362*Deflactores!$F$5</f>
        <v>199.60428640043597</v>
      </c>
      <c r="J21" s="57">
        <f>103.039490708*Deflactores!$G$5</f>
        <v>270.67812912015069</v>
      </c>
      <c r="K21" s="57">
        <f>86.478482597*Deflactores!$H$5</f>
        <v>214.93408551791799</v>
      </c>
      <c r="L21" s="57">
        <f>156.150002593*Deflactores!$I$5</f>
        <v>360.43493995968402</v>
      </c>
      <c r="M21" s="57">
        <f>146.521894787*Deflactores!$J$5</f>
        <v>331.57329477235805</v>
      </c>
      <c r="N21" s="57">
        <f>142.875385563*Deflactores!$K$5</f>
        <v>313.38330652728359</v>
      </c>
      <c r="O21" s="57">
        <f>175.599228686*Deflactores!$L$5</f>
        <v>371.32188614488109</v>
      </c>
      <c r="P21" s="57">
        <f>331.976815893999*Deflactores!$M$5</f>
        <v>685.27695802597623</v>
      </c>
      <c r="Q21" s="57">
        <f>388.716914916*Deflactores!$N$5</f>
        <v>787.13130317561672</v>
      </c>
      <c r="R21" s="57">
        <f>352.960951687*Deflactores!$O$5</f>
        <v>689.49195319150158</v>
      </c>
      <c r="S21" s="57">
        <f>436.371406503*Deflactores!$P$5</f>
        <v>798.37987866693379</v>
      </c>
      <c r="T21" s="57">
        <f>408.787614976*Deflactores!$Q$5</f>
        <v>707.24624618466385</v>
      </c>
      <c r="U21" s="57">
        <f>590.46427808*Deflactores!$R$5</f>
        <v>981.42596074267101</v>
      </c>
      <c r="V21" s="57">
        <f>569.193689811*Deflactores!$S$5</f>
        <v>916.91370943242782</v>
      </c>
    </row>
    <row r="22" spans="3:22" x14ac:dyDescent="0.2">
      <c r="C22" s="87" t="s">
        <v>131</v>
      </c>
      <c r="D22" s="56">
        <f>5235.26438328*Deflactores!$A$5</f>
        <v>19494.621907826826</v>
      </c>
      <c r="E22" s="56">
        <f>7757.8366176925*Deflactores!$B$5</f>
        <v>26835.496510059409</v>
      </c>
      <c r="F22" s="56">
        <f>8755.453902674*Deflactores!$C$5</f>
        <v>28307.20654645679</v>
      </c>
      <c r="G22" s="56">
        <f>10167.971275037*Deflactores!$D$5</f>
        <v>30870.117167968969</v>
      </c>
      <c r="H22" s="56">
        <f>11584.321929913*Deflactores!$E$5</f>
        <v>33337.616485984858</v>
      </c>
      <c r="I22" s="56">
        <f>12622.644606891*Deflactores!$F$5</f>
        <v>34643.714673340641</v>
      </c>
      <c r="J22" s="56">
        <f>13594.329739221*Deflactores!$G$5</f>
        <v>35711.431754670688</v>
      </c>
      <c r="K22" s="56">
        <f>14382.471192177*Deflactores!$H$5</f>
        <v>35746.271215050234</v>
      </c>
      <c r="L22" s="56">
        <f>16273.788039058*Deflactores!$I$5</f>
        <v>37564.148045921604</v>
      </c>
      <c r="M22" s="56">
        <f>18860.763135137*Deflactores!$J$5</f>
        <v>42681.166413589541</v>
      </c>
      <c r="N22" s="56">
        <f>20860.213156443*Deflactores!$K$5</f>
        <v>45754.8551702595</v>
      </c>
      <c r="O22" s="56">
        <f>21770.7063794149*Deflactores!$L$5</f>
        <v>46036.305603404078</v>
      </c>
      <c r="P22" s="56">
        <f>23375.519944662*Deflactores!$M$5</f>
        <v>48252.481598197875</v>
      </c>
      <c r="Q22" s="56">
        <f>25277.959412202*Deflactores!$N$5</f>
        <v>51186.537992684403</v>
      </c>
      <c r="R22" s="56">
        <f>26933.831212576*Deflactores!$O$5</f>
        <v>52613.92174100157</v>
      </c>
      <c r="S22" s="56">
        <f>29064.662956158*Deflactores!$P$5</f>
        <v>53176.357888319202</v>
      </c>
      <c r="T22" s="56">
        <f>31612.857536642*Deflactores!$Q$5</f>
        <v>54693.620855595786</v>
      </c>
      <c r="U22" s="56">
        <f>35595.553160417*Deflactores!$R$5</f>
        <v>59164.290297500324</v>
      </c>
      <c r="V22" s="56">
        <f>38244.224913605*Deflactores!$S$5</f>
        <v>61607.594668776925</v>
      </c>
    </row>
    <row r="23" spans="3:22" x14ac:dyDescent="0.2">
      <c r="C23" s="88" t="s">
        <v>132</v>
      </c>
      <c r="D23" s="57">
        <f>42.822493772*Deflactores!$A$5</f>
        <v>159.45867564999352</v>
      </c>
      <c r="E23" s="57">
        <f>54.143454326*Deflactores!$B$5</f>
        <v>187.29016234942389</v>
      </c>
      <c r="F23" s="57">
        <f>55.42238912*Deflactores!$C$5</f>
        <v>179.18580048017802</v>
      </c>
      <c r="G23" s="57">
        <f>41.64250792584*Deflactores!$D$5</f>
        <v>126.42729449824094</v>
      </c>
      <c r="H23" s="57">
        <f>50.0477508*Deflactores!$E$5</f>
        <v>144.02851822066657</v>
      </c>
      <c r="I23" s="57">
        <f>50.679495106*Deflactores!$F$5</f>
        <v>139.09335348653758</v>
      </c>
      <c r="J23" s="57">
        <f>73.7477745*Deflactores!$G$5</f>
        <v>193.73067055430343</v>
      </c>
      <c r="K23" s="57">
        <f>122.694552557*Deflactores!$H$5</f>
        <v>304.9457004786039</v>
      </c>
      <c r="L23" s="57">
        <f>115.013341134999*Deflactores!$I$5</f>
        <v>265.48079422455538</v>
      </c>
      <c r="M23" s="57">
        <f>163.92961532*Deflactores!$J$5</f>
        <v>370.96628283051791</v>
      </c>
      <c r="N23" s="57">
        <f>158.065175529*Deflactores!$K$5</f>
        <v>346.70063817431554</v>
      </c>
      <c r="O23" s="57">
        <f>166.849637*Deflactores!$L$5</f>
        <v>352.82001166539419</v>
      </c>
      <c r="P23" s="57">
        <f>183.758158342*Deflactores!$M$5</f>
        <v>379.31935524458328</v>
      </c>
      <c r="Q23" s="57">
        <f>222.128543*Deflactores!$N$5</f>
        <v>449.79861388814038</v>
      </c>
      <c r="R23" s="57">
        <f>237.491982593*Deflactores!$O$5</f>
        <v>463.92897050713822</v>
      </c>
      <c r="S23" s="57">
        <f>261.591623623*Deflactores!$P$5</f>
        <v>478.60488935812322</v>
      </c>
      <c r="T23" s="57">
        <f>294.470123572*Deflactores!$Q$5</f>
        <v>509.46477309998306</v>
      </c>
      <c r="U23" s="57">
        <f>368.599677029*Deflactores!$R$5</f>
        <v>612.6590643788478</v>
      </c>
      <c r="V23" s="57">
        <f>461.126243087*Deflactores!$S$5</f>
        <v>742.82793649018674</v>
      </c>
    </row>
    <row r="24" spans="3:22" x14ac:dyDescent="0.2">
      <c r="C24" s="87" t="s">
        <v>133</v>
      </c>
      <c r="D24" s="56">
        <f>646.961704317*Deflactores!$A$5</f>
        <v>2409.0996922301219</v>
      </c>
      <c r="E24" s="56">
        <f>672.22750337026*Deflactores!$B$5</f>
        <v>2325.333686393652</v>
      </c>
      <c r="F24" s="56">
        <f>704.592162803*Deflactores!$C$5</f>
        <v>2278.012779827191</v>
      </c>
      <c r="G24" s="56">
        <f>736.541162227*Deflactores!$D$5</f>
        <v>2236.1502960576363</v>
      </c>
      <c r="H24" s="56">
        <f>791.570870265*Deflactores!$E$5</f>
        <v>2278.0000637093858</v>
      </c>
      <c r="I24" s="56">
        <f>875.02590564184*Deflactores!$F$5</f>
        <v>2401.5686689212644</v>
      </c>
      <c r="J24" s="56">
        <f>966.475895626839*Deflactores!$G$5</f>
        <v>2538.8701503712286</v>
      </c>
      <c r="K24" s="56">
        <f>1104.70214083732*Deflactores!$H$5</f>
        <v>2745.6326392432857</v>
      </c>
      <c r="L24" s="56">
        <f>1290.569836764*Deflactores!$I$5</f>
        <v>2978.9718469634167</v>
      </c>
      <c r="M24" s="56">
        <f>1480.874252265*Deflactores!$J$5</f>
        <v>3351.1602868694495</v>
      </c>
      <c r="N24" s="56">
        <f>1626.553948093*Deflactores!$K$5</f>
        <v>3567.6883914593359</v>
      </c>
      <c r="O24" s="56">
        <f>1725.857917926*Deflactores!$L$5</f>
        <v>3649.4967665735121</v>
      </c>
      <c r="P24" s="56">
        <f>2048.572646491*Deflactores!$M$5</f>
        <v>4228.727923972936</v>
      </c>
      <c r="Q24" s="56">
        <f>2287.377278269*Deflactores!$N$5</f>
        <v>4631.8186546815068</v>
      </c>
      <c r="R24" s="56">
        <f>2696.67336166*Deflactores!$O$5</f>
        <v>5267.8194977762678</v>
      </c>
      <c r="S24" s="56">
        <f>3018.396446261*Deflactores!$P$5</f>
        <v>5522.4218466706388</v>
      </c>
      <c r="T24" s="56">
        <f>3247.993591445*Deflactores!$Q$5</f>
        <v>5619.3759082358356</v>
      </c>
      <c r="U24" s="56">
        <f>3440.189197783*Deflactores!$R$5</f>
        <v>5718.0275148047094</v>
      </c>
      <c r="V24" s="56">
        <f>3748.83873655699*Deflactores!$S$5</f>
        <v>6039.0016501093278</v>
      </c>
    </row>
    <row r="25" spans="3:22" x14ac:dyDescent="0.2">
      <c r="C25" s="88" t="s">
        <v>134</v>
      </c>
      <c r="D25" s="57">
        <f>7366.947957585*Deflactores!$A$5</f>
        <v>27432.399690534508</v>
      </c>
      <c r="E25" s="57">
        <f>7243.27536926699*Deflactores!$B$5</f>
        <v>25055.553561165263</v>
      </c>
      <c r="F25" s="57">
        <f>6488.700006024*Deflactores!$C$5</f>
        <v>20978.577847622502</v>
      </c>
      <c r="G25" s="57">
        <f>5355.27287352454*Deflactores!$D$5</f>
        <v>16258.690804724647</v>
      </c>
      <c r="H25" s="57">
        <f>6453.260336993*Deflactores!$E$5</f>
        <v>18571.334558940882</v>
      </c>
      <c r="I25" s="57">
        <f>7567.80345635401*Deflactores!$F$5</f>
        <v>20770.356118774103</v>
      </c>
      <c r="J25" s="57">
        <f>6496.52971387102*Deflactores!$G$5</f>
        <v>17065.966617666403</v>
      </c>
      <c r="K25" s="57">
        <f>7777.42236669518*Deflactores!$H$5</f>
        <v>19330.047358280317</v>
      </c>
      <c r="L25" s="57">
        <f>8281.097938069*Deflactores!$I$5</f>
        <v>19114.934284618244</v>
      </c>
      <c r="M25" s="57">
        <f>8721.02018793399*Deflactores!$J$5</f>
        <v>19735.326257506749</v>
      </c>
      <c r="N25" s="57">
        <f>9501.68139641099*Deflactores!$K$5</f>
        <v>20841.016959237313</v>
      </c>
      <c r="O25" s="57">
        <f>8577.206432302*Deflactores!$L$5</f>
        <v>18137.348860407084</v>
      </c>
      <c r="P25" s="57">
        <f>10208.986314365*Deflactores!$M$5</f>
        <v>21073.709822768782</v>
      </c>
      <c r="Q25" s="57">
        <f>14356.20747294*Deflactores!$N$5</f>
        <v>29070.564884671188</v>
      </c>
      <c r="R25" s="57">
        <f>17469.210691712*Deflactores!$O$5</f>
        <v>34125.248538041036</v>
      </c>
      <c r="S25" s="57">
        <f>18203.9531109518*Deflactores!$P$5</f>
        <v>33305.733738263007</v>
      </c>
      <c r="T25" s="57">
        <f>18671.8082959741*Deflactores!$Q$5</f>
        <v>32304.223129613769</v>
      </c>
      <c r="U25" s="57">
        <f>21204.2139496264*Deflactores!$R$5</f>
        <v>35244.072875964412</v>
      </c>
      <c r="V25" s="57">
        <f>12971.794703872*Deflactores!$S$5</f>
        <v>20896.254847576733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1201.117389216*Deflactores!$A$5</f>
        <v>4472.6164058617815</v>
      </c>
      <c r="E27" s="57">
        <f>1316.739251351*Deflactores!$B$5</f>
        <v>4554.7945033673814</v>
      </c>
      <c r="F27" s="57">
        <f>1268.002129679*Deflactores!$C$5</f>
        <v>4099.570231899489</v>
      </c>
      <c r="G27" s="57">
        <f>1264.980385529*Deflactores!$D$5</f>
        <v>3840.4999050629876</v>
      </c>
      <c r="H27" s="57">
        <f>1435.936598341*Deflactores!$E$5</f>
        <v>4132.3699309555923</v>
      </c>
      <c r="I27" s="57">
        <f>1768.01077890105*Deflactores!$F$5</f>
        <v>4852.4269573588917</v>
      </c>
      <c r="J27" s="57">
        <f>2970.999536595*Deflactores!$G$5</f>
        <v>7804.6251069050768</v>
      </c>
      <c r="K27" s="57">
        <f>3892.14683632*Deflactores!$H$5</f>
        <v>9673.5626695063875</v>
      </c>
      <c r="L27" s="57">
        <f>5071.039032539*Deflactores!$I$5</f>
        <v>11705.280940599519</v>
      </c>
      <c r="M27" s="57">
        <f>5966.859436697*Deflactores!$J$5</f>
        <v>13502.768618609871</v>
      </c>
      <c r="N27" s="57">
        <f>6427.499033196*Deflactores!$K$5</f>
        <v>14098.09598613962</v>
      </c>
      <c r="O27" s="57">
        <f>6897.57159564*Deflactores!$L$5</f>
        <v>14585.595357552958</v>
      </c>
      <c r="P27" s="57">
        <f>8818.534210922*Deflactores!$M$5</f>
        <v>18203.494970077129</v>
      </c>
      <c r="Q27" s="57">
        <f>9573.606581372*Deflactores!$N$5</f>
        <v>19386.0496812042</v>
      </c>
      <c r="R27" s="57">
        <f>9906.983800907*Deflactores!$O$5</f>
        <v>19352.808231266794</v>
      </c>
      <c r="S27" s="57">
        <f>10974.148296176*Deflactores!$P$5</f>
        <v>20078.16977603389</v>
      </c>
      <c r="T27" s="57">
        <f>10882.870635556*Deflactores!$Q$5</f>
        <v>18828.528856389577</v>
      </c>
      <c r="U27" s="57">
        <f>11437.7891081949*Deflactores!$R$5</f>
        <v>19011.045343476908</v>
      </c>
      <c r="V27" s="57">
        <f>11264.565844549*Deflactores!$S$5</f>
        <v>18146.081094294743</v>
      </c>
    </row>
    <row r="28" spans="3:22" x14ac:dyDescent="0.2">
      <c r="C28" s="87" t="s">
        <v>137</v>
      </c>
      <c r="D28" s="56">
        <f>93.781670512*Deflactores!$A$5</f>
        <v>349.21602323556453</v>
      </c>
      <c r="E28" s="56">
        <f>80.957396358*Deflactores!$B$5</f>
        <v>280.04352688659816</v>
      </c>
      <c r="F28" s="56">
        <f>97.996496342*Deflactores!$C$5</f>
        <v>316.83189628065799</v>
      </c>
      <c r="G28" s="56">
        <f>85.40912443378*Deflactores!$D$5</f>
        <v>259.30341531918179</v>
      </c>
      <c r="H28" s="56">
        <f>123.573872716*Deflactores!$E$5</f>
        <v>355.623609324612</v>
      </c>
      <c r="I28" s="56">
        <f>263.357154131*Deflactores!$F$5</f>
        <v>722.80178908915252</v>
      </c>
      <c r="J28" s="56">
        <f>138.690704354*Deflactores!$G$5</f>
        <v>364.33157930954332</v>
      </c>
      <c r="K28" s="56">
        <f>163.997302716*Deflactores!$H$5</f>
        <v>407.59977774970156</v>
      </c>
      <c r="L28" s="56">
        <f>196.061682732319*Deflactores!$I$5</f>
        <v>452.56150925729122</v>
      </c>
      <c r="M28" s="56">
        <f>198.949024679999*Deflactores!$J$5</f>
        <v>450.21383118741397</v>
      </c>
      <c r="N28" s="56">
        <f>245.032028166*Deflactores!$K$5</f>
        <v>537.45399803584758</v>
      </c>
      <c r="O28" s="56">
        <f>251.644502951*Deflactores!$L$5</f>
        <v>532.12711794335007</v>
      </c>
      <c r="P28" s="56">
        <f>334.485674247*Deflactores!$M$5</f>
        <v>690.45582214524529</v>
      </c>
      <c r="Q28" s="56">
        <f>431.34005182*Deflactores!$N$5</f>
        <v>873.44091309811836</v>
      </c>
      <c r="R28" s="56">
        <f>596.003968751*Deflactores!$O$5</f>
        <v>1164.2645979956119</v>
      </c>
      <c r="S28" s="56">
        <f>389.395793514*Deflactores!$P$5</f>
        <v>712.43386194916604</v>
      </c>
      <c r="T28" s="56">
        <f>340.37015970877*Deflactores!$Q$5</f>
        <v>588.87673928535025</v>
      </c>
      <c r="U28" s="56">
        <f>399.429544353*Deflactores!$R$5</f>
        <v>663.90218488803851</v>
      </c>
      <c r="V28" s="56">
        <f>622.19599437*Deflactores!$S$5</f>
        <v>1002.2950840885611</v>
      </c>
    </row>
    <row r="29" spans="3:22" x14ac:dyDescent="0.2">
      <c r="C29" s="88" t="s">
        <v>138</v>
      </c>
      <c r="D29" s="57">
        <f>164.617405215*Deflactores!$A$5</f>
        <v>612.98796759206721</v>
      </c>
      <c r="E29" s="57">
        <f>191.475974999999*Deflactores!$B$5</f>
        <v>662.34352591986578</v>
      </c>
      <c r="F29" s="57">
        <f>194.823589679*Deflactores!$C$5</f>
        <v>629.88300257983121</v>
      </c>
      <c r="G29" s="57">
        <f>241.0721394636*Deflactores!$D$5</f>
        <v>731.89872294827148</v>
      </c>
      <c r="H29" s="57">
        <f>252.85680243*Deflactores!$E$5</f>
        <v>727.676868467958</v>
      </c>
      <c r="I29" s="57">
        <f>269.18878301828*Deflactores!$F$5</f>
        <v>738.80709491400683</v>
      </c>
      <c r="J29" s="57">
        <f>313.162736*Deflactores!$G$5</f>
        <v>822.65840900595981</v>
      </c>
      <c r="K29" s="57">
        <f>314.113713421*Deflactores!$H$5</f>
        <v>780.69991187752532</v>
      </c>
      <c r="L29" s="57">
        <f>416.638740236*Deflactores!$I$5</f>
        <v>961.71089867515002</v>
      </c>
      <c r="M29" s="57">
        <f>399.585633481999*Deflactores!$J$5</f>
        <v>904.24659898051971</v>
      </c>
      <c r="N29" s="57">
        <f>408.071502612*Deflactores!$K$5</f>
        <v>895.0652786285325</v>
      </c>
      <c r="O29" s="57">
        <f>370.013607793*Deflactores!$L$5</f>
        <v>782.43026335071295</v>
      </c>
      <c r="P29" s="57">
        <f>220.984705*Deflactores!$M$5</f>
        <v>456.16356071389498</v>
      </c>
      <c r="Q29" s="57">
        <f>226.425717*Deflactores!$N$5</f>
        <v>458.50016517340748</v>
      </c>
      <c r="R29" s="57">
        <f>165.418545*Deflactores!$O$5</f>
        <v>323.13703581377519</v>
      </c>
      <c r="S29" s="57">
        <f>81.952073188*Deflactores!$P$5</f>
        <v>149.93852776164724</v>
      </c>
      <c r="T29" s="57">
        <f>94.3245*Deflactores!$Q$5</f>
        <v>163.19146203135807</v>
      </c>
      <c r="U29" s="57">
        <f>93.594885526*Deflactores!$R$5</f>
        <v>155.56648193289948</v>
      </c>
      <c r="V29" s="57">
        <f>95.960207596*Deflactores!$S$5</f>
        <v>154.58223005594147</v>
      </c>
    </row>
    <row r="30" spans="3:22" x14ac:dyDescent="0.2">
      <c r="C30" s="87" t="s">
        <v>139</v>
      </c>
      <c r="D30" s="56">
        <f>636.389560684*Deflactores!$A$5</f>
        <v>2369.7320638179258</v>
      </c>
      <c r="E30" s="56">
        <f>807.580767556*Deflactores!$B$5</f>
        <v>2793.5405110124925</v>
      </c>
      <c r="F30" s="56">
        <f>779.818446641*Deflactores!$C$5</f>
        <v>2521.2264359089504</v>
      </c>
      <c r="G30" s="56">
        <f>775.15312679325*Deflactores!$D$5</f>
        <v>2353.3768143083248</v>
      </c>
      <c r="H30" s="56">
        <f>1002.3379383122*Deflactores!$E$5</f>
        <v>2884.5501686654029</v>
      </c>
      <c r="I30" s="56">
        <f>1042.25330177063*Deflactores!$F$5</f>
        <v>2860.535737826046</v>
      </c>
      <c r="J30" s="56">
        <f>1363.43850119429*Deflactores!$G$5</f>
        <v>3581.6654385404431</v>
      </c>
      <c r="K30" s="56">
        <f>1565.02518952216*Deflactores!$H$5</f>
        <v>3889.7220189444088</v>
      </c>
      <c r="L30" s="56">
        <f>1813.57789659499*Deflactores!$I$5</f>
        <v>4186.2108832313834</v>
      </c>
      <c r="M30" s="56">
        <f>2247.660641906*Deflactores!$J$5</f>
        <v>5086.3677790293523</v>
      </c>
      <c r="N30" s="56">
        <f>3144.55376386961*Deflactores!$K$5</f>
        <v>6897.2738179575736</v>
      </c>
      <c r="O30" s="56">
        <f>6589.23311235299*Deflactores!$L$5</f>
        <v>13933.583227192659</v>
      </c>
      <c r="P30" s="56">
        <f>2675.15154238889*Deflactores!$M$5</f>
        <v>5522.1317376937204</v>
      </c>
      <c r="Q30" s="56">
        <f>3424.975978426*Deflactores!$N$5</f>
        <v>6935.3961759709209</v>
      </c>
      <c r="R30" s="56">
        <f>3614.0608916104*Deflactores!$O$5</f>
        <v>7059.8911613294276</v>
      </c>
      <c r="S30" s="56">
        <f>3583.61973111*Deflactores!$P$5</f>
        <v>6556.5475727208586</v>
      </c>
      <c r="T30" s="56">
        <f>3725.897809151*Deflactores!$Q$5</f>
        <v>6446.2012611228856</v>
      </c>
      <c r="U30" s="56">
        <f>4186.99125571126*Deflactores!$R$5</f>
        <v>6959.3065462307977</v>
      </c>
      <c r="V30" s="56">
        <f>3863.998058346*Deflactores!$S$5</f>
        <v>6224.5117195416587</v>
      </c>
    </row>
    <row r="31" spans="3:22" x14ac:dyDescent="0.2">
      <c r="C31" s="88" t="s">
        <v>140</v>
      </c>
      <c r="D31" s="57">
        <f>386.144118322*Deflactores!$A$5</f>
        <v>1437.8898633390995</v>
      </c>
      <c r="E31" s="57">
        <f>635.650528905*Deflactores!$B$5</f>
        <v>2198.8085584510923</v>
      </c>
      <c r="F31" s="57">
        <f>431.020439883*Deflactores!$C$5</f>
        <v>1393.5296505628844</v>
      </c>
      <c r="G31" s="57">
        <f>431.450541862069*Deflactores!$D$5</f>
        <v>1309.8904805292443</v>
      </c>
      <c r="H31" s="57">
        <f>3048.17606754899*Deflactores!$E$5</f>
        <v>8772.1081420661867</v>
      </c>
      <c r="I31" s="57">
        <f>3025.480241108*Deflactores!$F$5</f>
        <v>8303.6382221800832</v>
      </c>
      <c r="J31" s="57">
        <f>1170.949296033*Deflactores!$G$5</f>
        <v>3076.0086503432403</v>
      </c>
      <c r="K31" s="57">
        <f>4100.811942*Deflactores!$H$5</f>
        <v>10192.180044857818</v>
      </c>
      <c r="L31" s="57">
        <f>1854.205581086*Deflactores!$I$5</f>
        <v>4279.9901773527308</v>
      </c>
      <c r="M31" s="57">
        <f>7335.24881039799*Deflactores!$J$5</f>
        <v>16599.380041968128</v>
      </c>
      <c r="N31" s="57">
        <f>2410.941794472*Deflactores!$K$5</f>
        <v>5288.1670864384359</v>
      </c>
      <c r="O31" s="57">
        <f>2946.99259999999*Deflactores!$L$5</f>
        <v>6231.7064765914165</v>
      </c>
      <c r="P31" s="57">
        <f>2809.265616633*Deflactores!$M$5</f>
        <v>5798.9742171270409</v>
      </c>
      <c r="Q31" s="57">
        <f>3504.351208229*Deflactores!$N$5</f>
        <v>7096.1268405683195</v>
      </c>
      <c r="R31" s="57">
        <f>3046.67754875862*Deflactores!$O$5</f>
        <v>5951.5355559815807</v>
      </c>
      <c r="S31" s="57">
        <f>3448.632175928*Deflactores!$P$5</f>
        <v>6309.5759647701661</v>
      </c>
      <c r="T31" s="57">
        <f>3290.714423059*Deflactores!$Q$5</f>
        <v>5693.2875109507622</v>
      </c>
      <c r="U31" s="57">
        <f>3919.927051289*Deflactores!$R$5</f>
        <v>6515.4122191135484</v>
      </c>
      <c r="V31" s="57">
        <f>4192.09876769189*Deflactores!$S$5</f>
        <v>6753.0489184934686</v>
      </c>
    </row>
    <row r="32" spans="3:22" x14ac:dyDescent="0.2">
      <c r="C32" s="87" t="s">
        <v>141</v>
      </c>
      <c r="D32" s="56">
        <f>381.319260334*Deflactores!$A$5</f>
        <v>1419.9234770501059</v>
      </c>
      <c r="E32" s="56">
        <f>386.423269198*Deflactores!$B$5</f>
        <v>1336.6948548928192</v>
      </c>
      <c r="F32" s="56">
        <f>414.977807931999*Deflactores!$C$5</f>
        <v>1341.6623115038462</v>
      </c>
      <c r="G32" s="56">
        <f>424.217197282*Deflactores!$D$5</f>
        <v>1287.9299351398977</v>
      </c>
      <c r="H32" s="56">
        <f>487.315061684*Deflactores!$E$5</f>
        <v>1402.4060046462516</v>
      </c>
      <c r="I32" s="56">
        <f>510.267212959549*Deflactores!$F$5</f>
        <v>1400.4633960208914</v>
      </c>
      <c r="J32" s="56">
        <f>572.81673095*Deflactores!$G$5</f>
        <v>1504.7527894101738</v>
      </c>
      <c r="K32" s="56">
        <f>647.106329961*Deflactores!$H$5</f>
        <v>1608.3215510519217</v>
      </c>
      <c r="L32" s="56">
        <f>744.337243308*Deflactores!$I$5</f>
        <v>1718.1245286351507</v>
      </c>
      <c r="M32" s="56">
        <f>850.879748751*Deflactores!$J$5</f>
        <v>1925.5074619296888</v>
      </c>
      <c r="N32" s="56">
        <f>994.759660481*Deflactores!$K$5</f>
        <v>2181.9088737579191</v>
      </c>
      <c r="O32" s="56">
        <f>1004.824759893*Deflactores!$L$5</f>
        <v>2124.8010477069552</v>
      </c>
      <c r="P32" s="56">
        <f>1190.62004141099*Deflactores!$M$5</f>
        <v>2457.7152411854131</v>
      </c>
      <c r="Q32" s="56">
        <f>1325.27364643099*Deflactores!$N$5</f>
        <v>2683.6094143342075</v>
      </c>
      <c r="R32" s="56">
        <f>1408.792842327*Deflactores!$O$5</f>
        <v>2752.007903014804</v>
      </c>
      <c r="S32" s="56">
        <f>1554.328863375*Deflactores!$P$5</f>
        <v>2843.7814001026081</v>
      </c>
      <c r="T32" s="56">
        <f>1589.501273765*Deflactores!$Q$5</f>
        <v>2750.0070158486533</v>
      </c>
      <c r="U32" s="56">
        <f>1780.736956557*Deflactores!$R$5</f>
        <v>2959.8089898033577</v>
      </c>
      <c r="V32" s="56">
        <f>1887.10331351*Deflactores!$S$5</f>
        <v>3039.9333833922633</v>
      </c>
    </row>
    <row r="33" spans="3:22" x14ac:dyDescent="0.2">
      <c r="C33" s="88" t="s">
        <v>142</v>
      </c>
      <c r="D33" s="57">
        <f>509.125333395*Deflactores!$A$5</f>
        <v>1895.8366094996443</v>
      </c>
      <c r="E33" s="57">
        <f>1099.332188813*Deflactores!$B$5</f>
        <v>3802.7515362990562</v>
      </c>
      <c r="F33" s="57">
        <f>901.756571036*Deflactores!$C$5</f>
        <v>2915.4638691141681</v>
      </c>
      <c r="G33" s="57">
        <f>437.634885789*Deflactores!$D$5</f>
        <v>1328.6662438026988</v>
      </c>
      <c r="H33" s="57">
        <f>348.056709425*Deflactores!$E$5</f>
        <v>1001.645255059971</v>
      </c>
      <c r="I33" s="57">
        <f>307.417150541*Deflactores!$F$5</f>
        <v>843.72747397321825</v>
      </c>
      <c r="J33" s="57">
        <f>409.142557694*Deflactores!$G$5</f>
        <v>1074.7912407087131</v>
      </c>
      <c r="K33" s="57">
        <f>449.952289433*Deflactores!$H$5</f>
        <v>1118.3138389078345</v>
      </c>
      <c r="L33" s="57">
        <f>659.739426838*Deflactores!$I$5</f>
        <v>1522.8506996646749</v>
      </c>
      <c r="M33" s="57">
        <f>1188.397739238*Deflactores!$J$5</f>
        <v>2689.2974218766803</v>
      </c>
      <c r="N33" s="57">
        <f>1077.612169303*Deflactores!$K$5</f>
        <v>2363.6378193450537</v>
      </c>
      <c r="O33" s="57">
        <f>950.256311713*Deflactores!$L$5</f>
        <v>2009.4106826477248</v>
      </c>
      <c r="P33" s="57">
        <f>1062.662911678*Deflactores!$M$5</f>
        <v>2193.5821197654009</v>
      </c>
      <c r="Q33" s="57">
        <f>712.036053013*Deflactores!$N$5</f>
        <v>1441.83554872383</v>
      </c>
      <c r="R33" s="57">
        <f>507.902211443*Deflactores!$O$5</f>
        <v>992.16212480258673</v>
      </c>
      <c r="S33" s="57">
        <f>439.438618305*Deflactores!$P$5</f>
        <v>803.99161250153759</v>
      </c>
      <c r="T33" s="57">
        <f>572.412897608*Deflactores!$Q$5</f>
        <v>990.33546582548104</v>
      </c>
      <c r="U33" s="57">
        <f>550.7762706*Deflactores!$R$5</f>
        <v>915.45949618756367</v>
      </c>
      <c r="V33" s="57">
        <f>495.047022141*Deflactores!$S$5</f>
        <v>797.47089530367691</v>
      </c>
    </row>
    <row r="34" spans="3:22" x14ac:dyDescent="0.2">
      <c r="C34" s="87" t="s">
        <v>143</v>
      </c>
      <c r="D34" s="56">
        <f>788.707673448*Deflactores!$A$5</f>
        <v>2936.9209965356904</v>
      </c>
      <c r="E34" s="56">
        <f>823.168221627*Deflactores!$B$5</f>
        <v>2847.4598044878239</v>
      </c>
      <c r="F34" s="56">
        <f>1165.51511752217*Deflactores!$C$5</f>
        <v>3768.2200753340385</v>
      </c>
      <c r="G34" s="56">
        <f>806.840237526*Deflactores!$D$5</f>
        <v>2449.579369820643</v>
      </c>
      <c r="H34" s="56">
        <f>837.547150965*Deflactores!$E$5</f>
        <v>2410.3116157106083</v>
      </c>
      <c r="I34" s="56">
        <f>684.5817152984*Deflactores!$F$5</f>
        <v>1878.8815144519328</v>
      </c>
      <c r="J34" s="56">
        <f>217.030193064*Deflactores!$G$5</f>
        <v>570.1243884019666</v>
      </c>
      <c r="K34" s="56">
        <f>362.348109058*Deflactores!$H$5</f>
        <v>900.58193808120541</v>
      </c>
      <c r="L34" s="56">
        <f>355.455206462999*Deflactores!$I$5</f>
        <v>820.48334212190093</v>
      </c>
      <c r="M34" s="56">
        <f>325.413780968999*Deflactores!$J$5</f>
        <v>736.398609075281</v>
      </c>
      <c r="N34" s="56">
        <f>335.653365453*Deflactores!$K$5</f>
        <v>736.22311567649126</v>
      </c>
      <c r="O34" s="56">
        <f>335.138720933*Deflactores!$L$5</f>
        <v>708.68387582471246</v>
      </c>
      <c r="P34" s="56">
        <f>930.42907869*Deflactores!$M$5</f>
        <v>1920.6208933191967</v>
      </c>
      <c r="Q34" s="56">
        <f>649.436007799999*Deflactores!$N$5</f>
        <v>1315.0737504161591</v>
      </c>
      <c r="R34" s="56">
        <f>707.207942463*Deflactores!$O$5</f>
        <v>1381.496120833687</v>
      </c>
      <c r="S34" s="56">
        <f>687.6824029588*Deflactores!$P$5</f>
        <v>1258.1754561681109</v>
      </c>
      <c r="T34" s="56">
        <f>814.212984293*Deflactores!$Q$5</f>
        <v>1408.6754481782555</v>
      </c>
      <c r="U34" s="56">
        <f>1859.948124808*Deflactores!$R$5</f>
        <v>3091.4679229314925</v>
      </c>
      <c r="V34" s="56">
        <f>1633.707439144*Deflactores!$S$5</f>
        <v>2631.7381498910781</v>
      </c>
    </row>
    <row r="35" spans="3:22" x14ac:dyDescent="0.2">
      <c r="C35" s="88" t="s">
        <v>144</v>
      </c>
      <c r="D35" s="57">
        <f>707.148125698999*Deflactores!$A$5</f>
        <v>2633.2166504059974</v>
      </c>
      <c r="E35" s="57">
        <f>807.420378193*Deflactores!$B$5</f>
        <v>2792.9857006441975</v>
      </c>
      <c r="F35" s="57">
        <f>831.691492484*Deflactores!$C$5</f>
        <v>2688.9368755039973</v>
      </c>
      <c r="G35" s="57">
        <f>817.380614751999*Deflactores!$D$5</f>
        <v>2481.5801171831004</v>
      </c>
      <c r="H35" s="57">
        <f>1038.009006604*Deflactores!$E$5</f>
        <v>2987.2051537005377</v>
      </c>
      <c r="I35" s="57">
        <f>1075.526495704*Deflactores!$F$5</f>
        <v>2951.856302794587</v>
      </c>
      <c r="J35" s="57">
        <f>1221.275173988*Deflactores!$G$5</f>
        <v>3208.2115018673385</v>
      </c>
      <c r="K35" s="57">
        <f>1319.399935559*Deflactores!$H$5</f>
        <v>3279.2436923680634</v>
      </c>
      <c r="L35" s="57">
        <f>1470.09922161099*Deflactores!$I$5</f>
        <v>3393.3725000135801</v>
      </c>
      <c r="M35" s="57">
        <f>1687.143017745*Deflactores!$J$5</f>
        <v>3817.9384040802192</v>
      </c>
      <c r="N35" s="57">
        <f>1861.532493312*Deflactores!$K$5</f>
        <v>4083.0910493316446</v>
      </c>
      <c r="O35" s="57">
        <f>2138.20537953*Deflactores!$L$5</f>
        <v>4521.4461386498742</v>
      </c>
      <c r="P35" s="57">
        <f>2448.66053116199*Deflactores!$M$5</f>
        <v>5054.6018869243953</v>
      </c>
      <c r="Q35" s="57">
        <f>2832.355980476*Deflactores!$N$5</f>
        <v>5735.371856537543</v>
      </c>
      <c r="R35" s="57">
        <f>3025.92628639999*Deflactores!$O$5</f>
        <v>5910.9989800616213</v>
      </c>
      <c r="S35" s="57">
        <f>3237.784205559*Deflactores!$P$5</f>
        <v>5923.8110532939736</v>
      </c>
      <c r="T35" s="57">
        <f>3498.414218222*Deflactores!$Q$5</f>
        <v>6052.6303459115998</v>
      </c>
      <c r="U35" s="57">
        <f>3814.417756771*Deflactores!$R$5</f>
        <v>6340.042489591011</v>
      </c>
      <c r="V35" s="57">
        <f>4194.44147758799*Deflactores!$S$5</f>
        <v>6756.8227881961884</v>
      </c>
    </row>
    <row r="36" spans="3:22" x14ac:dyDescent="0.2">
      <c r="C36" s="87" t="s">
        <v>145</v>
      </c>
      <c r="D36" s="56">
        <f>226.4053553*Deflactores!$A$5</f>
        <v>843.06855897799585</v>
      </c>
      <c r="E36" s="56">
        <f>201.112026465999*Deflactores!$B$5</f>
        <v>695.67604350561385</v>
      </c>
      <c r="F36" s="56">
        <f>270.428137998*Deflactores!$C$5</f>
        <v>874.31962333159845</v>
      </c>
      <c r="G36" s="56">
        <f>348.938481203999*Deflactores!$D$5</f>
        <v>1059.3825953881237</v>
      </c>
      <c r="H36" s="56">
        <f>174.450295233*Deflactores!$E$5</f>
        <v>502.03689724187967</v>
      </c>
      <c r="I36" s="56">
        <f>211.061735874*Deflactores!$F$5</f>
        <v>579.27342358090846</v>
      </c>
      <c r="J36" s="56">
        <f>569.464674603999*Deflactores!$G$5</f>
        <v>1495.947152520798</v>
      </c>
      <c r="K36" s="56">
        <f>474.676507649*Deflactores!$H$5</f>
        <v>1179.7635437687029</v>
      </c>
      <c r="L36" s="56">
        <f>390.84472041*Deflactores!$I$5</f>
        <v>902.17157217551676</v>
      </c>
      <c r="M36" s="56">
        <f>447.546432516999*Deflactores!$J$5</f>
        <v>1012.7800040328328</v>
      </c>
      <c r="N36" s="56">
        <f>778.106172484*Deflactores!$K$5</f>
        <v>1706.700452295911</v>
      </c>
      <c r="O36" s="56">
        <f>659.637462740999*Deflactores!$L$5</f>
        <v>1394.8684665056257</v>
      </c>
      <c r="P36" s="56">
        <f>498.437517713*Deflactores!$M$5</f>
        <v>1028.8903608661838</v>
      </c>
      <c r="Q36" s="56">
        <f>655.378920231999*Deflactores!$N$5</f>
        <v>1327.1078354476006</v>
      </c>
      <c r="R36" s="56">
        <f>1197.477943088*Deflactores!$O$5</f>
        <v>2339.2145843250705</v>
      </c>
      <c r="S36" s="56">
        <f>963.446732458*Deflactores!$P$5</f>
        <v>1762.7105577931211</v>
      </c>
      <c r="T36" s="56">
        <f>812.23910952231*Deflactores!$Q$5</f>
        <v>1405.2604339486998</v>
      </c>
      <c r="U36" s="56">
        <f>853.204318697*Deflactores!$R$5</f>
        <v>1418.1329832683775</v>
      </c>
      <c r="V36" s="56">
        <f>1910.48985121199*Deflactores!$S$5</f>
        <v>3077.6067403162192</v>
      </c>
    </row>
    <row r="37" spans="3:22" x14ac:dyDescent="0.2">
      <c r="C37" s="88" t="s">
        <v>146</v>
      </c>
      <c r="D37" s="57">
        <f>210.610382934*Deflactores!$A$5</f>
        <v>784.25261545026387</v>
      </c>
      <c r="E37" s="57">
        <f>223.327388449*Deflactores!$B$5</f>
        <v>772.52224410810243</v>
      </c>
      <c r="F37" s="57">
        <f>240.728144389*Deflactores!$C$5</f>
        <v>778.29674857673911</v>
      </c>
      <c r="G37" s="57">
        <f>224.253779236*Deflactores!$D$5</f>
        <v>680.83792264155227</v>
      </c>
      <c r="H37" s="57">
        <f>243.185298303*Deflactores!$E$5</f>
        <v>699.84400113405036</v>
      </c>
      <c r="I37" s="57">
        <f>302.131545396*Deflactores!$F$5</f>
        <v>829.22076779380507</v>
      </c>
      <c r="J37" s="57">
        <f>303.904030715999*Deflactores!$G$5</f>
        <v>798.33638443918198</v>
      </c>
      <c r="K37" s="57">
        <f>305.120220859*Deflactores!$H$5</f>
        <v>758.34743711876126</v>
      </c>
      <c r="L37" s="57">
        <f>295.144210031*Deflactores!$I$5</f>
        <v>681.26982936560478</v>
      </c>
      <c r="M37" s="57">
        <f>304.44280863*Deflactores!$J$5</f>
        <v>688.9421220899734</v>
      </c>
      <c r="N37" s="57">
        <f>382.636706422*Deflactores!$K$5</f>
        <v>839.27651907795848</v>
      </c>
      <c r="O37" s="57">
        <f>380.007571092*Deflactores!$L$5</f>
        <v>803.56348432221967</v>
      </c>
      <c r="P37" s="57">
        <f>640.276306143*Deflactores!$M$5</f>
        <v>1321.678437658981</v>
      </c>
      <c r="Q37" s="57">
        <f>638.0313*Deflactores!$N$5</f>
        <v>1291.9798170973834</v>
      </c>
      <c r="R37" s="57">
        <f>665.587063376*Deflactores!$O$5</f>
        <v>1300.1917695220689</v>
      </c>
      <c r="S37" s="57">
        <f>841.271113334999*Deflactores!$P$5</f>
        <v>1539.1795140128534</v>
      </c>
      <c r="T37" s="57">
        <f>1020.00322145331*Deflactores!$Q$5</f>
        <v>1764.7145437893735</v>
      </c>
      <c r="U37" s="57">
        <f>966.734113853*Deflactores!$R$5</f>
        <v>1606.8337945116953</v>
      </c>
      <c r="V37" s="57">
        <f>924.616509491*Deflactores!$S$5</f>
        <v>1489.4640764576379</v>
      </c>
    </row>
    <row r="38" spans="3:22" x14ac:dyDescent="0.2">
      <c r="C38" s="87" t="s">
        <v>147</v>
      </c>
      <c r="D38" s="58">
        <f>5730.56534656399*Deflactores!$A$5</f>
        <v>21338.980530982793</v>
      </c>
      <c r="E38" s="58">
        <f>7095.8145836105*Deflactores!$B$5</f>
        <v>24545.465041147887</v>
      </c>
      <c r="F38" s="58">
        <f>8178.81912091717*Deflactores!$C$5</f>
        <v>26442.892023131339</v>
      </c>
      <c r="G38" s="58">
        <f>9171.95870093499*Deflactores!$D$5</f>
        <v>27846.207674952868</v>
      </c>
      <c r="H38" s="58">
        <f>11960.2773892731*Deflactores!$E$5</f>
        <v>34419.549377334799</v>
      </c>
      <c r="I38" s="58">
        <f>15073.795754959*Deflactores!$F$5</f>
        <v>41371.067271744694</v>
      </c>
      <c r="J38" s="58">
        <f>17178.31898431*Deflactores!$G$5</f>
        <v>45126.341484733166</v>
      </c>
      <c r="K38" s="58">
        <f>18911.667335078*Deflactores!$H$5</f>
        <v>47003.159655637632</v>
      </c>
      <c r="L38" s="58">
        <f>20192.815106375*Deflactores!$I$5</f>
        <v>46610.284851891163</v>
      </c>
      <c r="M38" s="58">
        <f>23698.0216447692*Deflactores!$J$5</f>
        <v>53627.692487634551</v>
      </c>
      <c r="N38" s="58">
        <f>27265.795036021*Deflactores!$K$5</f>
        <v>59804.878004796352</v>
      </c>
      <c r="O38" s="58">
        <f>26562.115058937*Deflactores!$L$5</f>
        <v>56168.211771127171</v>
      </c>
      <c r="P38" s="58">
        <f>29906.185385089*Deflactores!$M$5</f>
        <v>61733.28607802085</v>
      </c>
      <c r="Q38" s="58">
        <f>31067.5030671314*Deflactores!$N$5</f>
        <v>62910.059318946929</v>
      </c>
      <c r="R38" s="58">
        <f>36812.3627051545*Deflactores!$O$5</f>
        <v>71911.149779761341</v>
      </c>
      <c r="S38" s="58">
        <f>36635.243095477*Deflactores!$P$5</f>
        <v>67027.400287052194</v>
      </c>
      <c r="T38" s="58">
        <f>38108.0993434689*Deflactores!$Q$5</f>
        <v>65931.083091847046</v>
      </c>
      <c r="U38" s="58">
        <f>40592.0373217235*Deflactores!$R$5</f>
        <v>67469.075955814755</v>
      </c>
      <c r="V38" s="58">
        <f>50734.649963184*Deflactores!$S$5</f>
        <v>81728.411483172793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0.4162628066300964</v>
      </c>
      <c r="V39" s="59">
        <f>160.90533445*Deflactores!$S$5</f>
        <v>259.2022886392225</v>
      </c>
    </row>
    <row r="40" spans="3:22" x14ac:dyDescent="0.2">
      <c r="C40" s="87" t="s">
        <v>149</v>
      </c>
      <c r="D40" s="56">
        <f>334.318513916999*Deflactores!$A$5</f>
        <v>1244.9061878160855</v>
      </c>
      <c r="E40" s="56">
        <f>327.903808344*Deflactores!$B$5</f>
        <v>1134.2674431145631</v>
      </c>
      <c r="F40" s="56">
        <f>325.492404538999*Deflactores!$C$5</f>
        <v>1052.3475798067232</v>
      </c>
      <c r="G40" s="56">
        <f>271.135209702*Deflactores!$D$5</f>
        <v>823.17066654302869</v>
      </c>
      <c r="H40" s="56">
        <f>309.323411999999*Deflactores!$E$5</f>
        <v>890.17771966129214</v>
      </c>
      <c r="I40" s="56">
        <f>292.649355166*Deflactores!$F$5</f>
        <v>803.19624575132264</v>
      </c>
      <c r="J40" s="56">
        <f>437.141329174999*Deflactores!$G$5</f>
        <v>1148.3422164566068</v>
      </c>
      <c r="K40" s="56">
        <f>540.615260559*Deflactores!$H$5</f>
        <v>1343.6480747097496</v>
      </c>
      <c r="L40" s="56">
        <f>703.76607537*Deflactores!$I$5</f>
        <v>1624.475689461306</v>
      </c>
      <c r="M40" s="56">
        <f>1092.063487867*Deflactores!$J$5</f>
        <v>2471.2967935545776</v>
      </c>
      <c r="N40" s="56">
        <f>1184.36738755799*Deflactores!$K$5</f>
        <v>2597.7950407163912</v>
      </c>
      <c r="O40" s="56">
        <f>1294.955338668*Deflactores!$L$5</f>
        <v>2738.3107683657008</v>
      </c>
      <c r="P40" s="56">
        <f>1474.308792*Deflactores!$M$5</f>
        <v>3043.3144599329676</v>
      </c>
      <c r="Q40" s="56">
        <f>1516.77774389599*Deflactores!$N$5</f>
        <v>3071.3951370976988</v>
      </c>
      <c r="R40" s="56">
        <f>2040.420543842*Deflactores!$O$5</f>
        <v>3985.861720344808</v>
      </c>
      <c r="S40" s="56">
        <f>1634.969576201*Deflactores!$P$5</f>
        <v>2991.3206787129593</v>
      </c>
      <c r="T40" s="56">
        <f>1274.410011687*Deflactores!$Q$5</f>
        <v>2204.8654701016349</v>
      </c>
      <c r="U40" s="56">
        <f>1335.59284942*Deflactores!$R$5</f>
        <v>2219.9234467922734</v>
      </c>
      <c r="V40" s="56">
        <f>1384.485573537*Deflactores!$S$5</f>
        <v>2230.2668241262713</v>
      </c>
    </row>
    <row r="41" spans="3:22" x14ac:dyDescent="0.2">
      <c r="C41" s="88" t="s">
        <v>150</v>
      </c>
      <c r="D41" s="57">
        <f>1272.637955917*Deflactores!$A$5</f>
        <v>4738.9384680144422</v>
      </c>
      <c r="E41" s="57">
        <f>1884.60475694616*Deflactores!$B$5</f>
        <v>6519.1247083665594</v>
      </c>
      <c r="F41" s="57">
        <f>2025.51988676029*Deflactores!$C$5</f>
        <v>6548.6964394807774</v>
      </c>
      <c r="G41" s="57">
        <f>1241.8409258063*Deflactores!$D$5</f>
        <v>3770.2481494746394</v>
      </c>
      <c r="H41" s="57">
        <f>1534.25048471805*Deflactores!$E$5</f>
        <v>4415.2997959157074</v>
      </c>
      <c r="I41" s="57">
        <f>1831.45123641792*Deflactores!$F$5</f>
        <v>5026.5436482273644</v>
      </c>
      <c r="J41" s="57">
        <f>2957.48060612917*Deflactores!$G$5</f>
        <v>7769.1117442025561</v>
      </c>
      <c r="K41" s="57">
        <f>3252.877691367*Deflactores!$H$5</f>
        <v>8084.7197002027024</v>
      </c>
      <c r="L41" s="57">
        <f>2687.3349615972*Deflactores!$I$5</f>
        <v>6203.0701213594994</v>
      </c>
      <c r="M41" s="57">
        <f>4000.116025209*Deflactores!$J$5</f>
        <v>9052.1055019002815</v>
      </c>
      <c r="N41" s="57">
        <f>4343.529378435*Deflactores!$K$5</f>
        <v>9527.1105883535765</v>
      </c>
      <c r="O41" s="57">
        <f>5408.984451701*Deflactores!$L$5</f>
        <v>11437.831041532818</v>
      </c>
      <c r="P41" s="57">
        <f>8338.604*Deflactores!$M$5</f>
        <v>17212.807972493512</v>
      </c>
      <c r="Q41" s="57">
        <f>8560.41277005908*Deflactores!$N$5</f>
        <v>17334.385515160517</v>
      </c>
      <c r="R41" s="57">
        <f>7669.527677511*Deflactores!$O$5</f>
        <v>14982.047144729824</v>
      </c>
      <c r="S41" s="57">
        <f>7253.677195703*Deflactores!$P$5</f>
        <v>13271.240583346176</v>
      </c>
      <c r="T41" s="57">
        <f>5954.637484851*Deflactores!$Q$5</f>
        <v>10302.159004495794</v>
      </c>
      <c r="U41" s="57">
        <f>6585.772815713*Deflactores!$R$5</f>
        <v>10946.383469481258</v>
      </c>
      <c r="V41" s="57">
        <f>5414.277752147*Deflactores!$S$5</f>
        <v>8721.8561738922344</v>
      </c>
    </row>
    <row r="42" spans="3:22" x14ac:dyDescent="0.2">
      <c r="C42" s="87" t="s">
        <v>151</v>
      </c>
      <c r="D42" s="56">
        <f>200.532198267*Deflactores!$A$5</f>
        <v>746.72434844852569</v>
      </c>
      <c r="E42" s="56">
        <f>233.650858074*Deflactores!$B$5</f>
        <v>808.23264208962041</v>
      </c>
      <c r="F42" s="56">
        <f>191.792879*Deflactores!$C$5</f>
        <v>620.08442969866917</v>
      </c>
      <c r="G42" s="56">
        <f>228.117521445*Deflactores!$D$5</f>
        <v>692.56830340998374</v>
      </c>
      <c r="H42" s="56">
        <f>270.140974258*Deflactores!$E$5</f>
        <v>777.41763837800636</v>
      </c>
      <c r="I42" s="56">
        <f>276.768046283*Deflactores!$F$5</f>
        <v>759.60890326356196</v>
      </c>
      <c r="J42" s="56">
        <f>258.257964155*Deflactores!$G$5</f>
        <v>678.42709710158658</v>
      </c>
      <c r="K42" s="56">
        <f>409.197776365*Deflactores!$H$5</f>
        <v>1017.0223530497963</v>
      </c>
      <c r="L42" s="56">
        <f>443.669079992*Deflactores!$I$5</f>
        <v>1024.1039740850665</v>
      </c>
      <c r="M42" s="56">
        <f>721.815874974*Deflactores!$J$5</f>
        <v>1633.4409832199112</v>
      </c>
      <c r="N42" s="56">
        <f>635.328425819*Deflactores!$K$5</f>
        <v>1393.5313072253425</v>
      </c>
      <c r="O42" s="56">
        <f>1145.79693681*Deflactores!$L$5</f>
        <v>2422.900618066536</v>
      </c>
      <c r="P42" s="56">
        <f>3079.534603837*Deflactores!$M$5</f>
        <v>6356.8719392952553</v>
      </c>
      <c r="Q42" s="56">
        <f>3596.473839854*Deflactores!$N$5</f>
        <v>7282.6703232429109</v>
      </c>
      <c r="R42" s="56">
        <f>3718.86679761*Deflactores!$O$5</f>
        <v>7264.6243718681126</v>
      </c>
      <c r="S42" s="56">
        <f>3889.412206489*Deflactores!$P$5</f>
        <v>7116.0218090069357</v>
      </c>
      <c r="T42" s="56">
        <f>3243.988700619*Deflactores!$Q$5</f>
        <v>5612.4470192497192</v>
      </c>
      <c r="U42" s="56">
        <f>3847.385042274*Deflactores!$R$5</f>
        <v>6394.8382681825087</v>
      </c>
      <c r="V42" s="56">
        <f>3805.344905369*Deflactores!$S$5</f>
        <v>6130.0273971945398</v>
      </c>
    </row>
    <row r="43" spans="3:22" ht="21.75" customHeight="1" x14ac:dyDescent="0.2">
      <c r="C43" s="79" t="s">
        <v>152</v>
      </c>
      <c r="D43" s="44">
        <f t="shared" ref="D43:V43" si="0">+SUM(D14:D42)</f>
        <v>126782.54276388678</v>
      </c>
      <c r="E43" s="44">
        <f t="shared" si="0"/>
        <v>143032.59975484732</v>
      </c>
      <c r="F43" s="44">
        <f t="shared" si="0"/>
        <v>141588.89093151793</v>
      </c>
      <c r="G43" s="44">
        <f t="shared" si="0"/>
        <v>134808.7394414632</v>
      </c>
      <c r="H43" s="44">
        <f t="shared" si="0"/>
        <v>157759.43939251281</v>
      </c>
      <c r="I43" s="44">
        <f t="shared" si="0"/>
        <v>169935.7988399684</v>
      </c>
      <c r="J43" s="44">
        <f t="shared" si="0"/>
        <v>175986.45012866423</v>
      </c>
      <c r="K43" s="44">
        <f t="shared" si="0"/>
        <v>193512.06782907748</v>
      </c>
      <c r="L43" s="44">
        <f t="shared" si="0"/>
        <v>199449.52925026123</v>
      </c>
      <c r="M43" s="44">
        <f t="shared" si="0"/>
        <v>237636.11970128163</v>
      </c>
      <c r="N43" s="44">
        <f t="shared" si="0"/>
        <v>240985.16621018591</v>
      </c>
      <c r="O43" s="44">
        <f t="shared" si="0"/>
        <v>245558.72165629803</v>
      </c>
      <c r="P43" s="44">
        <f t="shared" si="0"/>
        <v>266715.59808947303</v>
      </c>
      <c r="Q43" s="44">
        <f t="shared" si="0"/>
        <v>292442.27969554358</v>
      </c>
      <c r="R43" s="44">
        <f t="shared" si="0"/>
        <v>304756.02202224749</v>
      </c>
      <c r="S43" s="44">
        <f t="shared" si="0"/>
        <v>293864.68178185867</v>
      </c>
      <c r="T43" s="44">
        <f t="shared" si="0"/>
        <v>283252.97657648905</v>
      </c>
      <c r="U43" s="44">
        <f t="shared" si="0"/>
        <v>298034.32586956298</v>
      </c>
      <c r="V43" s="44">
        <f t="shared" si="0"/>
        <v>298548.33880579774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55" t="s">
        <v>153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1.25" hidden="1" customHeight="1" x14ac:dyDescent="0.2">
      <c r="H49" s="27"/>
      <c r="I49" s="27"/>
      <c r="J49" s="27"/>
      <c r="L49" s="177"/>
      <c r="M49" s="156"/>
      <c r="N49" s="156"/>
      <c r="O49" s="156"/>
      <c r="P49" s="156"/>
      <c r="Q49" s="156"/>
      <c r="R49" s="28"/>
      <c r="S49" s="28"/>
      <c r="T49" s="28"/>
      <c r="U49" s="28"/>
      <c r="V49" s="28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6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437.772975322099*Deflactores!$A$5</f>
        <v>1630.140907997823</v>
      </c>
      <c r="E53" s="56">
        <f>691.2373474328*Deflactores!$B$5</f>
        <v>2391.0915296090716</v>
      </c>
      <c r="F53" s="56">
        <f>678.64487245202*Deflactores!$C$5</f>
        <v>2194.1227479167092</v>
      </c>
      <c r="G53" s="56">
        <f>526.75695628973*Deflactores!$D$5</f>
        <v>1599.2422204838992</v>
      </c>
      <c r="H53" s="56">
        <f>615.15224813619*Deflactores!$E$5</f>
        <v>1770.2986720267807</v>
      </c>
      <c r="I53" s="56">
        <f>647.47283632228*Deflactores!$F$5</f>
        <v>1777.0336485622131</v>
      </c>
      <c r="J53" s="56">
        <f>1000.64058537453*Deflactores!$G$5</f>
        <v>2628.6185976833563</v>
      </c>
      <c r="K53" s="56">
        <f>1385.44889225979*Deflactores!$H$5</f>
        <v>3443.4021244031483</v>
      </c>
      <c r="L53" s="56">
        <f>1874.29002976156*Deflactores!$I$5</f>
        <v>4326.3503242133575</v>
      </c>
      <c r="M53" s="56">
        <f>1516.33457748141*Deflactores!$J$5</f>
        <v>3431.4056104969973</v>
      </c>
      <c r="N53" s="56">
        <f>1557.25255313864*Deflactores!$K$5</f>
        <v>3415.6825003664007</v>
      </c>
      <c r="O53" s="56">
        <f>1676.81744824431*Deflactores!$L$5</f>
        <v>3545.7958572022185</v>
      </c>
      <c r="P53" s="56">
        <f>2110.25766694508*Deflactores!$M$5</f>
        <v>4356.0600783545824</v>
      </c>
      <c r="Q53" s="56">
        <f>3550.42018242567*Deflactores!$N$5</f>
        <v>7189.4140897306697</v>
      </c>
      <c r="R53" s="56">
        <f>3274.14595522476*Deflactores!$O$5</f>
        <v>6395.8839608520957</v>
      </c>
      <c r="S53" s="56">
        <f>3668.24413134228*Deflactores!$P$5</f>
        <v>6711.3753579122449</v>
      </c>
      <c r="T53" s="56">
        <f>2436.64179645656*Deflactores!$Q$5</f>
        <v>4215.650623225788</v>
      </c>
      <c r="U53" s="56">
        <f>2750.49879433034*Deflactores!$R$5</f>
        <v>4571.6752426155708</v>
      </c>
      <c r="V53" s="56">
        <f>2231.12005060111*Deflactores!$S$5</f>
        <v>3594.1097001005342</v>
      </c>
    </row>
    <row r="54" spans="3:22" x14ac:dyDescent="0.2">
      <c r="C54" s="88" t="s">
        <v>124</v>
      </c>
      <c r="D54" s="57">
        <f>114.7625210845*Deflactores!$A$5</f>
        <v>427.34268872389731</v>
      </c>
      <c r="E54" s="57">
        <f>146.59238863423*Deflactores!$B$5</f>
        <v>507.08460714724993</v>
      </c>
      <c r="F54" s="57">
        <f>153.30075990833*Deflactores!$C$5</f>
        <v>495.63578572763083</v>
      </c>
      <c r="G54" s="57">
        <f>197.280858766939*Deflactores!$D$5</f>
        <v>598.94772127105398</v>
      </c>
      <c r="H54" s="57">
        <f>331.86547496804*Deflactores!$E$5</f>
        <v>955.04976435913113</v>
      </c>
      <c r="I54" s="57">
        <f>304.586095056209*Deflactores!$F$5</f>
        <v>835.95744784208944</v>
      </c>
      <c r="J54" s="57">
        <f>429.19925191781*Deflactores!$G$5</f>
        <v>1127.4788892164158</v>
      </c>
      <c r="K54" s="57">
        <f>513.113175788739*Deflactores!$H$5</f>
        <v>1275.2942453822982</v>
      </c>
      <c r="L54" s="57">
        <f>1448.84971989962*Deflactores!$I$5</f>
        <v>3344.3231068254545</v>
      </c>
      <c r="M54" s="57">
        <f>1690.50644003852*Deflactores!$J$5</f>
        <v>3825.5496966668629</v>
      </c>
      <c r="N54" s="57">
        <f>1822.63861248783*Deflactores!$K$5</f>
        <v>3997.7810924882947</v>
      </c>
      <c r="O54" s="57">
        <f>1383.4728418138*Deflactores!$L$5</f>
        <v>2925.4897581077803</v>
      </c>
      <c r="P54" s="57">
        <f>367.48455596827*Deflactores!$M$5</f>
        <v>758.573149023371</v>
      </c>
      <c r="Q54" s="57">
        <f>499.74645001158*Deflactores!$N$5</f>
        <v>1011.960270728141</v>
      </c>
      <c r="R54" s="57">
        <f>550.630166198461*Deflactores!$O$5</f>
        <v>1075.6290942772896</v>
      </c>
      <c r="S54" s="57">
        <f>555.113737143099*Deflactores!$P$5</f>
        <v>1015.6294191187081</v>
      </c>
      <c r="T54" s="57">
        <f>662.96550900902*Deflactores!$Q$5</f>
        <v>1147.0011576159477</v>
      </c>
      <c r="U54" s="57">
        <f>709.381797146699*Deflactores!$R$5</f>
        <v>1179.0818473589948</v>
      </c>
      <c r="V54" s="57">
        <f>691.98283396686*Deflactores!$S$5</f>
        <v>1114.7146542801597</v>
      </c>
    </row>
    <row r="55" spans="3:22" x14ac:dyDescent="0.2">
      <c r="C55" s="87" t="s">
        <v>125</v>
      </c>
      <c r="D55" s="56">
        <f>36.7875792416*Deflactores!$A$5</f>
        <v>136.98638611444781</v>
      </c>
      <c r="E55" s="56">
        <f>75.3068143556*Deflactores!$B$5</f>
        <v>260.49733365285709</v>
      </c>
      <c r="F55" s="56">
        <f>81.36366189837*Deflactores!$C$5</f>
        <v>263.0563770120271</v>
      </c>
      <c r="G55" s="56">
        <f>73.01505192838*Deflactores!$D$5</f>
        <v>221.67482057980413</v>
      </c>
      <c r="H55" s="56">
        <f>93.2499057075299*Deflactores!$E$5</f>
        <v>268.35662999010157</v>
      </c>
      <c r="I55" s="56">
        <f>98.56362393661*Deflactores!$F$5</f>
        <v>270.51463232722625</v>
      </c>
      <c r="J55" s="56">
        <f>129.417718857449*Deflactores!$G$5</f>
        <v>339.97204154088621</v>
      </c>
      <c r="K55" s="56">
        <f>132.83661082054*Deflactores!$H$5</f>
        <v>330.15282660617351</v>
      </c>
      <c r="L55" s="56">
        <f>195.93364181315*Deflactores!$I$5</f>
        <v>452.26595741453298</v>
      </c>
      <c r="M55" s="56">
        <f>190.88779504053*Deflactores!$J$5</f>
        <v>431.97158503463982</v>
      </c>
      <c r="N55" s="56">
        <f>351.17318956412*Deflactores!$K$5</f>
        <v>770.26434522418015</v>
      </c>
      <c r="O55" s="56">
        <f>366.99315033341*Deflactores!$L$5</f>
        <v>776.04320818362623</v>
      </c>
      <c r="P55" s="56">
        <f>407.80303115372*Deflactores!$M$5</f>
        <v>841.79981035791752</v>
      </c>
      <c r="Q55" s="56">
        <f>424.288768768829*Deflactores!$N$5</f>
        <v>859.16243587176007</v>
      </c>
      <c r="R55" s="56">
        <f>373.12421581008*Deflactores!$O$5</f>
        <v>728.87990332165361</v>
      </c>
      <c r="S55" s="56">
        <f>351.76707124661*Deflactores!$P$5</f>
        <v>643.58880411418613</v>
      </c>
      <c r="T55" s="56">
        <f>304.86812616273*Deflactores!$Q$5</f>
        <v>527.45442843859689</v>
      </c>
      <c r="U55" s="56">
        <f>378.878783558729*Deflactores!$R$5</f>
        <v>629.74423341620104</v>
      </c>
      <c r="V55" s="56">
        <f>330.47588643464*Deflactores!$S$5</f>
        <v>532.36337003203982</v>
      </c>
    </row>
    <row r="56" spans="3:22" x14ac:dyDescent="0.2">
      <c r="C56" s="88" t="s">
        <v>126</v>
      </c>
      <c r="D56" s="57">
        <f>199.63703093384*Deflactores!$A$5</f>
        <v>743.39100223588252</v>
      </c>
      <c r="E56" s="57">
        <f>269.581845381589*Deflactores!$B$5</f>
        <v>932.52320555634537</v>
      </c>
      <c r="F56" s="57">
        <f>251.10586882589*Deflactores!$C$5</f>
        <v>811.84890845134476</v>
      </c>
      <c r="G56" s="57">
        <f>199.504073061899*Deflactores!$D$5</f>
        <v>605.69743406218004</v>
      </c>
      <c r="H56" s="57">
        <f>190.88998944129*Deflactores!$E$5</f>
        <v>549.34741088080398</v>
      </c>
      <c r="I56" s="57">
        <f>213.83459788814*Deflactores!$F$5</f>
        <v>586.88373373682998</v>
      </c>
      <c r="J56" s="57">
        <f>304.59921334947*Deflactores!$G$5</f>
        <v>800.16258460119559</v>
      </c>
      <c r="K56" s="57">
        <f>311.190195963349*Deflactores!$H$5</f>
        <v>773.43378587270013</v>
      </c>
      <c r="L56" s="57">
        <f>309.51334726782*Deflactores!$I$5</f>
        <v>714.43754650439303</v>
      </c>
      <c r="M56" s="57">
        <f>448.524067217*Deflactores!$J$5</f>
        <v>1014.9923529724526</v>
      </c>
      <c r="N56" s="57">
        <f>435.842599232919*Deflactores!$K$5</f>
        <v>955.97848667103835</v>
      </c>
      <c r="O56" s="57">
        <f>547.63778648451*Deflactores!$L$5</f>
        <v>1158.034105976961</v>
      </c>
      <c r="P56" s="57">
        <f>760.86127526696*Deflactores!$M$5</f>
        <v>1570.5937138730549</v>
      </c>
      <c r="Q56" s="57">
        <f>1038.88559676939*Deflactores!$N$5</f>
        <v>2103.6886800055463</v>
      </c>
      <c r="R56" s="57">
        <f>844.823357106417*Deflactores!$O$5</f>
        <v>1650.3211015524896</v>
      </c>
      <c r="S56" s="57">
        <f>857.87168216474*Deflactores!$P$5</f>
        <v>1569.5517151483548</v>
      </c>
      <c r="T56" s="57">
        <f>837.11241790756*Deflactores!$Q$5</f>
        <v>1448.2939147616996</v>
      </c>
      <c r="U56" s="57">
        <f>975.53562455054*Deflactores!$R$5</f>
        <v>1621.463013268854</v>
      </c>
      <c r="V56" s="57">
        <f>825.4969023386*Deflactores!$S$5</f>
        <v>1329.7923719069954</v>
      </c>
    </row>
    <row r="57" spans="3:22" x14ac:dyDescent="0.2">
      <c r="C57" s="87" t="s">
        <v>127</v>
      </c>
      <c r="D57" s="56">
        <f>168.793936681919*Deflactores!$A$5</f>
        <v>628.54017200293902</v>
      </c>
      <c r="E57" s="56">
        <f>203.409355607469*Deflactores!$B$5</f>
        <v>703.62284249049799</v>
      </c>
      <c r="F57" s="56">
        <f>189.84707649563*Deflactores!$C$5</f>
        <v>613.79346705960006</v>
      </c>
      <c r="G57" s="56">
        <f>223.61736213158*Deflactores!$D$5</f>
        <v>678.90575052484121</v>
      </c>
      <c r="H57" s="56">
        <f>224.132323363319*Deflactores!$E$5</f>
        <v>645.01293071843941</v>
      </c>
      <c r="I57" s="56">
        <f>249.61787514109*Deflactores!$F$5</f>
        <v>685.09339469420797</v>
      </c>
      <c r="J57" s="56">
        <f>297.62011859314*Deflactores!$G$5</f>
        <v>781.82895058752331</v>
      </c>
      <c r="K57" s="56">
        <f>286.39307326238*Deflactores!$H$5</f>
        <v>711.80288381298624</v>
      </c>
      <c r="L57" s="56">
        <f>312.0485894547*Deflactores!$I$5</f>
        <v>720.28954682611641</v>
      </c>
      <c r="M57" s="56">
        <f>335.887497991439*Deflactores!$J$5</f>
        <v>760.10021945025051</v>
      </c>
      <c r="N57" s="56">
        <f>368.035832550679*Deflactores!$K$5</f>
        <v>807.25091778945114</v>
      </c>
      <c r="O57" s="56">
        <f>375.31122420842*Deflactores!$L$5</f>
        <v>793.63259569673573</v>
      </c>
      <c r="P57" s="56">
        <f>382.08341104164*Deflactores!$M$5</f>
        <v>788.70856365586576</v>
      </c>
      <c r="Q57" s="56">
        <f>428.707244751663*Deflactores!$N$5</f>
        <v>868.10961729083942</v>
      </c>
      <c r="R57" s="56">
        <f>454.902859662509*Deflactores!$O$5</f>
        <v>888.63048368943714</v>
      </c>
      <c r="S57" s="56">
        <f>468.02706454525*Deflactores!$P$5</f>
        <v>856.29669001217894</v>
      </c>
      <c r="T57" s="56">
        <f>507.71892556345*Deflactores!$Q$5</f>
        <v>878.40798269473646</v>
      </c>
      <c r="U57" s="56">
        <f>551.0496349074*Deflactores!$R$5</f>
        <v>915.91386207891821</v>
      </c>
      <c r="V57" s="56">
        <f>579.751784429928*Deflactores!$S$5</f>
        <v>933.92173653264797</v>
      </c>
    </row>
    <row r="58" spans="3:22" x14ac:dyDescent="0.2">
      <c r="C58" s="88" t="s">
        <v>128</v>
      </c>
      <c r="D58" s="57">
        <f>50.2083482027*Deflactores!$A$5</f>
        <v>186.96147761976431</v>
      </c>
      <c r="E58" s="57">
        <f>67.65723371515*Deflactores!$B$5</f>
        <v>234.03631047120714</v>
      </c>
      <c r="F58" s="57">
        <f>61.22777350512*Deflactores!$C$5</f>
        <v>197.95515461051932</v>
      </c>
      <c r="G58" s="57">
        <f>66.6935053212399*Deflactores!$D$5</f>
        <v>202.48250785914476</v>
      </c>
      <c r="H58" s="57">
        <f>96.2966306809599*Deflactores!$E$5</f>
        <v>277.12456214159045</v>
      </c>
      <c r="I58" s="57">
        <f>102.11999415021*Deflactores!$F$5</f>
        <v>280.275334524725</v>
      </c>
      <c r="J58" s="57">
        <f>124.36151077956*Deflactores!$G$5</f>
        <v>326.68970742256624</v>
      </c>
      <c r="K58" s="57">
        <f>137.32401063971*Deflactores!$H$5</f>
        <v>341.30583423908075</v>
      </c>
      <c r="L58" s="57">
        <f>179.98887085076*Deflactores!$I$5</f>
        <v>415.46126661039989</v>
      </c>
      <c r="M58" s="57">
        <f>181.894734120309*Deflactores!$J$5</f>
        <v>411.62064128155123</v>
      </c>
      <c r="N58" s="57">
        <f>209.94047858991*Deflactores!$K$5</f>
        <v>460.48408615083582</v>
      </c>
      <c r="O58" s="57">
        <f>234.98881451057*Deflactores!$L$5</f>
        <v>496.90702220021285</v>
      </c>
      <c r="P58" s="57">
        <f>344.15970777569*Deflactores!$M$5</f>
        <v>710.42526564547677</v>
      </c>
      <c r="Q58" s="57">
        <f>402.464585830079*Deflactores!$N$5</f>
        <v>814.9696135423444</v>
      </c>
      <c r="R58" s="57">
        <f>390.73343232641*Deflactores!$O$5</f>
        <v>763.27864638936626</v>
      </c>
      <c r="S58" s="57">
        <f>437.55135377114*Deflactores!$P$5</f>
        <v>800.53869600173664</v>
      </c>
      <c r="T58" s="57">
        <f>378.67447633411*Deflactores!$Q$5</f>
        <v>655.14729923744426</v>
      </c>
      <c r="U58" s="57">
        <f>402.51590132034*Deflactores!$R$5</f>
        <v>669.0320986936897</v>
      </c>
      <c r="V58" s="57">
        <f>401.522439260274*Deflactores!$S$5</f>
        <v>646.81221136647173</v>
      </c>
    </row>
    <row r="59" spans="3:22" x14ac:dyDescent="0.2">
      <c r="C59" s="87" t="s">
        <v>129</v>
      </c>
      <c r="D59" s="56">
        <f>6479.66873203493*Deflactores!$A$5</f>
        <v>24128.426526541025</v>
      </c>
      <c r="E59" s="56">
        <f>7677.89777679142*Deflactores!$B$5</f>
        <v>26558.976316127148</v>
      </c>
      <c r="F59" s="56">
        <f>8532.74534950185*Deflactores!$C$5</f>
        <v>27587.168832320553</v>
      </c>
      <c r="G59" s="56">
        <f>9733.24557787875*Deflactores!$D$5</f>
        <v>29550.283265590704</v>
      </c>
      <c r="H59" s="56">
        <f>11018.1958636463*Deflactores!$E$5</f>
        <v>31708.406438637685</v>
      </c>
      <c r="I59" s="56">
        <f>11967.5805491702*Deflactores!$F$5</f>
        <v>32845.846396509725</v>
      </c>
      <c r="J59" s="56">
        <f>13185.8152867049*Deflactores!$G$5</f>
        <v>34638.290505953162</v>
      </c>
      <c r="K59" s="56">
        <f>14504.2717606848*Deflactores!$H$5</f>
        <v>36048.995002767282</v>
      </c>
      <c r="L59" s="56">
        <f>18452.0406745672*Deflactores!$I$5</f>
        <v>42592.123357219985</v>
      </c>
      <c r="M59" s="56">
        <f>19999.0727737828*Deflactores!$J$5</f>
        <v>45257.116430517708</v>
      </c>
      <c r="N59" s="56">
        <f>20503.3384651204*Deflactores!$K$5</f>
        <v>44972.08513368616</v>
      </c>
      <c r="O59" s="56">
        <f>21455.8204813948*Deflactores!$L$5</f>
        <v>45370.448318903545</v>
      </c>
      <c r="P59" s="56">
        <f>23600.8829682838*Deflactores!$M$5</f>
        <v>48717.683021565936</v>
      </c>
      <c r="Q59" s="56">
        <f>26071.6207063182*Deflactores!$N$5</f>
        <v>52793.660360520465</v>
      </c>
      <c r="R59" s="56">
        <f>26757.722117678*Deflactores!$O$5</f>
        <v>52269.901238915874</v>
      </c>
      <c r="S59" s="56">
        <f>26858.1427377388*Deflactores!$P$5</f>
        <v>49139.335026589724</v>
      </c>
      <c r="T59" s="56">
        <f>28746.7110357143*Deflactores!$Q$5</f>
        <v>49734.881208076295</v>
      </c>
      <c r="U59" s="56">
        <f>29902.7155260488*Deflactores!$R$5</f>
        <v>49702.07750652625</v>
      </c>
      <c r="V59" s="56">
        <f>31327.2233895731*Deflactores!$S$5</f>
        <v>50465.001841270707</v>
      </c>
    </row>
    <row r="60" spans="3:22" x14ac:dyDescent="0.2">
      <c r="C60" s="88" t="s">
        <v>130</v>
      </c>
      <c r="D60" s="57">
        <f>34.607287836*Deflactores!$A$5</f>
        <v>128.86760671969512</v>
      </c>
      <c r="E60" s="57">
        <f>77.90444459615*Deflactores!$B$5</f>
        <v>269.48291825459091</v>
      </c>
      <c r="F60" s="57">
        <f>35.01230633751*Deflactores!$C$5</f>
        <v>113.19808181058687</v>
      </c>
      <c r="G60" s="57">
        <f>38.11787093671*Deflactores!$D$5</f>
        <v>115.72644239255828</v>
      </c>
      <c r="H60" s="57">
        <f>88.83277149663*Deflactores!$E$5</f>
        <v>255.64490398826644</v>
      </c>
      <c r="I60" s="57">
        <f>72.26924072877*Deflactores!$F$5</f>
        <v>198.34789249311993</v>
      </c>
      <c r="J60" s="57">
        <f>100.43509634449*Deflactores!$G$5</f>
        <v>263.83655227459258</v>
      </c>
      <c r="K60" s="57">
        <f>83.53250446911*Deflactores!$H$5</f>
        <v>207.61213564254183</v>
      </c>
      <c r="L60" s="57">
        <f>153.595224243549*Deflactores!$I$5</f>
        <v>354.53784507845762</v>
      </c>
      <c r="M60" s="57">
        <f>136.87539838532*Deflactores!$J$5</f>
        <v>309.74365218164189</v>
      </c>
      <c r="N60" s="57">
        <f>140.17559955577*Deflactores!$K$5</f>
        <v>307.46158766347855</v>
      </c>
      <c r="O60" s="57">
        <f>173.25545670939*Deflactores!$L$5</f>
        <v>366.36574916432198</v>
      </c>
      <c r="P60" s="57">
        <f>310.36695906249*Deflactores!$M$5</f>
        <v>640.66921361769869</v>
      </c>
      <c r="Q60" s="57">
        <f>369.69504137496*Deflactores!$N$5</f>
        <v>748.61300995332113</v>
      </c>
      <c r="R60" s="57">
        <f>337.52356759051*Deflactores!$O$5</f>
        <v>659.33577851556981</v>
      </c>
      <c r="S60" s="57">
        <f>428.83673213947*Deflactores!$P$5</f>
        <v>784.59452904387456</v>
      </c>
      <c r="T60" s="57">
        <f>401.46790667735*Deflactores!$Q$5</f>
        <v>694.58236883678762</v>
      </c>
      <c r="U60" s="57">
        <f>583.23011535326*Deflactores!$R$5</f>
        <v>969.40187161852293</v>
      </c>
      <c r="V60" s="57">
        <f>564.94688930808*Deflactores!$S$5</f>
        <v>910.07254152762391</v>
      </c>
    </row>
    <row r="61" spans="3:22" x14ac:dyDescent="0.2">
      <c r="C61" s="87" t="s">
        <v>131</v>
      </c>
      <c r="D61" s="56">
        <f>4966.66650145369*Deflactores!$A$5</f>
        <v>18494.440490404984</v>
      </c>
      <c r="E61" s="56">
        <f>7510.17082824635*Deflactores!$B$5</f>
        <v>25978.784161518077</v>
      </c>
      <c r="F61" s="56">
        <f>8706.01301076033*Deflactores!$C$5</f>
        <v>28147.359489433984</v>
      </c>
      <c r="G61" s="56">
        <f>10123.9942065193*Deflactores!$D$5</f>
        <v>30736.60211160978</v>
      </c>
      <c r="H61" s="56">
        <f>11562.7238435908*Deflactores!$E$5</f>
        <v>33275.461038044363</v>
      </c>
      <c r="I61" s="56">
        <f>12593.3588928467*Deflactores!$F$5</f>
        <v>34563.338020669777</v>
      </c>
      <c r="J61" s="56">
        <f>13405.8864409477*Deflactores!$G$5</f>
        <v>35216.403304206033</v>
      </c>
      <c r="K61" s="56">
        <f>14342.5996341433*Deflactores!$H$5</f>
        <v>35647.174230380835</v>
      </c>
      <c r="L61" s="56">
        <f>16212.7604688173*Deflactores!$I$5</f>
        <v>37423.280493886232</v>
      </c>
      <c r="M61" s="56">
        <f>18740.270112275*Deflactores!$J$5</f>
        <v>42408.495433968965</v>
      </c>
      <c r="N61" s="56">
        <f>20359.2488212598*Deflactores!$K$5</f>
        <v>44656.038469304891</v>
      </c>
      <c r="O61" s="56">
        <f>21747.0212534519*Deflactores!$L$5</f>
        <v>45986.221068796665</v>
      </c>
      <c r="P61" s="56">
        <f>23234.00657033*Deflactores!$M$5</f>
        <v>47960.365251394949</v>
      </c>
      <c r="Q61" s="56">
        <f>25161.4734121365*Deflactores!$N$5</f>
        <v>50950.659970620232</v>
      </c>
      <c r="R61" s="56">
        <f>26917.8016882465*Deflactores!$O$5</f>
        <v>52582.608849346419</v>
      </c>
      <c r="S61" s="56">
        <f>29044.0094032917*Deflactores!$P$5</f>
        <v>53138.570396321091</v>
      </c>
      <c r="T61" s="56">
        <f>31352.9855548074*Deflactores!$Q$5</f>
        <v>54244.014563947545</v>
      </c>
      <c r="U61" s="56">
        <f>35561.394989685*Deflactores!$R$5</f>
        <v>59107.515117743686</v>
      </c>
      <c r="V61" s="56">
        <f>38231.1493711988*Deflactores!$S$5</f>
        <v>61586.531286829573</v>
      </c>
    </row>
    <row r="62" spans="3:22" x14ac:dyDescent="0.2">
      <c r="C62" s="88" t="s">
        <v>132</v>
      </c>
      <c r="D62" s="57">
        <f>37.9357221610399*Deflactores!$A$5</f>
        <v>141.26174079989852</v>
      </c>
      <c r="E62" s="57">
        <f>43.74125574359*Deflactores!$B$5</f>
        <v>151.30742933870494</v>
      </c>
      <c r="F62" s="57">
        <f>45.0327713900499*Deflactores!$C$5</f>
        <v>145.59518846969098</v>
      </c>
      <c r="G62" s="57">
        <f>37.0417230598499*Deflactores!$D$5</f>
        <v>112.45924088793844</v>
      </c>
      <c r="H62" s="57">
        <f>42.7364158682*Deflactores!$E$5</f>
        <v>122.98779771655647</v>
      </c>
      <c r="I62" s="57">
        <f>47.6472184506799*Deflactores!$F$5</f>
        <v>130.7710620389758</v>
      </c>
      <c r="J62" s="57">
        <f>60.59695555355*Deflactores!$G$5</f>
        <v>159.18431318817034</v>
      </c>
      <c r="K62" s="57">
        <f>64.16375565032*Deflactores!$H$5</f>
        <v>159.47294321021184</v>
      </c>
      <c r="L62" s="57">
        <f>71.8701926633299*Deflactores!$I$5</f>
        <v>165.89515304087163</v>
      </c>
      <c r="M62" s="57">
        <f>102.8132636148*Deflactores!$J$5</f>
        <v>232.66237863368693</v>
      </c>
      <c r="N62" s="57">
        <f>114.64424579867*Deflactores!$K$5</f>
        <v>251.46103845068399</v>
      </c>
      <c r="O62" s="57">
        <f>118.000883446693*Deflactores!$L$5</f>
        <v>249.5245049540566</v>
      </c>
      <c r="P62" s="57">
        <f>135.681172121969*Deflactores!$M$5</f>
        <v>280.07733203522952</v>
      </c>
      <c r="Q62" s="57">
        <f>159.66349977117*Deflactores!$N$5</f>
        <v>323.31018749626287</v>
      </c>
      <c r="R62" s="57">
        <f>171.542293114309*Deflactores!$O$5</f>
        <v>335.09947819729393</v>
      </c>
      <c r="S62" s="57">
        <f>199.176363133748*Deflactores!$P$5</f>
        <v>364.41067921105787</v>
      </c>
      <c r="T62" s="57">
        <f>271.39512760458*Deflactores!$Q$5</f>
        <v>469.54256489012289</v>
      </c>
      <c r="U62" s="57">
        <f>346.774477040299*Deflactores!$R$5</f>
        <v>576.38283453313693</v>
      </c>
      <c r="V62" s="57">
        <f>431.26827186416*Deflactores!$S$5</f>
        <v>694.72975191763555</v>
      </c>
    </row>
    <row r="63" spans="3:22" x14ac:dyDescent="0.2">
      <c r="C63" s="87" t="s">
        <v>133</v>
      </c>
      <c r="D63" s="56">
        <f>621.66257003819*Deflactores!$A$5</f>
        <v>2314.8929776779632</v>
      </c>
      <c r="E63" s="56">
        <f>662.09425572521*Deflactores!$B$5</f>
        <v>2290.2812941849602</v>
      </c>
      <c r="F63" s="56">
        <f>692.0325868084*Deflactores!$C$5</f>
        <v>2237.4064885067055</v>
      </c>
      <c r="G63" s="56">
        <f>724.705619105259*Deflactores!$D$5</f>
        <v>2200.2174051168754</v>
      </c>
      <c r="H63" s="56">
        <f>788.246250748479*Deflactores!$E$5</f>
        <v>2268.4324005285653</v>
      </c>
      <c r="I63" s="56">
        <f>872.62971486798*Deflactores!$F$5</f>
        <v>2394.9921588429265</v>
      </c>
      <c r="J63" s="56">
        <f>963.59571577924*Deflactores!$G$5</f>
        <v>2531.3041027586009</v>
      </c>
      <c r="K63" s="56">
        <f>1093.93799798726*Deflactores!$H$5</f>
        <v>2718.8793807403181</v>
      </c>
      <c r="L63" s="56">
        <f>1265.06454587822*Deflactores!$I$5</f>
        <v>2920.0989821769103</v>
      </c>
      <c r="M63" s="56">
        <f>1460.85801262998*Deflactores!$J$5</f>
        <v>3305.8643225060027</v>
      </c>
      <c r="N63" s="56">
        <f>1540.06855911967*Deflactores!$K$5</f>
        <v>3377.9910754663761</v>
      </c>
      <c r="O63" s="56">
        <f>1685.74540275958*Deflactores!$L$5</f>
        <v>3564.6748974738234</v>
      </c>
      <c r="P63" s="56">
        <f>1968.10937487859*Deflactores!$M$5</f>
        <v>4062.6331144457058</v>
      </c>
      <c r="Q63" s="56">
        <f>2249.6213327482*Deflactores!$N$5</f>
        <v>4555.3648512579111</v>
      </c>
      <c r="R63" s="56">
        <f>2525.33817248688*Deflactores!$O$5</f>
        <v>4933.1245869971026</v>
      </c>
      <c r="S63" s="56">
        <f>2776.9792729191*Deflactores!$P$5</f>
        <v>5080.7278889811923</v>
      </c>
      <c r="T63" s="56">
        <f>3155.13900121914*Deflactores!$Q$5</f>
        <v>5458.7275471495777</v>
      </c>
      <c r="U63" s="56">
        <f>3419.02655118799*Deflactores!$R$5</f>
        <v>5682.8525321048228</v>
      </c>
      <c r="V63" s="56">
        <f>3632.80374438744*Deflactores!$S$5</f>
        <v>5852.0809638847968</v>
      </c>
    </row>
    <row r="64" spans="3:22" x14ac:dyDescent="0.2">
      <c r="C64" s="88" t="s">
        <v>134</v>
      </c>
      <c r="D64" s="57">
        <f>6902.14519474525*Deflactores!$A$5</f>
        <v>25701.607612065069</v>
      </c>
      <c r="E64" s="57">
        <f>6828.36047360969*Deflactores!$B$5</f>
        <v>23620.301984844366</v>
      </c>
      <c r="F64" s="57">
        <f>6201.83914303808*Deflactores!$C$5</f>
        <v>20051.129677727247</v>
      </c>
      <c r="G64" s="57">
        <f>5266.88877383413*Deflactores!$D$5</f>
        <v>15990.355318773101</v>
      </c>
      <c r="H64" s="57">
        <f>6210.24264069256*Deflactores!$E$5</f>
        <v>17871.972886536769</v>
      </c>
      <c r="I64" s="57">
        <f>6937.29513371029*Deflactores!$F$5</f>
        <v>19039.882742623522</v>
      </c>
      <c r="J64" s="57">
        <f>6232.1311786476*Deflactores!$G$5</f>
        <v>16371.408634463685</v>
      </c>
      <c r="K64" s="57">
        <f>6506.79114436849*Deflactores!$H$5</f>
        <v>16172.013687939578</v>
      </c>
      <c r="L64" s="57">
        <f>7306.68374088197*Deflactores!$I$5</f>
        <v>16865.732127546264</v>
      </c>
      <c r="M64" s="57">
        <f>6662.59528598208*Deflactores!$J$5</f>
        <v>15077.191527718784</v>
      </c>
      <c r="N64" s="57">
        <f>7484.33866059888*Deflactores!$K$5</f>
        <v>16416.171248715469</v>
      </c>
      <c r="O64" s="57">
        <f>8348.41414722647*Deflactores!$L$5</f>
        <v>17653.545010781083</v>
      </c>
      <c r="P64" s="57">
        <f>9455.62279502625*Deflactores!$M$5</f>
        <v>19518.593211899646</v>
      </c>
      <c r="Q64" s="57">
        <f>12163.5466044414*Deflactores!$N$5</f>
        <v>24630.541976955832</v>
      </c>
      <c r="R64" s="57">
        <f>13230.7859025256*Deflactores!$O$5</f>
        <v>25845.693045050099</v>
      </c>
      <c r="S64" s="57">
        <f>16946.8775256457*Deflactores!$P$5</f>
        <v>31005.803361718168</v>
      </c>
      <c r="T64" s="57">
        <f>17794.7566484425*Deflactores!$Q$5</f>
        <v>30786.830080748488</v>
      </c>
      <c r="U64" s="57">
        <f>20607.1576692571*Deflactores!$R$5</f>
        <v>34251.690177582961</v>
      </c>
      <c r="V64" s="57">
        <f>11647.5774460185*Deflactores!$S$5</f>
        <v>18763.074210250867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955.57240336052*Deflactores!$A$5</f>
        <v>3558.2773562613415</v>
      </c>
      <c r="E66" s="57">
        <f>1088.50260558619*Deflactores!$B$5</f>
        <v>3765.2904170192719</v>
      </c>
      <c r="F66" s="57">
        <f>1154.86908727304*Deflactores!$C$5</f>
        <v>3733.8004575150339</v>
      </c>
      <c r="G66" s="57">
        <f>1222.847637157*Deflactores!$D$5</f>
        <v>3712.5842330306177</v>
      </c>
      <c r="H66" s="57">
        <f>1421.40739869371*Deflactores!$E$5</f>
        <v>4090.557480592061</v>
      </c>
      <c r="I66" s="57">
        <f>1740.2543793306*Deflactores!$F$5</f>
        <v>4776.2476132495794</v>
      </c>
      <c r="J66" s="57">
        <f>2900.86617718351*Deflactores!$G$5</f>
        <v>7620.3892728188039</v>
      </c>
      <c r="K66" s="57">
        <f>3686.16162911534*Deflactores!$H$5</f>
        <v>9161.6059282315546</v>
      </c>
      <c r="L66" s="57">
        <f>4943.36804548744*Deflactores!$I$5</f>
        <v>11410.582997670472</v>
      </c>
      <c r="M66" s="57">
        <f>5835.53909588716*Deflactores!$J$5</f>
        <v>13205.59584360416</v>
      </c>
      <c r="N66" s="57">
        <f>6226.18537359522*Deflactores!$K$5</f>
        <v>13656.533991075172</v>
      </c>
      <c r="O66" s="57">
        <f>6432.60756136893*Deflactores!$L$5</f>
        <v>13602.383053677779</v>
      </c>
      <c r="P66" s="57">
        <f>8435.22398345239*Deflactores!$M$5</f>
        <v>17412.253973463401</v>
      </c>
      <c r="Q66" s="57">
        <f>9290.5017006243*Deflactores!$N$5</f>
        <v>18812.777191205998</v>
      </c>
      <c r="R66" s="57">
        <f>9664.29957804149*Deflactores!$O$5</f>
        <v>18878.736473378154</v>
      </c>
      <c r="S66" s="57">
        <f>10773.9968528909*Deflactores!$P$5</f>
        <v>19711.975101901702</v>
      </c>
      <c r="T66" s="57">
        <f>10705.7668250264*Deflactores!$Q$5</f>
        <v>18522.120343525472</v>
      </c>
      <c r="U66" s="57">
        <f>11289.4629035593*Deflactores!$R$5</f>
        <v>18764.50851933378</v>
      </c>
      <c r="V66" s="57">
        <f>11040.3555083082*Deflactores!$S$5</f>
        <v>17784.900823368145</v>
      </c>
    </row>
    <row r="67" spans="3:22" x14ac:dyDescent="0.2">
      <c r="C67" s="87" t="s">
        <v>137</v>
      </c>
      <c r="D67" s="56">
        <f>66.03584360601*Deflactores!$A$5</f>
        <v>245.89852760349063</v>
      </c>
      <c r="E67" s="56">
        <f>72.95631562552*Deflactores!$B$5</f>
        <v>252.36661325019895</v>
      </c>
      <c r="F67" s="56">
        <f>89.76650122942*Deflactores!$C$5</f>
        <v>290.22354745970409</v>
      </c>
      <c r="G67" s="56">
        <f>82.67968846464*Deflactores!$D$5</f>
        <v>251.0168057398767</v>
      </c>
      <c r="H67" s="56">
        <f>114.590854202259*Deflactores!$E$5</f>
        <v>329.77208103409527</v>
      </c>
      <c r="I67" s="56">
        <f>229.63783854279*Deflactores!$F$5</f>
        <v>630.25681261246814</v>
      </c>
      <c r="J67" s="56">
        <f>133.75692158876*Deflactores!$G$5</f>
        <v>351.37084863042014</v>
      </c>
      <c r="K67" s="56">
        <f>156.93007931908*Deflactores!$H$5</f>
        <v>390.03486272862631</v>
      </c>
      <c r="L67" s="56">
        <f>183.82813079848*Deflactores!$I$5</f>
        <v>424.32328009593863</v>
      </c>
      <c r="M67" s="56">
        <f>174.43035167034*Deflactores!$J$5</f>
        <v>394.72903688362078</v>
      </c>
      <c r="N67" s="56">
        <f>194.71342990017*Deflactores!$K$5</f>
        <v>427.08503110549697</v>
      </c>
      <c r="O67" s="56">
        <f>223.543426033979*Deflactores!$L$5</f>
        <v>472.70461955533443</v>
      </c>
      <c r="P67" s="56">
        <f>302.573223839543*Deflactores!$M$5</f>
        <v>624.5811408682257</v>
      </c>
      <c r="Q67" s="56">
        <f>364.46315614219*Deflactores!$N$5</f>
        <v>738.01871759476637</v>
      </c>
      <c r="R67" s="56">
        <f>576.374161908276*Deflactores!$O$5</f>
        <v>1125.9187305672967</v>
      </c>
      <c r="S67" s="56">
        <f>376.5287008104*Deflactores!$P$5</f>
        <v>688.8923838449499</v>
      </c>
      <c r="T67" s="56">
        <f>332.633595945929*Deflactores!$Q$5</f>
        <v>575.49165745022958</v>
      </c>
      <c r="U67" s="56">
        <f>389.38334658361*Deflactores!$R$5</f>
        <v>647.20413953007926</v>
      </c>
      <c r="V67" s="56">
        <f>598.5097216007*Deflactores!$S$5</f>
        <v>964.13888415820236</v>
      </c>
    </row>
    <row r="68" spans="3:22" x14ac:dyDescent="0.2">
      <c r="C68" s="88" t="s">
        <v>138</v>
      </c>
      <c r="D68" s="57">
        <f>158.14755313817*Deflactores!$A$5</f>
        <v>588.89609547187683</v>
      </c>
      <c r="E68" s="57">
        <f>184.55636509589*Deflactores!$B$5</f>
        <v>638.40757875010922</v>
      </c>
      <c r="F68" s="57">
        <f>184.06349915717*Deflactores!$C$5</f>
        <v>595.0946171636291</v>
      </c>
      <c r="G68" s="57">
        <f>236.57292460869*Deflactores!$D$5</f>
        <v>718.23903745369057</v>
      </c>
      <c r="H68" s="57">
        <f>248.18565265057*Deflactores!$E$5</f>
        <v>714.23413087508118</v>
      </c>
      <c r="I68" s="57">
        <f>254.4271104723*Deflactores!$F$5</f>
        <v>698.29267121669136</v>
      </c>
      <c r="J68" s="57">
        <f>296.28398323634*Deflactores!$G$5</f>
        <v>778.31900875701865</v>
      </c>
      <c r="K68" s="57">
        <f>289.8032503068*Deflactores!$H$5</f>
        <v>720.27855617084094</v>
      </c>
      <c r="L68" s="57">
        <f>385.937150510559*Deflactores!$I$5</f>
        <v>890.84362063738297</v>
      </c>
      <c r="M68" s="57">
        <f>316.43178405234*Deflactores!$J$5</f>
        <v>716.07270272782898</v>
      </c>
      <c r="N68" s="57">
        <f>326.16582094716*Deflactores!$K$5</f>
        <v>715.41310661615614</v>
      </c>
      <c r="O68" s="57">
        <f>309.44802866312*Deflactores!$L$5</f>
        <v>654.35837347824281</v>
      </c>
      <c r="P68" s="57">
        <f>184.391399158743*Deflactores!$M$5</f>
        <v>380.626510804308</v>
      </c>
      <c r="Q68" s="57">
        <f>180.96254408515*Deflactores!$N$5</f>
        <v>366.43963173689014</v>
      </c>
      <c r="R68" s="57">
        <f>140.76598687586*Deflactores!$O$5</f>
        <v>274.97946945710459</v>
      </c>
      <c r="S68" s="57">
        <f>78.46766439643*Deflactores!$P$5</f>
        <v>143.56349533105526</v>
      </c>
      <c r="T68" s="57">
        <f>91.8446310290399*Deflactores!$Q$5</f>
        <v>158.901023778124</v>
      </c>
      <c r="U68" s="57">
        <f>91.9497718633*Deflactores!$R$5</f>
        <v>152.83209593041977</v>
      </c>
      <c r="V68" s="57">
        <f>93.36722012821*Deflactores!$S$5</f>
        <v>150.40518839127967</v>
      </c>
    </row>
    <row r="69" spans="3:22" x14ac:dyDescent="0.2">
      <c r="C69" s="87" t="s">
        <v>139</v>
      </c>
      <c r="D69" s="56">
        <f>580.31561788222*Deflactores!$A$5</f>
        <v>2160.9287954876763</v>
      </c>
      <c r="E69" s="56">
        <f>763.51949045687*Deflactores!$B$5</f>
        <v>2641.1260807928784</v>
      </c>
      <c r="F69" s="56">
        <f>689.66002362423*Deflactores!$C$5</f>
        <v>2229.7357684223584</v>
      </c>
      <c r="G69" s="56">
        <f>736.439726587369*Deflactores!$D$5</f>
        <v>2235.8423358957007</v>
      </c>
      <c r="H69" s="56">
        <f>914.761726263839*Deflactores!$E$5</f>
        <v>2632.5214190996121</v>
      </c>
      <c r="I69" s="56">
        <f>1013.22163435947*Deflactores!$F$5</f>
        <v>2780.8563335802446</v>
      </c>
      <c r="J69" s="56">
        <f>1280.65207535157*Deflactores!$G$5</f>
        <v>3364.1908110002687</v>
      </c>
      <c r="K69" s="56">
        <f>1285.61844928143*Deflactores!$H$5</f>
        <v>3195.2830047789698</v>
      </c>
      <c r="L69" s="56">
        <f>1732.00426884774*Deflactores!$I$5</f>
        <v>3997.9176707361576</v>
      </c>
      <c r="M69" s="56">
        <f>2078.58167424458*Deflactores!$J$5</f>
        <v>4703.7487140377089</v>
      </c>
      <c r="N69" s="56">
        <f>2782.58355294405*Deflactores!$K$5</f>
        <v>6103.3272531434986</v>
      </c>
      <c r="O69" s="56">
        <f>6389.82115603839*Deflactores!$L$5</f>
        <v>13511.906980134738</v>
      </c>
      <c r="P69" s="56">
        <f>2387.14040202186*Deflactores!$M$5</f>
        <v>4927.6101063659153</v>
      </c>
      <c r="Q69" s="56">
        <f>3115.59527918507*Deflactores!$N$5</f>
        <v>6308.9165358360915</v>
      </c>
      <c r="R69" s="56">
        <f>3333.17558854089*Deflactores!$O$5</f>
        <v>6511.1954619594726</v>
      </c>
      <c r="S69" s="56">
        <f>3392.22046937378*Deflactores!$P$5</f>
        <v>6206.3657847194636</v>
      </c>
      <c r="T69" s="56">
        <f>3626.66929729606*Deflactores!$Q$5</f>
        <v>6274.5253346689569</v>
      </c>
      <c r="U69" s="56">
        <f>3945.68803605702*Deflactores!$R$5</f>
        <v>6558.2302187186078</v>
      </c>
      <c r="V69" s="56">
        <f>3539.64337003864*Deflactores!$S$5</f>
        <v>5702.0089832122148</v>
      </c>
    </row>
    <row r="70" spans="3:22" x14ac:dyDescent="0.2">
      <c r="C70" s="88" t="s">
        <v>140</v>
      </c>
      <c r="D70" s="57">
        <f>330.15994525066*Deflactores!$A$5</f>
        <v>1229.420871718788</v>
      </c>
      <c r="E70" s="57">
        <f>478.951404913*Deflactores!$B$5</f>
        <v>1656.7632689915868</v>
      </c>
      <c r="F70" s="57">
        <f>349.56365287683*Deflactores!$C$5</f>
        <v>1130.1721913122369</v>
      </c>
      <c r="G70" s="57">
        <f>421.53975330564*Deflactores!$D$5</f>
        <v>1279.8011740502766</v>
      </c>
      <c r="H70" s="57">
        <f>3015.66044356787*Deflactores!$E$5</f>
        <v>8678.5339640829261</v>
      </c>
      <c r="I70" s="57">
        <f>2935.78660395311*Deflactores!$F$5</f>
        <v>8057.4678775035172</v>
      </c>
      <c r="J70" s="57">
        <f>977.399939826779*Deflactores!$G$5</f>
        <v>2567.5669133904198</v>
      </c>
      <c r="K70" s="57">
        <f>2551.31523512721*Deflactores!$H$5</f>
        <v>6341.052600164634</v>
      </c>
      <c r="L70" s="57">
        <f>1808.79432449306*Deflactores!$I$5</f>
        <v>4175.1691509565144</v>
      </c>
      <c r="M70" s="57">
        <f>6479.49845113747*Deflactores!$J$5</f>
        <v>14662.850579698201</v>
      </c>
      <c r="N70" s="57">
        <f>2317.16586265565*Deflactores!$K$5</f>
        <v>5082.4786715342016</v>
      </c>
      <c r="O70" s="57">
        <f>2838.39031447581*Deflactores!$L$5</f>
        <v>6002.0562338070731</v>
      </c>
      <c r="P70" s="57">
        <f>2669.6344690426*Deflactores!$M$5</f>
        <v>5510.7432218126623</v>
      </c>
      <c r="Q70" s="57">
        <f>3356.63427130803*Deflactores!$N$5</f>
        <v>6797.0078143617047</v>
      </c>
      <c r="R70" s="57">
        <f>2969.82547417988*Deflactores!$O$5</f>
        <v>5801.4087876950307</v>
      </c>
      <c r="S70" s="57">
        <f>3376.12343167831*Deflactores!$P$5</f>
        <v>6176.9148380930656</v>
      </c>
      <c r="T70" s="57">
        <f>3180.19607053378*Deflactores!$Q$5</f>
        <v>5502.0789540022743</v>
      </c>
      <c r="U70" s="57">
        <f>3818.76839318629*Deflactores!$R$5</f>
        <v>6347.2737949929269</v>
      </c>
      <c r="V70" s="57">
        <f>4088.39594508207*Deflactores!$S$5</f>
        <v>6585.9941154274738</v>
      </c>
    </row>
    <row r="71" spans="3:22" x14ac:dyDescent="0.2">
      <c r="C71" s="87" t="s">
        <v>141</v>
      </c>
      <c r="D71" s="56">
        <f>361.77505461269*Deflactores!$A$5</f>
        <v>1347.1464646335876</v>
      </c>
      <c r="E71" s="56">
        <f>375.8356454713*Deflactores!$B$5</f>
        <v>1300.0707090684914</v>
      </c>
      <c r="F71" s="56">
        <f>401.71414465092*Deflactores!$C$5</f>
        <v>1298.7796397162087</v>
      </c>
      <c r="G71" s="56">
        <f>408.68281518214*Deflactores!$D$5</f>
        <v>1240.7673121757675</v>
      </c>
      <c r="H71" s="56">
        <f>465.538405797869*Deflactores!$E$5</f>
        <v>1339.7366652864337</v>
      </c>
      <c r="I71" s="56">
        <f>486.088231294359*Deflactores!$F$5</f>
        <v>1334.1025209437714</v>
      </c>
      <c r="J71" s="56">
        <f>553.09433050918*Deflactores!$G$5</f>
        <v>1452.9433092157508</v>
      </c>
      <c r="K71" s="56">
        <f>611.0460886441*Deflactores!$H$5</f>
        <v>1518.6972334384645</v>
      </c>
      <c r="L71" s="56">
        <f>697.76312445925*Deflactores!$I$5</f>
        <v>1610.6193128031728</v>
      </c>
      <c r="M71" s="56">
        <f>785.795111611909*Deflactores!$J$5</f>
        <v>1778.2234836092932</v>
      </c>
      <c r="N71" s="56">
        <f>885.08833330378*Deflactores!$K$5</f>
        <v>1941.3554501811345</v>
      </c>
      <c r="O71" s="56">
        <f>935.677935422809*Deflactores!$L$5</f>
        <v>1978.5832683047877</v>
      </c>
      <c r="P71" s="56">
        <f>1049.39794638836*Deflactores!$M$5</f>
        <v>2166.200162270793</v>
      </c>
      <c r="Q71" s="56">
        <f>1185.61132421116*Deflactores!$N$5</f>
        <v>2400.8005591620995</v>
      </c>
      <c r="R71" s="56">
        <f>1329.02943188358*Deflactores!$O$5</f>
        <v>2596.1939825315576</v>
      </c>
      <c r="S71" s="56">
        <f>1485.21346584375*Deflactores!$P$5</f>
        <v>2717.3286997819769</v>
      </c>
      <c r="T71" s="56">
        <f>1526.31122285591*Deflactores!$Q$5</f>
        <v>2640.6814769516504</v>
      </c>
      <c r="U71" s="56">
        <f>1716.440433585*Deflactores!$R$5</f>
        <v>2852.9400746584879</v>
      </c>
      <c r="V71" s="56">
        <f>1822.01308541054*Deflactores!$S$5</f>
        <v>2935.0795813160389</v>
      </c>
    </row>
    <row r="72" spans="3:22" x14ac:dyDescent="0.2">
      <c r="C72" s="88" t="s">
        <v>142</v>
      </c>
      <c r="D72" s="57">
        <f>355.75222452703*Deflactores!$A$5</f>
        <v>1324.7191741017075</v>
      </c>
      <c r="E72" s="57">
        <f>1066.81610735055*Deflactores!$B$5</f>
        <v>3690.2736338105756</v>
      </c>
      <c r="F72" s="57">
        <f>860.56471074003*Deflactores!$C$5</f>
        <v>2782.2867077251171</v>
      </c>
      <c r="G72" s="57">
        <f>411.4768416796*Deflactores!$D$5</f>
        <v>1249.2500195924135</v>
      </c>
      <c r="H72" s="57">
        <f>290.41419766199*Deflactores!$E$5</f>
        <v>835.76036666767027</v>
      </c>
      <c r="I72" s="57">
        <f>177.54647266862*Deflactores!$F$5</f>
        <v>487.2884828771808</v>
      </c>
      <c r="J72" s="57">
        <f>283.50669281857*Deflactores!$G$5</f>
        <v>744.75388686304666</v>
      </c>
      <c r="K72" s="57">
        <f>411.06141936896*Deflactores!$H$5</f>
        <v>1021.6542613899862</v>
      </c>
      <c r="L72" s="57">
        <f>618.1270302684*Deflactores!$I$5</f>
        <v>1426.7984331896266</v>
      </c>
      <c r="M72" s="57">
        <f>1092.90296861242*Deflactores!$J$5</f>
        <v>2473.1965055195469</v>
      </c>
      <c r="N72" s="57">
        <f>1004.585384557*Deflactores!$K$5</f>
        <v>2203.4606469190412</v>
      </c>
      <c r="O72" s="57">
        <f>872.71652694894*Deflactores!$L$5</f>
        <v>1845.4451610146884</v>
      </c>
      <c r="P72" s="57">
        <f>975.624302681009*Deflactores!$M$5</f>
        <v>2013.9142925297924</v>
      </c>
      <c r="Q72" s="57">
        <f>567.119652641309*Deflactores!$N$5</f>
        <v>1148.3874616995279</v>
      </c>
      <c r="R72" s="57">
        <f>437.578761757919*Deflactores!$O$5</f>
        <v>854.78870588249993</v>
      </c>
      <c r="S72" s="57">
        <f>406.87129643653*Deflactores!$P$5</f>
        <v>744.4068319811455</v>
      </c>
      <c r="T72" s="57">
        <f>548.85429944133*Deflactores!$Q$5</f>
        <v>949.57657414592643</v>
      </c>
      <c r="U72" s="57">
        <f>531.199813610129*Deflactores!$R$5</f>
        <v>882.92096028883725</v>
      </c>
      <c r="V72" s="57">
        <f>471.396406257921*Deflactores!$S$5</f>
        <v>759.37213502593011</v>
      </c>
    </row>
    <row r="73" spans="3:22" x14ac:dyDescent="0.2">
      <c r="C73" s="87" t="s">
        <v>143</v>
      </c>
      <c r="D73" s="56">
        <f>762.34415926158*Deflactores!$A$5</f>
        <v>2838.7508367119972</v>
      </c>
      <c r="E73" s="56">
        <f>772.33627741254*Deflactores!$B$5</f>
        <v>2671.6246420849816</v>
      </c>
      <c r="F73" s="56">
        <f>979.075133744269*Deflactores!$C$5</f>
        <v>3165.4420597125677</v>
      </c>
      <c r="G73" s="56">
        <f>803.92326195932*Deflactores!$D$5</f>
        <v>2440.7233871389662</v>
      </c>
      <c r="H73" s="56">
        <f>758.98363363872*Deflactores!$E$5</f>
        <v>2184.2197972805225</v>
      </c>
      <c r="I73" s="56">
        <f>650.43693364789*Deflactores!$F$5</f>
        <v>1785.1688171588464</v>
      </c>
      <c r="J73" s="56">
        <f>214.751704586039*Deflactores!$G$5</f>
        <v>564.13894540143735</v>
      </c>
      <c r="K73" s="56">
        <f>356.11692727985*Deflactores!$H$5</f>
        <v>885.09492539362338</v>
      </c>
      <c r="L73" s="56">
        <f>317.12580321259*Deflactores!$I$5</f>
        <v>732.00908064359203</v>
      </c>
      <c r="M73" s="56">
        <f>293.709694345749*Deflactores!$J$5</f>
        <v>664.65350589666775</v>
      </c>
      <c r="N73" s="56">
        <f>282.71764181632*Deflactores!$K$5</f>
        <v>620.11373797432316</v>
      </c>
      <c r="O73" s="56">
        <f>307.59308730923*Deflactores!$L$5</f>
        <v>650.43591705648805</v>
      </c>
      <c r="P73" s="56">
        <f>853.245139847519*Deflactores!$M$5</f>
        <v>1761.2953853737051</v>
      </c>
      <c r="Q73" s="56">
        <f>601.7833129881*Deflactores!$N$5</f>
        <v>1218.5795503239776</v>
      </c>
      <c r="R73" s="56">
        <f>664.644879273289*Deflactores!$O$5</f>
        <v>1298.3512589666116</v>
      </c>
      <c r="S73" s="56">
        <f>662.845175982059*Deflactores!$P$5</f>
        <v>1212.7335643195504</v>
      </c>
      <c r="T73" s="56">
        <f>799.97051618476*Deflactores!$Q$5</f>
        <v>1384.0344567760355</v>
      </c>
      <c r="U73" s="56">
        <f>1830.74185974987*Deflactores!$R$5</f>
        <v>3042.9234337752882</v>
      </c>
      <c r="V73" s="56">
        <f>1514.57058621244*Deflactores!$S$5</f>
        <v>2439.8206783747396</v>
      </c>
    </row>
    <row r="74" spans="3:22" x14ac:dyDescent="0.2">
      <c r="C74" s="88" t="s">
        <v>144</v>
      </c>
      <c r="D74" s="57">
        <f>693.862779051269*Deflactores!$A$5</f>
        <v>2583.7458327259842</v>
      </c>
      <c r="E74" s="57">
        <f>784.09983190526*Deflactores!$B$5</f>
        <v>2712.3165051767282</v>
      </c>
      <c r="F74" s="57">
        <f>812.050661123999*Deflactores!$C$5</f>
        <v>2625.4362190866441</v>
      </c>
      <c r="G74" s="57">
        <f>812.517173549489*Deflactores!$D$5</f>
        <v>2466.8146348956352</v>
      </c>
      <c r="H74" s="57">
        <f>1029.04818081038*Deflactores!$E$5</f>
        <v>2961.417492108189</v>
      </c>
      <c r="I74" s="57">
        <f>1073.3435872458*Deflactores!$F$5</f>
        <v>2945.865160673497</v>
      </c>
      <c r="J74" s="57">
        <f>1206.12366606427*Deflactores!$G$5</f>
        <v>3168.4094629600754</v>
      </c>
      <c r="K74" s="57">
        <f>1307.56467704722*Deflactores!$H$5</f>
        <v>3249.8282772415978</v>
      </c>
      <c r="L74" s="57">
        <f>1451.32637262575*Deflactores!$I$5</f>
        <v>3350.0398673878631</v>
      </c>
      <c r="M74" s="57">
        <f>1672.32797060951*Deflactores!$J$5</f>
        <v>3784.4125341202166</v>
      </c>
      <c r="N74" s="57">
        <f>1821.33226706957*Deflactores!$K$5</f>
        <v>3994.9157504629493</v>
      </c>
      <c r="O74" s="57">
        <f>2040.10172878113*Deflactores!$L$5</f>
        <v>4313.9962944429371</v>
      </c>
      <c r="P74" s="57">
        <f>2328.11987771129*Deflactores!$M$5</f>
        <v>4805.7780885133197</v>
      </c>
      <c r="Q74" s="57">
        <f>2773.10784260678*Deflactores!$N$5</f>
        <v>5615.3974942646655</v>
      </c>
      <c r="R74" s="57">
        <f>3002.92687640084*Deflactores!$O$5</f>
        <v>5866.0707576994237</v>
      </c>
      <c r="S74" s="57">
        <f>3180.34400385011*Deflactores!$P$5</f>
        <v>5818.7191508743026</v>
      </c>
      <c r="T74" s="57">
        <f>3463.96809289669*Deflactores!$Q$5</f>
        <v>5993.0348690932478</v>
      </c>
      <c r="U74" s="57">
        <f>3755.62860572644*Deflactores!$R$5</f>
        <v>6242.3275198848578</v>
      </c>
      <c r="V74" s="57">
        <f>4164.08767681703*Deflactores!$S$5</f>
        <v>6707.9258721577917</v>
      </c>
    </row>
    <row r="75" spans="3:22" x14ac:dyDescent="0.2">
      <c r="C75" s="87" t="s">
        <v>145</v>
      </c>
      <c r="D75" s="56">
        <f>213.591417667759*Deflactores!$A$5</f>
        <v>795.35313316515362</v>
      </c>
      <c r="E75" s="56">
        <f>190.29845082374*Deflactores!$B$5</f>
        <v>658.27029681235354</v>
      </c>
      <c r="F75" s="56">
        <f>225.21973370676*Deflactores!$C$5</f>
        <v>728.15659716147445</v>
      </c>
      <c r="G75" s="56">
        <f>319.841530285569*Deflactores!$D$5</f>
        <v>971.04380490709843</v>
      </c>
      <c r="H75" s="56">
        <f>170.40343939764*Deflactores!$E$5</f>
        <v>490.39076649469018</v>
      </c>
      <c r="I75" s="56">
        <f>204.54425544935*Deflactores!$F$5</f>
        <v>561.38575112775288</v>
      </c>
      <c r="J75" s="56">
        <f>500.73476428234*Deflactores!$G$5</f>
        <v>1315.3980891215745</v>
      </c>
      <c r="K75" s="56">
        <f>449.18787901601*Deflactores!$H$5</f>
        <v>1116.413969148304</v>
      </c>
      <c r="L75" s="56">
        <f>373.339049002379*Deflactores!$I$5</f>
        <v>861.76391596044937</v>
      </c>
      <c r="M75" s="56">
        <f>437.78163838632*Deflactores!$J$5</f>
        <v>990.68265832631062</v>
      </c>
      <c r="N75" s="56">
        <f>752.35192913935*Deflactores!$K$5</f>
        <v>1650.2110163818718</v>
      </c>
      <c r="O75" s="56">
        <f>605.953412411271*Deflactores!$L$5</f>
        <v>1281.3482479175548</v>
      </c>
      <c r="P75" s="56">
        <f>451.40929354003*Deflactores!$M$5</f>
        <v>931.81322517576007</v>
      </c>
      <c r="Q75" s="56">
        <f>575.782583905603*Deflactores!$N$5</f>
        <v>1165.9294417722451</v>
      </c>
      <c r="R75" s="56">
        <f>1127.73245555775*Deflactores!$O$5</f>
        <v>2202.9701862020447</v>
      </c>
      <c r="S75" s="56">
        <f>887.15110964104*Deflactores!$P$5</f>
        <v>1623.1210036205243</v>
      </c>
      <c r="T75" s="56">
        <f>771.58108813077*Deflactores!$Q$5</f>
        <v>1334.9177132961902</v>
      </c>
      <c r="U75" s="56">
        <f>821.23630697009*Deflactores!$R$5</f>
        <v>1364.9981234862846</v>
      </c>
      <c r="V75" s="56">
        <f>1865.02368607651*Deflactores!$S$5</f>
        <v>3004.3653272888137</v>
      </c>
    </row>
    <row r="76" spans="3:22" x14ac:dyDescent="0.2">
      <c r="C76" s="88" t="s">
        <v>146</v>
      </c>
      <c r="D76" s="57">
        <f>196.05632938777*Deflactores!$A$5</f>
        <v>730.05749743174272</v>
      </c>
      <c r="E76" s="57">
        <f>209.260306430209*Deflactores!$B$5</f>
        <v>723.86214090857561</v>
      </c>
      <c r="F76" s="57">
        <f>223.820796787*Deflactores!$C$5</f>
        <v>723.63370242942449</v>
      </c>
      <c r="G76" s="57">
        <f>221.48140373266*Deflactores!$D$5</f>
        <v>672.42094797603318</v>
      </c>
      <c r="H76" s="57">
        <f>219.751676286769*Deflactores!$E$5</f>
        <v>632.4062081944935</v>
      </c>
      <c r="I76" s="57">
        <f>272.16130197029*Deflactores!$F$5</f>
        <v>746.96537724244342</v>
      </c>
      <c r="J76" s="57">
        <f>288.2726260095*Deflactores!$G$5</f>
        <v>757.27368748287256</v>
      </c>
      <c r="K76" s="57">
        <f>265.82117353012*Deflactores!$H$5</f>
        <v>660.67337363269326</v>
      </c>
      <c r="L76" s="57">
        <f>266.583756418809*Deflactores!$I$5</f>
        <v>615.34485202338294</v>
      </c>
      <c r="M76" s="57">
        <f>287.529935215579*Deflactores!$J$5</f>
        <v>650.66895363115987</v>
      </c>
      <c r="N76" s="57">
        <f>341.67855737322*Deflactores!$K$5</f>
        <v>749.43879001381379</v>
      </c>
      <c r="O76" s="57">
        <f>368.805453212746*Deflactores!$L$5</f>
        <v>779.87550134605351</v>
      </c>
      <c r="P76" s="57">
        <f>619.316080014001*Deflactores!$M$5</f>
        <v>1278.4116813268058</v>
      </c>
      <c r="Q76" s="57">
        <f>629.982303033665*Deflactores!$N$5</f>
        <v>1275.6810216803201</v>
      </c>
      <c r="R76" s="57">
        <f>652.988602378229*Deflactores!$O$5</f>
        <v>1275.5812922467719</v>
      </c>
      <c r="S76" s="57">
        <f>830.032656746236*Deflactores!$P$5</f>
        <v>1518.6177689625883</v>
      </c>
      <c r="T76" s="57">
        <f>1000.35973781491*Deflactores!$Q$5</f>
        <v>1730.7292185097317</v>
      </c>
      <c r="U76" s="57">
        <f>939.988474275101*Deflactores!$R$5</f>
        <v>1562.3791746593824</v>
      </c>
      <c r="V76" s="57">
        <f>845.454577244755*Deflactores!$S$5</f>
        <v>1361.9421761958049</v>
      </c>
    </row>
    <row r="77" spans="3:22" x14ac:dyDescent="0.2">
      <c r="C77" s="90" t="s">
        <v>147</v>
      </c>
      <c r="D77" s="58">
        <f>5124.95480396952*Deflactores!$A$5</f>
        <v>19083.860696160576</v>
      </c>
      <c r="E77" s="58">
        <f>6915.30727533842*Deflactores!$B$5</f>
        <v>23921.063744769926</v>
      </c>
      <c r="F77" s="58">
        <f>7867.25433911232*Deflactores!$C$5</f>
        <v>25435.57375851709</v>
      </c>
      <c r="G77" s="58">
        <f>9069.32475818043*Deflactores!$D$5</f>
        <v>27534.609446305003</v>
      </c>
      <c r="H77" s="58">
        <f>11820.3915039295*Deflactores!$E$5</f>
        <v>34016.982699232962</v>
      </c>
      <c r="I77" s="58">
        <f>14870.2616699005*Deflactores!$F$5</f>
        <v>40812.454002603241</v>
      </c>
      <c r="J77" s="58">
        <f>16883.1208377712*Deflactores!$G$5</f>
        <v>44350.874899292685</v>
      </c>
      <c r="K77" s="58">
        <f>18273.8419003237*Deflactores!$H$5</f>
        <v>45417.904891422564</v>
      </c>
      <c r="L77" s="58">
        <f>20079.0025546579*Deflactores!$I$5</f>
        <v>46347.575792886317</v>
      </c>
      <c r="M77" s="58">
        <f>22716.5355786957*Deflactores!$J$5</f>
        <v>51406.62805781512</v>
      </c>
      <c r="N77" s="58">
        <f>24080.2150237379*Deflactores!$K$5</f>
        <v>52817.617088420338</v>
      </c>
      <c r="O77" s="58">
        <f>25992.3780461411*Deflactores!$L$5</f>
        <v>54963.446671752958</v>
      </c>
      <c r="P77" s="58">
        <f>29286.6915226597*Deflactores!$M$5</f>
        <v>60454.507412655061</v>
      </c>
      <c r="Q77" s="58">
        <f>30508.0525599635*Deflactores!$N$5</f>
        <v>61777.201473374429</v>
      </c>
      <c r="R77" s="58">
        <f>35948.8693606166*Deflactores!$O$5</f>
        <v>70224.357771048541</v>
      </c>
      <c r="S77" s="58">
        <f>36153.2501128256*Deflactores!$P$5</f>
        <v>66145.551721190917</v>
      </c>
      <c r="T77" s="58">
        <f>37945.7445195225*Deflactores!$Q$5</f>
        <v>65650.191901460072</v>
      </c>
      <c r="U77" s="58">
        <f>40424.521151762*Deflactores!$R$5</f>
        <v>67190.642993571906</v>
      </c>
      <c r="V77" s="58">
        <f>48571.4761310625*Deflactores!$S$5</f>
        <v>78243.75629801731</v>
      </c>
    </row>
    <row r="78" spans="3:22" ht="22.5" customHeight="1" x14ac:dyDescent="0.2">
      <c r="C78" s="89" t="s">
        <v>148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>
        <f>0*Deflactores!$O$5</f>
        <v>0</v>
      </c>
      <c r="S78" s="59"/>
      <c r="T78" s="59"/>
      <c r="U78" s="59">
        <f>0.150079299*Deflactores!$R$5</f>
        <v>0.24945068766497933</v>
      </c>
      <c r="V78" s="59">
        <f>134.3385293323*Deflactores!$S$5</f>
        <v>216.40584120086942</v>
      </c>
    </row>
    <row r="79" spans="3:22" x14ac:dyDescent="0.2">
      <c r="C79" s="87" t="s">
        <v>149</v>
      </c>
      <c r="D79" s="56">
        <f>195.24715402949*Deflactores!$A$5</f>
        <v>727.04436065164452</v>
      </c>
      <c r="E79" s="56">
        <f>210.29812889115*Deflactores!$B$5</f>
        <v>727.45212126020192</v>
      </c>
      <c r="F79" s="56">
        <f>219.80370968014*Deflactores!$C$5</f>
        <v>710.64608171746283</v>
      </c>
      <c r="G79" s="56">
        <f>185.00998316299*Deflactores!$D$5</f>
        <v>561.6931542191719</v>
      </c>
      <c r="H79" s="56">
        <f>219.86269123231*Deflactores!$E$5</f>
        <v>632.72568944691818</v>
      </c>
      <c r="I79" s="56">
        <f>181.96978431653*Deflactores!$F$5</f>
        <v>499.42856535702822</v>
      </c>
      <c r="J79" s="56">
        <f>299.43706569904*Deflactores!$G$5</f>
        <v>786.60195402490444</v>
      </c>
      <c r="K79" s="56">
        <f>427.033525936529*Deflactores!$H$5</f>
        <v>1061.3514209122354</v>
      </c>
      <c r="L79" s="56">
        <f>570.78989085091*Deflactores!$I$5</f>
        <v>1317.5319668401021</v>
      </c>
      <c r="M79" s="56">
        <f>778.881272240449*Deflactores!$J$5</f>
        <v>1762.5777365811487</v>
      </c>
      <c r="N79" s="56">
        <f>983.031220752629*Deflactores!$K$5</f>
        <v>2156.1836782807586</v>
      </c>
      <c r="O79" s="56">
        <f>1113.19603413714*Deflactores!$L$5</f>
        <v>2353.9627943579899</v>
      </c>
      <c r="P79" s="56">
        <f>1406.16688329801*Deflactores!$M$5</f>
        <v>2902.6537942668033</v>
      </c>
      <c r="Q79" s="56">
        <f>1333.53645000243*Deflactores!$N$5</f>
        <v>2700.3411568787196</v>
      </c>
      <c r="R79" s="56">
        <f>1858.2797132559*Deflactores!$O$5</f>
        <v>3630.0585176491772</v>
      </c>
      <c r="S79" s="56">
        <f>1516.07306832278*Deflactores!$P$5</f>
        <v>2773.7890574400544</v>
      </c>
      <c r="T79" s="56">
        <f>1241.56105297958*Deflactores!$Q$5</f>
        <v>2148.0332621633834</v>
      </c>
      <c r="U79" s="56">
        <f>1310.8416731298*Deflactores!$R$5</f>
        <v>2178.7838759970532</v>
      </c>
      <c r="V79" s="56">
        <f>1252.04627559109*Deflactores!$S$5</f>
        <v>2016.9204534127568</v>
      </c>
    </row>
    <row r="80" spans="3:22" x14ac:dyDescent="0.2">
      <c r="C80" s="88" t="s">
        <v>150</v>
      </c>
      <c r="D80" s="57">
        <f>978.96912976339*Deflactores!$A$5</f>
        <v>3645.4000499234826</v>
      </c>
      <c r="E80" s="57">
        <f>1679.93144663373*Deflactores!$B$5</f>
        <v>5811.1296608728653</v>
      </c>
      <c r="F80" s="57">
        <f>1717.64243521016*Deflactores!$C$5</f>
        <v>5553.2996606382112</v>
      </c>
      <c r="G80" s="57">
        <f>1209.51372305721*Deflactores!$D$5</f>
        <v>3672.1022647565037</v>
      </c>
      <c r="H80" s="57">
        <f>1476.82370070835*Deflactores!$E$5</f>
        <v>4250.0357335975395</v>
      </c>
      <c r="I80" s="57">
        <f>1782.6739795735*Deflactores!$F$5</f>
        <v>4892.67111823917</v>
      </c>
      <c r="J80" s="57">
        <f>2509.02909362377*Deflactores!$G$5</f>
        <v>6591.0584020130545</v>
      </c>
      <c r="K80" s="57">
        <f>3115.37503940619*Deflactores!$H$5</f>
        <v>7742.9698698638604</v>
      </c>
      <c r="L80" s="57">
        <f>2596.86670167726*Deflactores!$I$5</f>
        <v>5994.2457775169169</v>
      </c>
      <c r="M80" s="57">
        <f>3777.52211296949*Deflactores!$J$5</f>
        <v>8548.3842185738831</v>
      </c>
      <c r="N80" s="57">
        <f>3951.32545813643*Deflactores!$K$5</f>
        <v>8666.8493131744981</v>
      </c>
      <c r="O80" s="57">
        <f>5092.33495529274*Deflactores!$L$5</f>
        <v>10768.244454319545</v>
      </c>
      <c r="P80" s="57">
        <f>7901.5173277257*Deflactores!$M$5</f>
        <v>16310.559951458612</v>
      </c>
      <c r="Q80" s="57">
        <f>8417.97136326799*Deflactores!$N$5</f>
        <v>17045.949159933047</v>
      </c>
      <c r="R80" s="57">
        <f>7504.00882794733*Deflactores!$O$5</f>
        <v>14658.714168857559</v>
      </c>
      <c r="S80" s="57">
        <f>7058.25317066852*Deflactores!$P$5</f>
        <v>12913.695136805654</v>
      </c>
      <c r="T80" s="57">
        <f>5907.19446684957*Deflactores!$Q$5</f>
        <v>10220.077514842167</v>
      </c>
      <c r="U80" s="57">
        <f>6429.12270033673*Deflactores!$R$5</f>
        <v>10686.011257831942</v>
      </c>
      <c r="V80" s="57">
        <f>5337.27537847218*Deflactores!$S$5</f>
        <v>8597.8131049946769</v>
      </c>
    </row>
    <row r="81" spans="3:22" x14ac:dyDescent="0.2">
      <c r="C81" s="87" t="s">
        <v>151</v>
      </c>
      <c r="D81" s="56">
        <f>185.55496356201*Deflactores!$A$5</f>
        <v>690.95342525865726</v>
      </c>
      <c r="E81" s="56">
        <f>204.26652964753*Deflactores!$B$5</f>
        <v>706.58793341650573</v>
      </c>
      <c r="F81" s="56">
        <f>161.6374600163*Deflactores!$C$5</f>
        <v>522.58912184194719</v>
      </c>
      <c r="G81" s="56">
        <f>209.067698205329*Deflactores!$D$5</f>
        <v>634.73274708012957</v>
      </c>
      <c r="H81" s="56">
        <f>255.363859022209*Deflactores!$E$5</f>
        <v>734.89173108014995</v>
      </c>
      <c r="I81" s="56">
        <f>272.11479816705*Deflactores!$F$5</f>
        <v>746.83774436194608</v>
      </c>
      <c r="J81" s="56">
        <f>234.43014560425*Deflactores!$G$5</f>
        <v>615.83294701393777</v>
      </c>
      <c r="K81" s="56">
        <f>393.93764125723*Deflactores!$H$5</f>
        <v>979.09473122098541</v>
      </c>
      <c r="L81" s="56">
        <f>437.969802190069*Deflactores!$I$5</f>
        <v>1010.9485541795876</v>
      </c>
      <c r="M81" s="56">
        <f>699.93693469994*Deflactores!$J$5</f>
        <v>1583.9298004486018</v>
      </c>
      <c r="N81" s="56">
        <f>631.28187687535*Deflactores!$K$5</f>
        <v>1384.6555944285687</v>
      </c>
      <c r="O81" s="56">
        <f>1129.74048121473*Deflactores!$L$5</f>
        <v>2388.9476592691003</v>
      </c>
      <c r="P81" s="56">
        <f>3068.20442008798*Deflactores!$M$5</f>
        <v>6333.4838185540675</v>
      </c>
      <c r="Q81" s="56">
        <f>3553.8750003447*Deflactores!$N$5</f>
        <v>7196.4099142664454</v>
      </c>
      <c r="R81" s="56">
        <f>3703.31563520317*Deflactores!$O$5</f>
        <v>7234.24593682867</v>
      </c>
      <c r="S81" s="56">
        <f>3872.94695041037*Deflactores!$P$5</f>
        <v>7085.8971744539467</v>
      </c>
      <c r="T81" s="56">
        <f>3234.8663231339*Deflactores!$Q$5</f>
        <v>5596.6643316235413</v>
      </c>
      <c r="U81" s="56">
        <f>3844.84661822783*Deflactores!$R$5</f>
        <v>6390.6190878683565</v>
      </c>
      <c r="V81" s="56">
        <f>3791.48388269373*Deflactores!$S$5</f>
        <v>6107.6986856413087</v>
      </c>
    </row>
    <row r="82" spans="3:22" x14ac:dyDescent="0.2">
      <c r="C82" s="79" t="s">
        <v>154</v>
      </c>
      <c r="D82" s="44">
        <f t="shared" ref="D82:V82" si="1">+SUM(D53:D81)</f>
        <v>116213.3127062111</v>
      </c>
      <c r="E82" s="44">
        <f t="shared" si="1"/>
        <v>135774.59528018031</v>
      </c>
      <c r="F82" s="44">
        <f t="shared" si="1"/>
        <v>134383.14032946571</v>
      </c>
      <c r="G82" s="44">
        <f t="shared" si="1"/>
        <v>132254.23554436874</v>
      </c>
      <c r="H82" s="44">
        <f t="shared" si="1"/>
        <v>154492.28166064236</v>
      </c>
      <c r="I82" s="44">
        <f t="shared" si="1"/>
        <v>165364.22531361273</v>
      </c>
      <c r="J82" s="44">
        <f t="shared" si="1"/>
        <v>170214.30062188246</v>
      </c>
      <c r="K82" s="44">
        <f t="shared" si="1"/>
        <v>181291.47698673609</v>
      </c>
      <c r="L82" s="44">
        <f t="shared" si="1"/>
        <v>194460.50998087044</v>
      </c>
      <c r="M82" s="44">
        <f t="shared" si="1"/>
        <v>223793.06818290302</v>
      </c>
      <c r="N82" s="44">
        <f t="shared" si="1"/>
        <v>222558.28910168904</v>
      </c>
      <c r="O82" s="44">
        <f t="shared" si="1"/>
        <v>238454.37732787628</v>
      </c>
      <c r="P82" s="44">
        <f t="shared" si="1"/>
        <v>258020.61449130863</v>
      </c>
      <c r="Q82" s="44">
        <f t="shared" si="1"/>
        <v>281417.29218806425</v>
      </c>
      <c r="R82" s="44">
        <f t="shared" si="1"/>
        <v>290561.95766807458</v>
      </c>
      <c r="S82" s="44">
        <f t="shared" si="1"/>
        <v>286591.99427749339</v>
      </c>
      <c r="T82" s="44">
        <f t="shared" si="1"/>
        <v>278941.59237191005</v>
      </c>
      <c r="U82" s="44">
        <f t="shared" si="1"/>
        <v>294741.67505875754</v>
      </c>
      <c r="V82" s="44">
        <f t="shared" si="1"/>
        <v>290001.75278808328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D87" s="155" t="s">
        <v>155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6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60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+IFERROR(IF(D53&gt;0,+((D53/D14)*100)," "),"")</f>
        <v>87.054810627394403</v>
      </c>
      <c r="E91" s="60">
        <f t="shared" si="2"/>
        <v>94.641330059940174</v>
      </c>
      <c r="F91" s="60">
        <f t="shared" si="2"/>
        <v>89.291155573434082</v>
      </c>
      <c r="G91" s="60">
        <f t="shared" si="2"/>
        <v>97.277572997990291</v>
      </c>
      <c r="H91" s="60">
        <f t="shared" si="2"/>
        <v>95.114402210861797</v>
      </c>
      <c r="I91" s="60">
        <f t="shared" si="2"/>
        <v>94.535855700211343</v>
      </c>
      <c r="J91" s="60">
        <f t="shared" si="2"/>
        <v>97.263666637564867</v>
      </c>
      <c r="K91" s="60">
        <f t="shared" si="2"/>
        <v>97.607794751588941</v>
      </c>
      <c r="L91" s="60">
        <f t="shared" si="2"/>
        <v>99.385861243362271</v>
      </c>
      <c r="M91" s="60">
        <f t="shared" si="2"/>
        <v>92.474466304076785</v>
      </c>
      <c r="N91" s="60">
        <f t="shared" si="2"/>
        <v>91.738657303144436</v>
      </c>
      <c r="O91" s="60">
        <f t="shared" si="2"/>
        <v>96.116318391003773</v>
      </c>
      <c r="P91" s="60">
        <f t="shared" si="2"/>
        <v>93.503904526282284</v>
      </c>
      <c r="Q91" s="60">
        <f t="shared" si="2"/>
        <v>94.705825009009189</v>
      </c>
      <c r="R91" s="60">
        <f t="shared" si="2"/>
        <v>94.586208506097435</v>
      </c>
      <c r="S91" s="60">
        <f t="shared" si="2"/>
        <v>95.980745529177298</v>
      </c>
      <c r="T91" s="60">
        <f t="shared" si="2"/>
        <v>94.103423600598305</v>
      </c>
      <c r="U91" s="60">
        <f t="shared" si="2"/>
        <v>96.772878212298679</v>
      </c>
      <c r="V91" s="60">
        <f t="shared" si="2"/>
        <v>91.723417080135732</v>
      </c>
    </row>
    <row r="92" spans="3:22" x14ac:dyDescent="0.2">
      <c r="C92" s="88" t="s">
        <v>124</v>
      </c>
      <c r="D92" s="62">
        <f t="shared" ref="D92:V92" si="3">+IFERROR(IF(D54&gt;0,+((D54/D15)*100)," "),"")</f>
        <v>77.824945374353163</v>
      </c>
      <c r="E92" s="62">
        <f t="shared" si="3"/>
        <v>90.566052985678013</v>
      </c>
      <c r="F92" s="62">
        <f t="shared" si="3"/>
        <v>86.440747095701411</v>
      </c>
      <c r="G92" s="62">
        <f t="shared" si="3"/>
        <v>92.562915251147487</v>
      </c>
      <c r="H92" s="62">
        <f t="shared" si="3"/>
        <v>96.498024861898529</v>
      </c>
      <c r="I92" s="62">
        <f t="shared" si="3"/>
        <v>96.280040818191608</v>
      </c>
      <c r="J92" s="62">
        <f t="shared" si="3"/>
        <v>97.054857657635381</v>
      </c>
      <c r="K92" s="62">
        <f t="shared" si="3"/>
        <v>96.486084000063983</v>
      </c>
      <c r="L92" s="62">
        <f t="shared" si="3"/>
        <v>98.206606377975262</v>
      </c>
      <c r="M92" s="62">
        <f t="shared" si="3"/>
        <v>98.223215631047225</v>
      </c>
      <c r="N92" s="62">
        <f t="shared" si="3"/>
        <v>95.002346319160665</v>
      </c>
      <c r="O92" s="62">
        <f t="shared" si="3"/>
        <v>98.113170959020295</v>
      </c>
      <c r="P92" s="62">
        <f t="shared" si="3"/>
        <v>88.337339805860594</v>
      </c>
      <c r="Q92" s="62">
        <f t="shared" si="3"/>
        <v>87.816544144613161</v>
      </c>
      <c r="R92" s="62">
        <f t="shared" si="3"/>
        <v>93.361905588734885</v>
      </c>
      <c r="S92" s="62">
        <f t="shared" si="3"/>
        <v>77.441608518553352</v>
      </c>
      <c r="T92" s="62">
        <f t="shared" si="3"/>
        <v>94.794413035194211</v>
      </c>
      <c r="U92" s="62">
        <f t="shared" si="3"/>
        <v>96.532434133606429</v>
      </c>
      <c r="V92" s="62">
        <f t="shared" si="3"/>
        <v>98.066993900307509</v>
      </c>
    </row>
    <row r="93" spans="3:22" x14ac:dyDescent="0.2">
      <c r="C93" s="87" t="s">
        <v>125</v>
      </c>
      <c r="D93" s="60">
        <f t="shared" ref="D93:V93" si="4">+IFERROR(IF(D55&gt;0,+((D55/D16)*100)," "),"")</f>
        <v>81.515712492078521</v>
      </c>
      <c r="E93" s="60">
        <f t="shared" si="4"/>
        <v>99.195689059329609</v>
      </c>
      <c r="F93" s="60">
        <f t="shared" si="4"/>
        <v>92.019421263940174</v>
      </c>
      <c r="G93" s="60">
        <f t="shared" si="4"/>
        <v>99.418471590800749</v>
      </c>
      <c r="H93" s="60">
        <f t="shared" si="4"/>
        <v>99.138392359180656</v>
      </c>
      <c r="I93" s="60">
        <f t="shared" si="4"/>
        <v>99.232905749075684</v>
      </c>
      <c r="J93" s="60">
        <f t="shared" si="4"/>
        <v>99.06888843749357</v>
      </c>
      <c r="K93" s="60">
        <f t="shared" si="4"/>
        <v>96.800281824275814</v>
      </c>
      <c r="L93" s="60">
        <f t="shared" si="4"/>
        <v>98.65419431722755</v>
      </c>
      <c r="M93" s="60">
        <f t="shared" si="4"/>
        <v>80.528677352829931</v>
      </c>
      <c r="N93" s="60">
        <f t="shared" si="4"/>
        <v>98.454498192379489</v>
      </c>
      <c r="O93" s="60">
        <f t="shared" si="4"/>
        <v>96.684811844372604</v>
      </c>
      <c r="P93" s="60">
        <f t="shared" si="4"/>
        <v>95.910309967919162</v>
      </c>
      <c r="Q93" s="60">
        <f t="shared" si="4"/>
        <v>98.637334187480519</v>
      </c>
      <c r="R93" s="60">
        <f t="shared" si="4"/>
        <v>99.032864903881318</v>
      </c>
      <c r="S93" s="60">
        <f t="shared" si="4"/>
        <v>99.176953271400293</v>
      </c>
      <c r="T93" s="60">
        <f t="shared" si="4"/>
        <v>99.462226440432104</v>
      </c>
      <c r="U93" s="60">
        <f t="shared" si="4"/>
        <v>99.618059487305217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+IFERROR(IF(D56&gt;0,+((D56/D17)*100)," "),"")</f>
        <v>79.144397205886378</v>
      </c>
      <c r="E94" s="62">
        <f t="shared" si="5"/>
        <v>90.739035937187154</v>
      </c>
      <c r="F94" s="62">
        <f t="shared" si="5"/>
        <v>85.420267577263843</v>
      </c>
      <c r="G94" s="62">
        <f t="shared" si="5"/>
        <v>93.131312011770362</v>
      </c>
      <c r="H94" s="62">
        <f t="shared" si="5"/>
        <v>94.794843709657613</v>
      </c>
      <c r="I94" s="62">
        <f t="shared" si="5"/>
        <v>94.753957718013794</v>
      </c>
      <c r="J94" s="62">
        <f t="shared" si="5"/>
        <v>95.820276780009536</v>
      </c>
      <c r="K94" s="62">
        <f t="shared" si="5"/>
        <v>91.875294042913708</v>
      </c>
      <c r="L94" s="62">
        <f t="shared" si="5"/>
        <v>94.53717974002609</v>
      </c>
      <c r="M94" s="62">
        <f t="shared" si="5"/>
        <v>93.426111723172497</v>
      </c>
      <c r="N94" s="62">
        <f t="shared" si="5"/>
        <v>93.280136696271185</v>
      </c>
      <c r="O94" s="62">
        <f t="shared" si="5"/>
        <v>92.711539027486793</v>
      </c>
      <c r="P94" s="62">
        <f t="shared" si="5"/>
        <v>95.702471146672451</v>
      </c>
      <c r="Q94" s="62">
        <f t="shared" si="5"/>
        <v>96.341831209593892</v>
      </c>
      <c r="R94" s="62">
        <f t="shared" si="5"/>
        <v>93.601666801414623</v>
      </c>
      <c r="S94" s="62">
        <f t="shared" si="5"/>
        <v>96.021830192851326</v>
      </c>
      <c r="T94" s="62">
        <f t="shared" si="5"/>
        <v>98.0850227452827</v>
      </c>
      <c r="U94" s="62">
        <f t="shared" si="5"/>
        <v>98.645954071104313</v>
      </c>
      <c r="V94" s="62">
        <f t="shared" si="5"/>
        <v>97.80027896117241</v>
      </c>
    </row>
    <row r="95" spans="3:22" x14ac:dyDescent="0.2">
      <c r="C95" s="87" t="s">
        <v>127</v>
      </c>
      <c r="D95" s="60">
        <f t="shared" ref="D95:V95" si="6">+IFERROR(IF(D57&gt;0,+((D57/D18)*100)," "),"")</f>
        <v>86.959021208309778</v>
      </c>
      <c r="E95" s="60">
        <f t="shared" si="6"/>
        <v>91.272537025985088</v>
      </c>
      <c r="F95" s="60">
        <f t="shared" si="6"/>
        <v>96.629632365026197</v>
      </c>
      <c r="G95" s="60">
        <f t="shared" si="6"/>
        <v>97.066717937068049</v>
      </c>
      <c r="H95" s="60">
        <f t="shared" si="6"/>
        <v>97.366980045354538</v>
      </c>
      <c r="I95" s="60">
        <f t="shared" si="6"/>
        <v>98.83608316623021</v>
      </c>
      <c r="J95" s="60">
        <f t="shared" si="6"/>
        <v>98.629825963280226</v>
      </c>
      <c r="K95" s="60">
        <f t="shared" si="6"/>
        <v>98.631172724872513</v>
      </c>
      <c r="L95" s="60">
        <f t="shared" si="6"/>
        <v>97.148146364111838</v>
      </c>
      <c r="M95" s="60">
        <f t="shared" si="6"/>
        <v>96.031140914696792</v>
      </c>
      <c r="N95" s="60">
        <f t="shared" si="6"/>
        <v>96.932464935688898</v>
      </c>
      <c r="O95" s="60">
        <f t="shared" si="6"/>
        <v>92.945516398760688</v>
      </c>
      <c r="P95" s="60">
        <f t="shared" si="6"/>
        <v>89.430163683767745</v>
      </c>
      <c r="Q95" s="60">
        <f t="shared" si="6"/>
        <v>91.628131763743937</v>
      </c>
      <c r="R95" s="60">
        <f t="shared" si="6"/>
        <v>96.406606805279168</v>
      </c>
      <c r="S95" s="60">
        <f t="shared" si="6"/>
        <v>98.283377980229261</v>
      </c>
      <c r="T95" s="60">
        <f t="shared" si="6"/>
        <v>98.730632387700709</v>
      </c>
      <c r="U95" s="60">
        <f t="shared" si="6"/>
        <v>99.171703527289253</v>
      </c>
      <c r="V95" s="60">
        <f t="shared" si="6"/>
        <v>98.689471775469514</v>
      </c>
    </row>
    <row r="96" spans="3:22" x14ac:dyDescent="0.2">
      <c r="C96" s="88" t="s">
        <v>128</v>
      </c>
      <c r="D96" s="62">
        <f t="shared" ref="D96:V96" si="7">+IFERROR(IF(D58&gt;0,+((D58/D19)*100)," "),"")</f>
        <v>76.995554829935827</v>
      </c>
      <c r="E96" s="62">
        <f t="shared" si="7"/>
        <v>98.745520876440622</v>
      </c>
      <c r="F96" s="62">
        <f t="shared" si="7"/>
        <v>90.896764167894645</v>
      </c>
      <c r="G96" s="62">
        <f t="shared" si="7"/>
        <v>99.286868741302399</v>
      </c>
      <c r="H96" s="62">
        <f t="shared" si="7"/>
        <v>99.294897487147907</v>
      </c>
      <c r="I96" s="62">
        <f t="shared" si="7"/>
        <v>96.277513213030929</v>
      </c>
      <c r="J96" s="62">
        <f t="shared" si="7"/>
        <v>94.867616003154183</v>
      </c>
      <c r="K96" s="62">
        <f t="shared" si="7"/>
        <v>91.398731710500286</v>
      </c>
      <c r="L96" s="62">
        <f t="shared" si="7"/>
        <v>98.222703528986983</v>
      </c>
      <c r="M96" s="62">
        <f t="shared" si="7"/>
        <v>88.99183118069196</v>
      </c>
      <c r="N96" s="62">
        <f t="shared" si="7"/>
        <v>95.338806828536917</v>
      </c>
      <c r="O96" s="62">
        <f t="shared" si="7"/>
        <v>96.578928952108953</v>
      </c>
      <c r="P96" s="62">
        <f t="shared" si="7"/>
        <v>98.57609681055105</v>
      </c>
      <c r="Q96" s="62">
        <f t="shared" si="7"/>
        <v>96.820624299193895</v>
      </c>
      <c r="R96" s="62">
        <f t="shared" si="7"/>
        <v>99.384005883866038</v>
      </c>
      <c r="S96" s="62">
        <f t="shared" si="7"/>
        <v>99.13955343696567</v>
      </c>
      <c r="T96" s="62">
        <f t="shared" si="7"/>
        <v>99.387848234678771</v>
      </c>
      <c r="U96" s="62">
        <f t="shared" si="7"/>
        <v>99.771945977231638</v>
      </c>
      <c r="V96" s="62">
        <f t="shared" si="7"/>
        <v>99.283707414739936</v>
      </c>
    </row>
    <row r="97" spans="3:22" x14ac:dyDescent="0.2">
      <c r="C97" s="87" t="s">
        <v>129</v>
      </c>
      <c r="D97" s="60">
        <f t="shared" ref="D97:V97" si="8">+IFERROR(IF(D59&gt;0,+((D59/D20)*100)," "),"")</f>
        <v>97.221178340287395</v>
      </c>
      <c r="E97" s="60">
        <f t="shared" si="8"/>
        <v>97.547835356891312</v>
      </c>
      <c r="F97" s="60">
        <f t="shared" si="8"/>
        <v>96.430518204104231</v>
      </c>
      <c r="G97" s="60">
        <f t="shared" si="8"/>
        <v>97.803225785447509</v>
      </c>
      <c r="H97" s="60">
        <f t="shared" si="8"/>
        <v>98.628117233435702</v>
      </c>
      <c r="I97" s="60">
        <f t="shared" si="8"/>
        <v>98.828622035765036</v>
      </c>
      <c r="J97" s="60">
        <f t="shared" si="8"/>
        <v>98.95934003839038</v>
      </c>
      <c r="K97" s="60">
        <f t="shared" si="8"/>
        <v>97.943749340921812</v>
      </c>
      <c r="L97" s="60">
        <f t="shared" si="8"/>
        <v>99.18396774708792</v>
      </c>
      <c r="M97" s="60">
        <f t="shared" si="8"/>
        <v>97.357984709224979</v>
      </c>
      <c r="N97" s="60">
        <f t="shared" si="8"/>
        <v>97.432957295605505</v>
      </c>
      <c r="O97" s="60">
        <f t="shared" si="8"/>
        <v>97.51834735858202</v>
      </c>
      <c r="P97" s="60">
        <f t="shared" si="8"/>
        <v>98.493887200084018</v>
      </c>
      <c r="Q97" s="60">
        <f t="shared" si="8"/>
        <v>98.521368123421411</v>
      </c>
      <c r="R97" s="60">
        <f t="shared" si="8"/>
        <v>98.956183426345731</v>
      </c>
      <c r="S97" s="60">
        <f t="shared" si="8"/>
        <v>98.332277965125741</v>
      </c>
      <c r="T97" s="60">
        <f t="shared" si="8"/>
        <v>99.407676701092768</v>
      </c>
      <c r="U97" s="60">
        <f t="shared" si="8"/>
        <v>99.741948585491315</v>
      </c>
      <c r="V97" s="60">
        <f t="shared" si="8"/>
        <v>99.633727470832696</v>
      </c>
    </row>
    <row r="98" spans="3:22" x14ac:dyDescent="0.2">
      <c r="C98" s="88" t="s">
        <v>130</v>
      </c>
      <c r="D98" s="62">
        <f t="shared" ref="D98:V98" si="9">+IFERROR(IF(D60&gt;0,+((D60/D21)*100)," "),"")</f>
        <v>86.449273964205602</v>
      </c>
      <c r="E98" s="62">
        <f t="shared" si="9"/>
        <v>98.713749964912523</v>
      </c>
      <c r="F98" s="62">
        <f t="shared" si="9"/>
        <v>90.062286674504932</v>
      </c>
      <c r="G98" s="62">
        <f t="shared" si="9"/>
        <v>96.096443067911608</v>
      </c>
      <c r="H98" s="62">
        <f t="shared" si="9"/>
        <v>99.052844970189497</v>
      </c>
      <c r="I98" s="62">
        <f t="shared" si="9"/>
        <v>99.370557651855478</v>
      </c>
      <c r="J98" s="62">
        <f t="shared" si="9"/>
        <v>97.472430865472248</v>
      </c>
      <c r="K98" s="62">
        <f t="shared" si="9"/>
        <v>96.593397525695963</v>
      </c>
      <c r="L98" s="62">
        <f t="shared" si="9"/>
        <v>98.363894776159597</v>
      </c>
      <c r="M98" s="62">
        <f t="shared" si="9"/>
        <v>93.416344761509421</v>
      </c>
      <c r="N98" s="62">
        <f t="shared" si="9"/>
        <v>98.110391095994927</v>
      </c>
      <c r="O98" s="62">
        <f t="shared" si="9"/>
        <v>98.665272054923975</v>
      </c>
      <c r="P98" s="62">
        <f t="shared" si="9"/>
        <v>93.490552413030841</v>
      </c>
      <c r="Q98" s="62">
        <f t="shared" si="9"/>
        <v>95.106497090523945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98.209410454110824</v>
      </c>
      <c r="U98" s="62">
        <f t="shared" si="9"/>
        <v>98.774834821462321</v>
      </c>
      <c r="V98" s="62">
        <f t="shared" si="9"/>
        <v>99.253891851062122</v>
      </c>
    </row>
    <row r="99" spans="3:22" x14ac:dyDescent="0.2">
      <c r="C99" s="87" t="s">
        <v>131</v>
      </c>
      <c r="D99" s="60">
        <f t="shared" ref="D99:V99" si="10">+IFERROR(IF(D61&gt;0,+((D61/D22)*100)," "),"")</f>
        <v>94.869449522279353</v>
      </c>
      <c r="E99" s="60">
        <f t="shared" si="10"/>
        <v>96.807540534157098</v>
      </c>
      <c r="F99" s="60">
        <f t="shared" si="10"/>
        <v>99.435313206336801</v>
      </c>
      <c r="G99" s="60">
        <f t="shared" si="10"/>
        <v>99.567494170389068</v>
      </c>
      <c r="H99" s="60">
        <f t="shared" si="10"/>
        <v>99.813557613014638</v>
      </c>
      <c r="I99" s="60">
        <f t="shared" si="10"/>
        <v>99.767990663158542</v>
      </c>
      <c r="J99" s="60">
        <f t="shared" si="10"/>
        <v>98.61380956701656</v>
      </c>
      <c r="K99" s="60">
        <f t="shared" si="10"/>
        <v>99.722776722435668</v>
      </c>
      <c r="L99" s="60">
        <f t="shared" si="10"/>
        <v>99.624994684124971</v>
      </c>
      <c r="M99" s="60">
        <f t="shared" si="10"/>
        <v>99.361144498774152</v>
      </c>
      <c r="N99" s="60">
        <f t="shared" si="10"/>
        <v>97.59846972115686</v>
      </c>
      <c r="O99" s="60">
        <f t="shared" si="10"/>
        <v>99.89120644250022</v>
      </c>
      <c r="P99" s="60">
        <f t="shared" si="10"/>
        <v>99.394608656119701</v>
      </c>
      <c r="Q99" s="60">
        <f t="shared" si="10"/>
        <v>99.539179574719654</v>
      </c>
      <c r="R99" s="60">
        <f t="shared" si="10"/>
        <v>99.940485539532119</v>
      </c>
      <c r="S99" s="60">
        <f t="shared" si="10"/>
        <v>99.928939300285521</v>
      </c>
      <c r="T99" s="60">
        <f t="shared" si="10"/>
        <v>99.177954787752469</v>
      </c>
      <c r="U99" s="60">
        <f t="shared" si="10"/>
        <v>99.904038095494514</v>
      </c>
      <c r="V99" s="60">
        <f t="shared" si="10"/>
        <v>99.9658104133742</v>
      </c>
    </row>
    <row r="100" spans="3:22" x14ac:dyDescent="0.2">
      <c r="C100" s="88" t="s">
        <v>132</v>
      </c>
      <c r="D100" s="62">
        <f t="shared" ref="D100:V100" si="11">+IFERROR(IF(D62&gt;0,+((D62/D23)*100)," "),"")</f>
        <v>88.588306797407085</v>
      </c>
      <c r="E100" s="62">
        <f t="shared" si="11"/>
        <v>80.787707929054704</v>
      </c>
      <c r="F100" s="62">
        <f t="shared" si="11"/>
        <v>81.253753411000389</v>
      </c>
      <c r="G100" s="62">
        <f t="shared" si="11"/>
        <v>88.951710415272032</v>
      </c>
      <c r="H100" s="62">
        <f t="shared" si="11"/>
        <v>85.391281696119691</v>
      </c>
      <c r="I100" s="62">
        <f t="shared" si="11"/>
        <v>94.016758357639802</v>
      </c>
      <c r="J100" s="62">
        <f t="shared" si="11"/>
        <v>82.167842981553292</v>
      </c>
      <c r="K100" s="62">
        <f t="shared" si="11"/>
        <v>52.295521123899583</v>
      </c>
      <c r="L100" s="62">
        <f t="shared" si="11"/>
        <v>62.488570416340615</v>
      </c>
      <c r="M100" s="62">
        <f t="shared" si="11"/>
        <v>62.717931359811097</v>
      </c>
      <c r="N100" s="62">
        <f t="shared" si="11"/>
        <v>72.529730483003448</v>
      </c>
      <c r="O100" s="62">
        <f t="shared" si="11"/>
        <v>70.722888924650761</v>
      </c>
      <c r="P100" s="62">
        <f t="shared" si="11"/>
        <v>73.836815380706582</v>
      </c>
      <c r="Q100" s="62">
        <f t="shared" si="11"/>
        <v>71.878875904376685</v>
      </c>
      <c r="R100" s="62">
        <f t="shared" si="11"/>
        <v>72.230772273390059</v>
      </c>
      <c r="S100" s="62">
        <f t="shared" si="11"/>
        <v>76.140191484417159</v>
      </c>
      <c r="T100" s="62">
        <f t="shared" si="11"/>
        <v>92.1638923203773</v>
      </c>
      <c r="U100" s="62">
        <f t="shared" si="11"/>
        <v>94.078887923989171</v>
      </c>
      <c r="V100" s="62">
        <f t="shared" si="11"/>
        <v>93.524989811259402</v>
      </c>
    </row>
    <row r="101" spans="3:22" x14ac:dyDescent="0.2">
      <c r="C101" s="87" t="s">
        <v>133</v>
      </c>
      <c r="D101" s="60">
        <f t="shared" ref="D101:V101" si="12">+IFERROR(IF(D63&gt;0,+((D63/D24)*100)," "),"")</f>
        <v>96.089546860348037</v>
      </c>
      <c r="E101" s="60">
        <f t="shared" si="12"/>
        <v>98.492586573110103</v>
      </c>
      <c r="F101" s="60">
        <f t="shared" si="12"/>
        <v>98.217468677960369</v>
      </c>
      <c r="G101" s="60">
        <f t="shared" si="12"/>
        <v>98.393091421264884</v>
      </c>
      <c r="H101" s="60">
        <f t="shared" si="12"/>
        <v>99.579997238224777</v>
      </c>
      <c r="I101" s="60">
        <f t="shared" si="12"/>
        <v>99.726157733341353</v>
      </c>
      <c r="J101" s="60">
        <f t="shared" si="12"/>
        <v>99.701991548818611</v>
      </c>
      <c r="K101" s="60">
        <f t="shared" si="12"/>
        <v>99.025606771984584</v>
      </c>
      <c r="L101" s="60">
        <f t="shared" si="12"/>
        <v>98.023718658284139</v>
      </c>
      <c r="M101" s="60">
        <f t="shared" si="12"/>
        <v>98.648349810633476</v>
      </c>
      <c r="N101" s="60">
        <f t="shared" si="12"/>
        <v>94.682906824287826</v>
      </c>
      <c r="O101" s="60">
        <f t="shared" si="12"/>
        <v>97.675792731847594</v>
      </c>
      <c r="P101" s="60">
        <f t="shared" si="12"/>
        <v>96.072227570243342</v>
      </c>
      <c r="Q101" s="60">
        <f t="shared" si="12"/>
        <v>98.349378308532835</v>
      </c>
      <c r="R101" s="60">
        <f t="shared" si="12"/>
        <v>93.646424086465913</v>
      </c>
      <c r="S101" s="60">
        <f t="shared" si="12"/>
        <v>92.001806997853038</v>
      </c>
      <c r="T101" s="60">
        <f t="shared" si="12"/>
        <v>97.141170768611346</v>
      </c>
      <c r="U101" s="60">
        <f t="shared" si="12"/>
        <v>99.384840618398314</v>
      </c>
      <c r="V101" s="60">
        <f t="shared" si="12"/>
        <v>96.904775043054556</v>
      </c>
    </row>
    <row r="102" spans="3:22" x14ac:dyDescent="0.2">
      <c r="C102" s="88" t="s">
        <v>134</v>
      </c>
      <c r="D102" s="62">
        <f t="shared" ref="D102:V102" si="13">+IFERROR(IF(D64&gt;0,+((D64/D25)*100)," "),"")</f>
        <v>93.690701149026182</v>
      </c>
      <c r="E102" s="62">
        <f t="shared" si="13"/>
        <v>94.271722742755685</v>
      </c>
      <c r="F102" s="62">
        <f t="shared" si="13"/>
        <v>95.579070341985243</v>
      </c>
      <c r="G102" s="62">
        <f t="shared" si="13"/>
        <v>98.34958737345832</v>
      </c>
      <c r="H102" s="62">
        <f t="shared" si="13"/>
        <v>96.234187316024546</v>
      </c>
      <c r="I102" s="62">
        <f t="shared" si="13"/>
        <v>91.668542579361826</v>
      </c>
      <c r="J102" s="62">
        <f t="shared" si="13"/>
        <v>95.930157378347829</v>
      </c>
      <c r="K102" s="62">
        <f t="shared" si="13"/>
        <v>83.662566305157299</v>
      </c>
      <c r="L102" s="62">
        <f t="shared" si="13"/>
        <v>88.233272876685163</v>
      </c>
      <c r="M102" s="62">
        <f t="shared" si="13"/>
        <v>76.396971253433705</v>
      </c>
      <c r="N102" s="62">
        <f t="shared" si="13"/>
        <v>78.768571038657356</v>
      </c>
      <c r="O102" s="62">
        <f t="shared" si="13"/>
        <v>97.332554755661562</v>
      </c>
      <c r="P102" s="62">
        <f t="shared" si="13"/>
        <v>92.620584491540583</v>
      </c>
      <c r="Q102" s="62">
        <f t="shared" si="13"/>
        <v>84.726740174021984</v>
      </c>
      <c r="R102" s="62">
        <f t="shared" si="13"/>
        <v>75.737743026951662</v>
      </c>
      <c r="S102" s="62">
        <f t="shared" si="13"/>
        <v>93.094491192960618</v>
      </c>
      <c r="T102" s="62">
        <f t="shared" si="13"/>
        <v>95.302802847859653</v>
      </c>
      <c r="U102" s="62">
        <f t="shared" si="13"/>
        <v>97.184256479454078</v>
      </c>
      <c r="V102" s="62">
        <f t="shared" si="13"/>
        <v>89.791564790504822</v>
      </c>
    </row>
    <row r="103" spans="3:22" x14ac:dyDescent="0.2">
      <c r="C103" s="87" t="s">
        <v>135</v>
      </c>
      <c r="D103" s="60" t="str">
        <f t="shared" ref="D103:V103" si="14">+IFERROR(IF(D65&gt;0,+((D65/D26)*100),"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+IFERROR(IF(D66&gt;0,+((D66/D27)*100)," "),"")</f>
        <v>79.556953545085747</v>
      </c>
      <c r="E104" s="62">
        <f t="shared" si="15"/>
        <v>82.666526760660105</v>
      </c>
      <c r="F104" s="62">
        <f t="shared" si="15"/>
        <v>91.077850757663938</v>
      </c>
      <c r="G104" s="62">
        <f t="shared" si="15"/>
        <v>96.66929631052102</v>
      </c>
      <c r="H104" s="62">
        <f t="shared" si="15"/>
        <v>98.988172620986475</v>
      </c>
      <c r="I104" s="62">
        <f t="shared" si="15"/>
        <v>98.430077468888356</v>
      </c>
      <c r="J104" s="62">
        <f t="shared" si="15"/>
        <v>97.639401873085845</v>
      </c>
      <c r="K104" s="62">
        <f t="shared" si="15"/>
        <v>94.707671219325889</v>
      </c>
      <c r="L104" s="62">
        <f t="shared" si="15"/>
        <v>97.482350535416074</v>
      </c>
      <c r="M104" s="62">
        <f t="shared" si="15"/>
        <v>97.799171537338353</v>
      </c>
      <c r="N104" s="62">
        <f t="shared" si="15"/>
        <v>96.867931701567613</v>
      </c>
      <c r="O104" s="62">
        <f t="shared" si="15"/>
        <v>93.259018368653457</v>
      </c>
      <c r="P104" s="62">
        <f t="shared" si="15"/>
        <v>95.653356688293272</v>
      </c>
      <c r="Q104" s="62">
        <f t="shared" si="15"/>
        <v>97.042860719819473</v>
      </c>
      <c r="R104" s="62">
        <f t="shared" si="15"/>
        <v>97.550372265236845</v>
      </c>
      <c r="S104" s="62">
        <f t="shared" si="15"/>
        <v>98.176155106680625</v>
      </c>
      <c r="T104" s="62">
        <f t="shared" si="15"/>
        <v>98.372636995693242</v>
      </c>
      <c r="U104" s="62">
        <f t="shared" si="15"/>
        <v>98.703191646283045</v>
      </c>
      <c r="V104" s="62">
        <f t="shared" si="15"/>
        <v>98.009596292170471</v>
      </c>
    </row>
    <row r="105" spans="3:22" x14ac:dyDescent="0.2">
      <c r="C105" s="87" t="s">
        <v>137</v>
      </c>
      <c r="D105" s="60">
        <f t="shared" ref="D105:V105" si="16">+IFERROR(IF(D67&gt;0,+((D67/D28)*100)," "),"")</f>
        <v>70.414445856517631</v>
      </c>
      <c r="E105" s="60">
        <f t="shared" si="16"/>
        <v>90.116924342405241</v>
      </c>
      <c r="F105" s="60">
        <f t="shared" si="16"/>
        <v>91.60174555235325</v>
      </c>
      <c r="G105" s="60">
        <f t="shared" si="16"/>
        <v>96.804280588011167</v>
      </c>
      <c r="H105" s="60">
        <f t="shared" si="16"/>
        <v>92.730649030976025</v>
      </c>
      <c r="I105" s="60">
        <f t="shared" si="16"/>
        <v>87.19635481349512</v>
      </c>
      <c r="J105" s="60">
        <f t="shared" si="16"/>
        <v>96.442600253405018</v>
      </c>
      <c r="K105" s="60">
        <f t="shared" si="16"/>
        <v>95.69064656559712</v>
      </c>
      <c r="L105" s="60">
        <f t="shared" si="16"/>
        <v>93.760355535384576</v>
      </c>
      <c r="M105" s="60">
        <f t="shared" si="16"/>
        <v>87.675901880345364</v>
      </c>
      <c r="N105" s="60">
        <f t="shared" si="16"/>
        <v>79.464481177235726</v>
      </c>
      <c r="O105" s="60">
        <f t="shared" si="16"/>
        <v>88.833025721808497</v>
      </c>
      <c r="P105" s="60">
        <f t="shared" si="16"/>
        <v>90.459247476203899</v>
      </c>
      <c r="Q105" s="60">
        <f t="shared" si="16"/>
        <v>84.495551619741988</v>
      </c>
      <c r="R105" s="60">
        <f t="shared" si="16"/>
        <v>96.706430179674697</v>
      </c>
      <c r="S105" s="60">
        <f t="shared" si="16"/>
        <v>96.695626168047596</v>
      </c>
      <c r="T105" s="60">
        <f t="shared" si="16"/>
        <v>97.727014680293777</v>
      </c>
      <c r="U105" s="60">
        <f t="shared" si="16"/>
        <v>97.484863623279807</v>
      </c>
      <c r="V105" s="60">
        <f t="shared" si="16"/>
        <v>96.193117123281496</v>
      </c>
    </row>
    <row r="106" spans="3:22" x14ac:dyDescent="0.2">
      <c r="C106" s="88" t="s">
        <v>138</v>
      </c>
      <c r="D106" s="62">
        <f t="shared" ref="D106:V106" si="17">+IFERROR(IF(D68&gt;0,+((D68/D29)*100)," "),"")</f>
        <v>96.069764270442732</v>
      </c>
      <c r="E106" s="62">
        <f t="shared" si="17"/>
        <v>96.386173302363872</v>
      </c>
      <c r="F106" s="62">
        <f t="shared" si="17"/>
        <v>94.477008385094024</v>
      </c>
      <c r="G106" s="62">
        <f t="shared" si="17"/>
        <v>98.133664526759077</v>
      </c>
      <c r="H106" s="62">
        <f t="shared" si="17"/>
        <v>98.152650142476148</v>
      </c>
      <c r="I106" s="62">
        <f t="shared" si="17"/>
        <v>94.516237868285344</v>
      </c>
      <c r="J106" s="62">
        <f t="shared" si="17"/>
        <v>94.610229499444657</v>
      </c>
      <c r="K106" s="62">
        <f t="shared" si="17"/>
        <v>92.260617070984992</v>
      </c>
      <c r="L106" s="62">
        <f t="shared" si="17"/>
        <v>92.631124578561639</v>
      </c>
      <c r="M106" s="62">
        <f t="shared" si="17"/>
        <v>79.189980203979232</v>
      </c>
      <c r="N106" s="62">
        <f t="shared" si="17"/>
        <v>79.928595567057499</v>
      </c>
      <c r="O106" s="62">
        <f t="shared" si="17"/>
        <v>83.631526556244182</v>
      </c>
      <c r="P106" s="62">
        <f t="shared" si="17"/>
        <v>83.440797026537666</v>
      </c>
      <c r="Q106" s="62">
        <f t="shared" si="17"/>
        <v>79.921373986484937</v>
      </c>
      <c r="R106" s="62">
        <f t="shared" si="17"/>
        <v>85.096859530386993</v>
      </c>
      <c r="S106" s="62">
        <f t="shared" si="17"/>
        <v>95.748235943248574</v>
      </c>
      <c r="T106" s="62">
        <f t="shared" si="17"/>
        <v>97.370917448849355</v>
      </c>
      <c r="U106" s="62">
        <f t="shared" si="17"/>
        <v>98.242303889304935</v>
      </c>
      <c r="V106" s="62">
        <f t="shared" si="17"/>
        <v>97.297851335725866</v>
      </c>
    </row>
    <row r="107" spans="3:22" x14ac:dyDescent="0.2">
      <c r="C107" s="87" t="s">
        <v>139</v>
      </c>
      <c r="D107" s="60">
        <f t="shared" ref="D107:V107" si="18">+IFERROR(IF(D69&gt;0,+((D69/D30)*100)," "),"")</f>
        <v>91.188739371916924</v>
      </c>
      <c r="E107" s="60">
        <f t="shared" si="18"/>
        <v>94.544040810620885</v>
      </c>
      <c r="F107" s="60">
        <f t="shared" si="18"/>
        <v>88.438536763894277</v>
      </c>
      <c r="G107" s="60">
        <f t="shared" si="18"/>
        <v>95.00570934080659</v>
      </c>
      <c r="H107" s="60">
        <f t="shared" si="18"/>
        <v>91.262805816187381</v>
      </c>
      <c r="I107" s="60">
        <f t="shared" si="18"/>
        <v>97.214528621608608</v>
      </c>
      <c r="J107" s="60">
        <f t="shared" si="18"/>
        <v>93.928114412919669</v>
      </c>
      <c r="K107" s="60">
        <f t="shared" si="18"/>
        <v>82.146821526493156</v>
      </c>
      <c r="L107" s="60">
        <f t="shared" si="18"/>
        <v>95.502060986715506</v>
      </c>
      <c r="M107" s="60">
        <f t="shared" si="18"/>
        <v>92.477558021479524</v>
      </c>
      <c r="N107" s="60">
        <f t="shared" si="18"/>
        <v>88.488980055468076</v>
      </c>
      <c r="O107" s="60">
        <f t="shared" si="18"/>
        <v>96.973669728867861</v>
      </c>
      <c r="P107" s="60">
        <f t="shared" si="18"/>
        <v>89.233838315199208</v>
      </c>
      <c r="Q107" s="60">
        <f t="shared" si="18"/>
        <v>90.966923529107177</v>
      </c>
      <c r="R107" s="60">
        <f t="shared" si="18"/>
        <v>92.227986425974422</v>
      </c>
      <c r="S107" s="60">
        <f t="shared" si="18"/>
        <v>94.659052128922852</v>
      </c>
      <c r="T107" s="60">
        <f t="shared" si="18"/>
        <v>97.336789226713904</v>
      </c>
      <c r="U107" s="60">
        <f t="shared" si="18"/>
        <v>94.236834879339881</v>
      </c>
      <c r="V107" s="60">
        <f t="shared" si="18"/>
        <v>91.605723310166425</v>
      </c>
    </row>
    <row r="108" spans="3:22" x14ac:dyDescent="0.2">
      <c r="C108" s="88" t="s">
        <v>140</v>
      </c>
      <c r="D108" s="62">
        <f t="shared" ref="D108:V108" si="19">+IFERROR(IF(D70&gt;0,+((D70/D31)*100)," "),"")</f>
        <v>85.50174134087014</v>
      </c>
      <c r="E108" s="62">
        <f t="shared" si="19"/>
        <v>75.348227230780893</v>
      </c>
      <c r="F108" s="62">
        <f t="shared" si="19"/>
        <v>81.101409708485917</v>
      </c>
      <c r="G108" s="62">
        <f t="shared" si="19"/>
        <v>97.702914333203609</v>
      </c>
      <c r="H108" s="62">
        <f t="shared" si="19"/>
        <v>98.933276055563766</v>
      </c>
      <c r="I108" s="62">
        <f t="shared" si="19"/>
        <v>97.035391739261783</v>
      </c>
      <c r="J108" s="62">
        <f t="shared" si="19"/>
        <v>83.47073123815548</v>
      </c>
      <c r="K108" s="62">
        <f t="shared" si="19"/>
        <v>62.214880155731123</v>
      </c>
      <c r="L108" s="62">
        <f t="shared" si="19"/>
        <v>97.55090497751911</v>
      </c>
      <c r="M108" s="62">
        <f t="shared" si="19"/>
        <v>88.333724166964018</v>
      </c>
      <c r="N108" s="62">
        <f t="shared" si="19"/>
        <v>96.110402497838535</v>
      </c>
      <c r="O108" s="62">
        <f t="shared" si="19"/>
        <v>96.314809697038939</v>
      </c>
      <c r="P108" s="62">
        <f t="shared" si="19"/>
        <v>95.029621023954547</v>
      </c>
      <c r="Q108" s="62">
        <f t="shared" si="19"/>
        <v>95.784756488616267</v>
      </c>
      <c r="R108" s="62">
        <f t="shared" si="19"/>
        <v>97.477512032408754</v>
      </c>
      <c r="S108" s="62">
        <f t="shared" si="19"/>
        <v>97.897463673980297</v>
      </c>
      <c r="T108" s="62">
        <f t="shared" si="19"/>
        <v>96.641508854406041</v>
      </c>
      <c r="U108" s="62">
        <f t="shared" si="19"/>
        <v>97.419373963363782</v>
      </c>
      <c r="V108" s="62">
        <f t="shared" si="19"/>
        <v>97.52623140921564</v>
      </c>
    </row>
    <row r="109" spans="3:22" x14ac:dyDescent="0.2">
      <c r="C109" s="87" t="s">
        <v>141</v>
      </c>
      <c r="D109" s="60">
        <f t="shared" ref="D109:V109" si="20">+IFERROR(IF(D71&gt;0,+((D71/D32)*100)," "),"")</f>
        <v>94.874582074823294</v>
      </c>
      <c r="E109" s="60">
        <f t="shared" si="20"/>
        <v>97.260096746069664</v>
      </c>
      <c r="F109" s="60">
        <f t="shared" si="20"/>
        <v>96.803765640582768</v>
      </c>
      <c r="G109" s="60">
        <f t="shared" si="20"/>
        <v>96.338106470131294</v>
      </c>
      <c r="H109" s="60">
        <f t="shared" si="20"/>
        <v>95.53129841485341</v>
      </c>
      <c r="I109" s="60">
        <f t="shared" si="20"/>
        <v>95.261505922563217</v>
      </c>
      <c r="J109" s="60">
        <f t="shared" si="20"/>
        <v>96.556944066890154</v>
      </c>
      <c r="K109" s="60">
        <f t="shared" si="20"/>
        <v>94.427462744944364</v>
      </c>
      <c r="L109" s="60">
        <f t="shared" si="20"/>
        <v>93.742874044329128</v>
      </c>
      <c r="M109" s="60">
        <f t="shared" si="20"/>
        <v>92.350900672553522</v>
      </c>
      <c r="N109" s="60">
        <f t="shared" si="20"/>
        <v>88.975093026571855</v>
      </c>
      <c r="O109" s="60">
        <f t="shared" si="20"/>
        <v>93.1185190462908</v>
      </c>
      <c r="P109" s="60">
        <f t="shared" si="20"/>
        <v>88.138777266400652</v>
      </c>
      <c r="Q109" s="60">
        <f t="shared" si="20"/>
        <v>89.461623824185622</v>
      </c>
      <c r="R109" s="60">
        <f t="shared" si="20"/>
        <v>94.338173218450663</v>
      </c>
      <c r="S109" s="60">
        <f t="shared" si="20"/>
        <v>95.553360735952879</v>
      </c>
      <c r="T109" s="60">
        <f t="shared" si="20"/>
        <v>96.024536000564893</v>
      </c>
      <c r="U109" s="60">
        <f t="shared" si="20"/>
        <v>96.38933067934326</v>
      </c>
      <c r="V109" s="60">
        <f t="shared" si="20"/>
        <v>96.550786189952035</v>
      </c>
    </row>
    <row r="110" spans="3:22" x14ac:dyDescent="0.2">
      <c r="C110" s="88" t="s">
        <v>142</v>
      </c>
      <c r="D110" s="62">
        <f t="shared" ref="D110:V110" si="21">+IFERROR(IF(D72&gt;0,+((D72/D33)*100)," "),"")</f>
        <v>69.875176345040188</v>
      </c>
      <c r="E110" s="62">
        <f t="shared" si="21"/>
        <v>97.042196908874374</v>
      </c>
      <c r="F110" s="62">
        <f t="shared" si="21"/>
        <v>95.432042125443473</v>
      </c>
      <c r="G110" s="62">
        <f t="shared" si="21"/>
        <v>94.022861303152212</v>
      </c>
      <c r="H110" s="62">
        <f t="shared" si="21"/>
        <v>83.438758626938352</v>
      </c>
      <c r="I110" s="62">
        <f t="shared" si="21"/>
        <v>57.754250976619069</v>
      </c>
      <c r="J110" s="62">
        <f t="shared" si="21"/>
        <v>69.29288764690331</v>
      </c>
      <c r="K110" s="62">
        <f t="shared" si="21"/>
        <v>91.356668034060306</v>
      </c>
      <c r="L110" s="62">
        <f t="shared" si="21"/>
        <v>93.692601218478046</v>
      </c>
      <c r="M110" s="62">
        <f t="shared" si="21"/>
        <v>91.964409938476379</v>
      </c>
      <c r="N110" s="62">
        <f t="shared" si="21"/>
        <v>93.223277647909853</v>
      </c>
      <c r="O110" s="62">
        <f t="shared" si="21"/>
        <v>91.840118943879347</v>
      </c>
      <c r="P110" s="62">
        <f t="shared" si="21"/>
        <v>91.809386773501629</v>
      </c>
      <c r="Q110" s="62">
        <f t="shared" si="21"/>
        <v>79.647603550624524</v>
      </c>
      <c r="R110" s="62">
        <f t="shared" si="21"/>
        <v>86.154135953595244</v>
      </c>
      <c r="S110" s="62">
        <f t="shared" si="21"/>
        <v>92.588880332345738</v>
      </c>
      <c r="T110" s="62">
        <f t="shared" si="21"/>
        <v>95.884334845508079</v>
      </c>
      <c r="U110" s="62">
        <f t="shared" si="21"/>
        <v>96.445660781909709</v>
      </c>
      <c r="V110" s="62">
        <f t="shared" si="21"/>
        <v>95.22255163139981</v>
      </c>
    </row>
    <row r="111" spans="3:22" x14ac:dyDescent="0.2">
      <c r="C111" s="87" t="s">
        <v>143</v>
      </c>
      <c r="D111" s="60">
        <f t="shared" ref="D111:V111" si="22">+IFERROR(IF(D73&gt;0,+((D73/D34)*100)," "),"")</f>
        <v>96.65737825636127</v>
      </c>
      <c r="E111" s="60">
        <f t="shared" si="22"/>
        <v>93.824841280438378</v>
      </c>
      <c r="F111" s="60">
        <f t="shared" si="22"/>
        <v>84.003640881616064</v>
      </c>
      <c r="G111" s="60">
        <f t="shared" si="22"/>
        <v>99.638469249423622</v>
      </c>
      <c r="H111" s="60">
        <f t="shared" si="22"/>
        <v>90.619809614806613</v>
      </c>
      <c r="I111" s="60">
        <f t="shared" si="22"/>
        <v>95.012314689762519</v>
      </c>
      <c r="J111" s="60">
        <f t="shared" si="22"/>
        <v>98.950151384103009</v>
      </c>
      <c r="K111" s="60">
        <f t="shared" si="22"/>
        <v>98.280332745671217</v>
      </c>
      <c r="L111" s="60">
        <f t="shared" si="22"/>
        <v>89.216811977010963</v>
      </c>
      <c r="M111" s="60">
        <f t="shared" si="22"/>
        <v>90.257300557818027</v>
      </c>
      <c r="N111" s="60">
        <f t="shared" si="22"/>
        <v>84.22905023900546</v>
      </c>
      <c r="O111" s="60">
        <f t="shared" si="22"/>
        <v>91.780826295724609</v>
      </c>
      <c r="P111" s="60">
        <f t="shared" si="22"/>
        <v>91.704479082795615</v>
      </c>
      <c r="Q111" s="60">
        <f t="shared" si="22"/>
        <v>92.662449534739352</v>
      </c>
      <c r="R111" s="60">
        <f t="shared" si="22"/>
        <v>93.981534901676</v>
      </c>
      <c r="S111" s="60">
        <f t="shared" si="22"/>
        <v>96.38827067991312</v>
      </c>
      <c r="T111" s="60">
        <f t="shared" si="22"/>
        <v>98.250768732138667</v>
      </c>
      <c r="U111" s="60">
        <f t="shared" si="22"/>
        <v>98.429726901058316</v>
      </c>
      <c r="V111" s="60">
        <f t="shared" si="22"/>
        <v>92.7075772517763</v>
      </c>
    </row>
    <row r="112" spans="3:22" x14ac:dyDescent="0.2">
      <c r="C112" s="88" t="s">
        <v>144</v>
      </c>
      <c r="D112" s="62">
        <f t="shared" ref="D112:V112" si="23">+IFERROR(IF(D74&gt;0,+((D74/D35)*100)," "),"")</f>
        <v>98.121278107808351</v>
      </c>
      <c r="E112" s="62">
        <f t="shared" si="23"/>
        <v>97.111721859196663</v>
      </c>
      <c r="F112" s="62">
        <f t="shared" si="23"/>
        <v>97.638447484734982</v>
      </c>
      <c r="G112" s="62">
        <f t="shared" si="23"/>
        <v>99.404996752463276</v>
      </c>
      <c r="H112" s="62">
        <f t="shared" si="23"/>
        <v>99.136729475697265</v>
      </c>
      <c r="I112" s="62">
        <f t="shared" si="23"/>
        <v>99.797038151368739</v>
      </c>
      <c r="J112" s="62">
        <f t="shared" si="23"/>
        <v>98.759369858125112</v>
      </c>
      <c r="K112" s="62">
        <f t="shared" si="23"/>
        <v>99.102981727313349</v>
      </c>
      <c r="L112" s="62">
        <f t="shared" si="23"/>
        <v>98.723021636276485</v>
      </c>
      <c r="M112" s="62">
        <f t="shared" si="23"/>
        <v>99.121885520097081</v>
      </c>
      <c r="N112" s="62">
        <f t="shared" si="23"/>
        <v>97.840476790662592</v>
      </c>
      <c r="O112" s="62">
        <f t="shared" si="23"/>
        <v>95.411869613271946</v>
      </c>
      <c r="P112" s="62">
        <f t="shared" si="23"/>
        <v>95.077281970420842</v>
      </c>
      <c r="Q112" s="62">
        <f t="shared" si="23"/>
        <v>97.90816767815808</v>
      </c>
      <c r="R112" s="62">
        <f t="shared" si="23"/>
        <v>99.239921669522445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98.458764750132516</v>
      </c>
      <c r="V112" s="62">
        <f t="shared" si="23"/>
        <v>99.27633271478102</v>
      </c>
    </row>
    <row r="113" spans="3:22" x14ac:dyDescent="0.2">
      <c r="C113" s="87" t="s">
        <v>145</v>
      </c>
      <c r="D113" s="60">
        <f t="shared" ref="D113:V113" si="24">+IFERROR(IF(D75&gt;0,+((D75/D36)*100)," "),"")</f>
        <v>94.340267430838026</v>
      </c>
      <c r="E113" s="60">
        <f t="shared" si="24"/>
        <v>94.623108407648019</v>
      </c>
      <c r="F113" s="60">
        <f t="shared" si="24"/>
        <v>83.28265519042462</v>
      </c>
      <c r="G113" s="60">
        <f t="shared" si="24"/>
        <v>91.661294902748452</v>
      </c>
      <c r="H113" s="60">
        <f t="shared" si="24"/>
        <v>97.680224140661437</v>
      </c>
      <c r="I113" s="60">
        <f t="shared" si="24"/>
        <v>96.912050212388664</v>
      </c>
      <c r="J113" s="60">
        <f t="shared" si="24"/>
        <v>87.930785984318831</v>
      </c>
      <c r="K113" s="60">
        <f t="shared" si="24"/>
        <v>94.630315968398932</v>
      </c>
      <c r="L113" s="60">
        <f t="shared" si="24"/>
        <v>95.521067448664184</v>
      </c>
      <c r="M113" s="60">
        <f t="shared" si="24"/>
        <v>97.818149487694086</v>
      </c>
      <c r="N113" s="60">
        <f t="shared" si="24"/>
        <v>96.690137637331276</v>
      </c>
      <c r="O113" s="60">
        <f t="shared" si="24"/>
        <v>91.861582556779879</v>
      </c>
      <c r="P113" s="60">
        <f t="shared" si="24"/>
        <v>90.564870720656955</v>
      </c>
      <c r="Q113" s="60">
        <f t="shared" si="24"/>
        <v>87.854913566914931</v>
      </c>
      <c r="R113" s="60">
        <f t="shared" si="24"/>
        <v>94.175634888907126</v>
      </c>
      <c r="S113" s="60">
        <f t="shared" si="24"/>
        <v>92.080971345212788</v>
      </c>
      <c r="T113" s="60">
        <f t="shared" si="24"/>
        <v>94.994328527783949</v>
      </c>
      <c r="U113" s="60">
        <f t="shared" si="24"/>
        <v>96.253182148007539</v>
      </c>
      <c r="V113" s="60">
        <f t="shared" si="24"/>
        <v>97.620182849616441</v>
      </c>
    </row>
    <row r="114" spans="3:22" x14ac:dyDescent="0.2">
      <c r="C114" s="88" t="s">
        <v>146</v>
      </c>
      <c r="D114" s="62">
        <f t="shared" ref="D114:V114" si="25">+IFERROR(IF(D76&gt;0,+((D76/D37)*100)," "),"")</f>
        <v>93.089584025498468</v>
      </c>
      <c r="E114" s="62">
        <f t="shared" si="25"/>
        <v>93.70113889009032</v>
      </c>
      <c r="F114" s="62">
        <f t="shared" si="25"/>
        <v>92.976580430629298</v>
      </c>
      <c r="G114" s="62">
        <f t="shared" si="25"/>
        <v>98.763732984663605</v>
      </c>
      <c r="H114" s="62">
        <f t="shared" si="25"/>
        <v>90.363882117975095</v>
      </c>
      <c r="I114" s="62">
        <f t="shared" si="25"/>
        <v>90.080399123359228</v>
      </c>
      <c r="J114" s="62">
        <f t="shared" si="25"/>
        <v>94.856466803131454</v>
      </c>
      <c r="K114" s="62">
        <f t="shared" si="25"/>
        <v>87.120143260829437</v>
      </c>
      <c r="L114" s="62">
        <f t="shared" si="25"/>
        <v>90.323220770893258</v>
      </c>
      <c r="M114" s="62">
        <f t="shared" si="25"/>
        <v>94.444646766159664</v>
      </c>
      <c r="N114" s="62">
        <f t="shared" si="25"/>
        <v>89.295812879068535</v>
      </c>
      <c r="O114" s="62">
        <f t="shared" si="25"/>
        <v>97.052132975386968</v>
      </c>
      <c r="P114" s="62">
        <f t="shared" si="25"/>
        <v>96.726377982770799</v>
      </c>
      <c r="Q114" s="62">
        <f t="shared" si="25"/>
        <v>98.738463619835727</v>
      </c>
      <c r="R114" s="62">
        <f t="shared" si="25"/>
        <v>98.107165584939565</v>
      </c>
      <c r="S114" s="62">
        <f t="shared" si="25"/>
        <v>98.664110010361455</v>
      </c>
      <c r="T114" s="62">
        <f t="shared" si="25"/>
        <v>98.074174353056279</v>
      </c>
      <c r="U114" s="62">
        <f t="shared" si="25"/>
        <v>97.233402732494667</v>
      </c>
      <c r="V114" s="62">
        <f t="shared" si="25"/>
        <v>91.438403767003521</v>
      </c>
    </row>
    <row r="115" spans="3:22" x14ac:dyDescent="0.2">
      <c r="C115" s="90" t="s">
        <v>147</v>
      </c>
      <c r="D115" s="61">
        <f t="shared" ref="D115:V115" si="26">+IFERROR(IF(D77&gt;0,+((D77/D38)*100)," "),"")</f>
        <v>89.431923275116489</v>
      </c>
      <c r="E115" s="61">
        <f t="shared" si="26"/>
        <v>97.456143954367064</v>
      </c>
      <c r="F115" s="61">
        <f t="shared" si="26"/>
        <v>96.190589653608683</v>
      </c>
      <c r="G115" s="61">
        <f t="shared" si="26"/>
        <v>98.881002999456399</v>
      </c>
      <c r="H115" s="61">
        <f t="shared" si="26"/>
        <v>98.830412700385537</v>
      </c>
      <c r="I115" s="61">
        <f t="shared" si="26"/>
        <v>98.649748952638276</v>
      </c>
      <c r="J115" s="61">
        <f t="shared" si="26"/>
        <v>98.281565578049722</v>
      </c>
      <c r="K115" s="61">
        <f t="shared" si="26"/>
        <v>96.627344255515538</v>
      </c>
      <c r="L115" s="61">
        <f t="shared" si="26"/>
        <v>99.436371050209999</v>
      </c>
      <c r="M115" s="61">
        <f t="shared" si="26"/>
        <v>95.858362859204576</v>
      </c>
      <c r="N115" s="61">
        <f t="shared" si="26"/>
        <v>88.316570237271222</v>
      </c>
      <c r="O115" s="61">
        <f t="shared" si="26"/>
        <v>97.855076632520607</v>
      </c>
      <c r="P115" s="61">
        <f t="shared" si="26"/>
        <v>97.928542692916722</v>
      </c>
      <c r="Q115" s="61">
        <f t="shared" si="26"/>
        <v>98.199242127830402</v>
      </c>
      <c r="R115" s="61">
        <f t="shared" si="26"/>
        <v>97.654338702859221</v>
      </c>
      <c r="S115" s="61">
        <f t="shared" si="26"/>
        <v>98.684346159802317</v>
      </c>
      <c r="T115" s="61">
        <f t="shared" si="26"/>
        <v>99.573962420736109</v>
      </c>
      <c r="U115" s="61">
        <f t="shared" si="26"/>
        <v>99.587317658796465</v>
      </c>
      <c r="V115" s="61">
        <f t="shared" si="26"/>
        <v>95.736298892982958</v>
      </c>
    </row>
    <row r="116" spans="3:22" ht="22.5" customHeight="1" x14ac:dyDescent="0.2">
      <c r="C116" s="89" t="s">
        <v>148</v>
      </c>
      <c r="D116" s="63" t="str">
        <f t="shared" ref="D116:V116" si="27">+IFERROR(IF(D78&gt;0,+((D78/D39)*100),"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+IFERROR(IF(D79&gt;0,+((D79/D40)*100)," "),"")</f>
        <v>58.401538024891998</v>
      </c>
      <c r="E117" s="60">
        <f t="shared" si="28"/>
        <v>64.134091626812918</v>
      </c>
      <c r="F117" s="60">
        <f t="shared" si="28"/>
        <v>67.529597193351449</v>
      </c>
      <c r="G117" s="60">
        <f t="shared" si="28"/>
        <v>68.235321914232856</v>
      </c>
      <c r="H117" s="60">
        <f t="shared" si="28"/>
        <v>71.078580767856877</v>
      </c>
      <c r="I117" s="60">
        <f t="shared" si="28"/>
        <v>62.180141901666232</v>
      </c>
      <c r="J117" s="60">
        <f t="shared" si="28"/>
        <v>68.498914587681909</v>
      </c>
      <c r="K117" s="60">
        <f t="shared" si="28"/>
        <v>78.990283310717729</v>
      </c>
      <c r="L117" s="60">
        <f t="shared" si="28"/>
        <v>81.105059028430901</v>
      </c>
      <c r="M117" s="60">
        <f t="shared" si="28"/>
        <v>71.321977237948559</v>
      </c>
      <c r="N117" s="60">
        <f t="shared" si="28"/>
        <v>83.000531007486643</v>
      </c>
      <c r="O117" s="60">
        <f t="shared" si="28"/>
        <v>85.964048403567418</v>
      </c>
      <c r="P117" s="60">
        <f t="shared" si="28"/>
        <v>95.378043658713381</v>
      </c>
      <c r="Q117" s="60">
        <f t="shared" si="28"/>
        <v>87.919041228618838</v>
      </c>
      <c r="R117" s="60">
        <f t="shared" si="28"/>
        <v>91.073368128163494</v>
      </c>
      <c r="S117" s="60">
        <f t="shared" si="28"/>
        <v>92.72790701375088</v>
      </c>
      <c r="T117" s="60">
        <f t="shared" si="28"/>
        <v>97.422418342120807</v>
      </c>
      <c r="U117" s="60">
        <f t="shared" si="28"/>
        <v>98.146802275787223</v>
      </c>
      <c r="V117" s="60">
        <f t="shared" si="28"/>
        <v>90.434042760910685</v>
      </c>
    </row>
    <row r="118" spans="3:22" x14ac:dyDescent="0.2">
      <c r="C118" s="88" t="s">
        <v>150</v>
      </c>
      <c r="D118" s="62">
        <f t="shared" ref="D118:V118" si="29">+IFERROR(IF(D80&gt;0,+((D80/D41)*100)," "),"")</f>
        <v>76.924401414540029</v>
      </c>
      <c r="E118" s="62">
        <f t="shared" si="29"/>
        <v>89.139722291474769</v>
      </c>
      <c r="F118" s="62">
        <f t="shared" si="29"/>
        <v>84.800077572056651</v>
      </c>
      <c r="G118" s="62">
        <f t="shared" si="29"/>
        <v>97.396832228886268</v>
      </c>
      <c r="H118" s="62">
        <f t="shared" si="29"/>
        <v>96.257013793920805</v>
      </c>
      <c r="I118" s="62">
        <f t="shared" si="29"/>
        <v>97.336688202530468</v>
      </c>
      <c r="J118" s="62">
        <f t="shared" si="29"/>
        <v>84.836704877252089</v>
      </c>
      <c r="K118" s="62">
        <f t="shared" si="29"/>
        <v>95.772892035696998</v>
      </c>
      <c r="L118" s="62">
        <f t="shared" si="29"/>
        <v>96.633532432214139</v>
      </c>
      <c r="M118" s="62">
        <f t="shared" si="29"/>
        <v>94.435313604987769</v>
      </c>
      <c r="N118" s="62">
        <f t="shared" si="29"/>
        <v>90.9703863810429</v>
      </c>
      <c r="O118" s="62">
        <f t="shared" si="29"/>
        <v>94.145860480174221</v>
      </c>
      <c r="P118" s="62">
        <f t="shared" si="29"/>
        <v>94.758275218798033</v>
      </c>
      <c r="Q118" s="62">
        <f t="shared" si="29"/>
        <v>98.336045111173945</v>
      </c>
      <c r="R118" s="62">
        <f t="shared" si="29"/>
        <v>97.841863847117835</v>
      </c>
      <c r="S118" s="62">
        <f t="shared" si="29"/>
        <v>97.305862671277339</v>
      </c>
      <c r="T118" s="62">
        <f t="shared" si="29"/>
        <v>99.203259339932472</v>
      </c>
      <c r="U118" s="62">
        <f t="shared" si="29"/>
        <v>97.621385982180882</v>
      </c>
      <c r="V118" s="62">
        <f t="shared" si="29"/>
        <v>98.57779047917731</v>
      </c>
    </row>
    <row r="119" spans="3:22" x14ac:dyDescent="0.2">
      <c r="C119" s="88" t="s">
        <v>151</v>
      </c>
      <c r="D119" s="60">
        <f t="shared" ref="D119:V119" si="30">+IFERROR(IF(D81&gt;0,+((D81/D42)*100)," "),"")</f>
        <v>92.531256908155726</v>
      </c>
      <c r="E119" s="60">
        <f t="shared" si="30"/>
        <v>87.423830295900885</v>
      </c>
      <c r="F119" s="60">
        <f t="shared" si="30"/>
        <v>84.277091443160415</v>
      </c>
      <c r="G119" s="60">
        <f t="shared" si="30"/>
        <v>91.649118787982289</v>
      </c>
      <c r="H119" s="60">
        <f t="shared" si="30"/>
        <v>94.529850469230169</v>
      </c>
      <c r="I119" s="60">
        <f t="shared" si="30"/>
        <v>98.318719166304362</v>
      </c>
      <c r="J119" s="60">
        <f t="shared" si="30"/>
        <v>90.773636496085288</v>
      </c>
      <c r="K119" s="60">
        <f t="shared" si="30"/>
        <v>96.270718955677296</v>
      </c>
      <c r="L119" s="60">
        <f t="shared" si="30"/>
        <v>98.715421457354282</v>
      </c>
      <c r="M119" s="60">
        <f t="shared" si="30"/>
        <v>96.968902869468181</v>
      </c>
      <c r="N119" s="60">
        <f t="shared" si="30"/>
        <v>99.363077617936966</v>
      </c>
      <c r="O119" s="60">
        <f t="shared" si="30"/>
        <v>98.598664817522305</v>
      </c>
      <c r="P119" s="60">
        <f t="shared" si="30"/>
        <v>99.632081297774562</v>
      </c>
      <c r="Q119" s="60">
        <f t="shared" si="30"/>
        <v>98.815538735823836</v>
      </c>
      <c r="R119" s="60">
        <f t="shared" si="30"/>
        <v>99.581830615260969</v>
      </c>
      <c r="S119" s="60">
        <f t="shared" si="30"/>
        <v>99.576664667962945</v>
      </c>
      <c r="T119" s="60">
        <f t="shared" si="30"/>
        <v>99.718791329841579</v>
      </c>
      <c r="U119" s="60">
        <f t="shared" si="30"/>
        <v>99.934022095052129</v>
      </c>
      <c r="V119" s="60">
        <f t="shared" si="30"/>
        <v>99.635748584689026</v>
      </c>
    </row>
    <row r="120" spans="3:22" x14ac:dyDescent="0.2">
      <c r="C120" s="91" t="s">
        <v>154</v>
      </c>
      <c r="D120" s="74">
        <f t="shared" ref="D120:V120" si="31">+IFERROR(IF(D82&gt;0,+((D82/D43)*100)," "),"")</f>
        <v>91.663497333888259</v>
      </c>
      <c r="E120" s="74">
        <f t="shared" si="31"/>
        <v>94.925629201240156</v>
      </c>
      <c r="F120" s="74">
        <f t="shared" si="31"/>
        <v>94.910793809708267</v>
      </c>
      <c r="G120" s="74">
        <f t="shared" si="31"/>
        <v>98.105090287411471</v>
      </c>
      <c r="H120" s="74">
        <f t="shared" si="31"/>
        <v>97.929025518567158</v>
      </c>
      <c r="I120" s="74">
        <f t="shared" si="31"/>
        <v>97.309823146410253</v>
      </c>
      <c r="J120" s="74">
        <f t="shared" si="31"/>
        <v>96.720117087104299</v>
      </c>
      <c r="K120" s="74">
        <f t="shared" si="31"/>
        <v>93.684843028427849</v>
      </c>
      <c r="L120" s="74">
        <f t="shared" si="31"/>
        <v>97.498605643169626</v>
      </c>
      <c r="M120" s="74">
        <f t="shared" si="31"/>
        <v>94.174685424177142</v>
      </c>
      <c r="N120" s="74">
        <f t="shared" si="31"/>
        <v>92.353522252724446</v>
      </c>
      <c r="O120" s="74">
        <f t="shared" si="31"/>
        <v>97.106865404534275</v>
      </c>
      <c r="P120" s="74">
        <f t="shared" si="31"/>
        <v>96.739979341122918</v>
      </c>
      <c r="Q120" s="74">
        <f t="shared" si="31"/>
        <v>96.230029556958314</v>
      </c>
      <c r="R120" s="74">
        <f t="shared" si="31"/>
        <v>95.342482730944454</v>
      </c>
      <c r="S120" s="74">
        <f t="shared" si="31"/>
        <v>97.525157681329006</v>
      </c>
      <c r="T120" s="74">
        <f t="shared" si="31"/>
        <v>98.477903301604059</v>
      </c>
      <c r="U120" s="74">
        <f t="shared" si="31"/>
        <v>98.895210878411874</v>
      </c>
      <c r="V120" s="74">
        <f t="shared" si="31"/>
        <v>97.137285689848056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55" t="s">
        <v>156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6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60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429.881704723679*Deflactores!$A$5</f>
        <v>1600.7560812869003</v>
      </c>
      <c r="E130" s="56">
        <f>490.80325449054*Deflactores!$B$5</f>
        <v>1697.7605577525385</v>
      </c>
      <c r="F130" s="56">
        <f>486.59422009792*Deflactores!$C$5</f>
        <v>1573.2049127021419</v>
      </c>
      <c r="G130" s="56">
        <f>402.82249828343*Deflactores!$D$5</f>
        <v>1222.9752999433224</v>
      </c>
      <c r="H130" s="56">
        <f>473.503070259239*Deflactores!$E$5</f>
        <v>1362.6575518829184</v>
      </c>
      <c r="I130" s="56">
        <f>562.83443013007*Deflactores!$F$5</f>
        <v>1544.7377323064009</v>
      </c>
      <c r="J130" s="56">
        <f>828.504154808289*Deflactores!$G$5</f>
        <v>2176.4272421269634</v>
      </c>
      <c r="K130" s="56">
        <f>1323.37715782867*Deflactores!$H$5</f>
        <v>3289.1287019769475</v>
      </c>
      <c r="L130" s="56">
        <f>1836.26537377456*Deflactores!$I$5</f>
        <v>4238.5794989167061</v>
      </c>
      <c r="M130" s="56">
        <f>1426.92444237967*Deflactores!$J$5</f>
        <v>3229.073985419242</v>
      </c>
      <c r="N130" s="56">
        <f>1381.20745628346*Deflactores!$K$5</f>
        <v>3029.5446479084944</v>
      </c>
      <c r="O130" s="56">
        <f>1358.40526373977*Deflactores!$L$5</f>
        <v>2872.4818921781562</v>
      </c>
      <c r="P130" s="56">
        <f>1924.61744224519*Deflactores!$M$5</f>
        <v>3972.8557026905323</v>
      </c>
      <c r="Q130" s="56">
        <f>3292.56244609767*Deflactores!$N$5</f>
        <v>6667.2657389864435</v>
      </c>
      <c r="R130" s="56">
        <f>3160.98107844414*Deflactores!$O$5</f>
        <v>6174.8219097917336</v>
      </c>
      <c r="S130" s="56">
        <f>3357.48107761483*Deflactores!$P$5</f>
        <v>6142.8070112431296</v>
      </c>
      <c r="T130" s="56">
        <f>2091.66450243384*Deflactores!$Q$5</f>
        <v>3618.803049380293</v>
      </c>
      <c r="U130" s="56">
        <f>2609.70055863176*Deflactores!$R$5</f>
        <v>4337.650850503861</v>
      </c>
      <c r="V130" s="56">
        <f>1469.3802570929*Deflactores!$S$5</f>
        <v>2367.0236093889107</v>
      </c>
    </row>
    <row r="131" spans="3:22" x14ac:dyDescent="0.2">
      <c r="C131" s="88" t="s">
        <v>124</v>
      </c>
      <c r="D131" s="57">
        <f>108.37842327659*Deflactores!$A$5</f>
        <v>403.57014088748463</v>
      </c>
      <c r="E131" s="57">
        <f>121.97266224643*Deflactores!$B$5</f>
        <v>421.92135686022101</v>
      </c>
      <c r="F131" s="57">
        <f>129.36534431462*Deflactores!$C$5</f>
        <v>418.25033426868322</v>
      </c>
      <c r="G131" s="57">
        <f>152.52945664975*Deflactores!$D$5</f>
        <v>463.08177619505437</v>
      </c>
      <c r="H131" s="57">
        <f>153.7958462645*Deflactores!$E$5</f>
        <v>442.59706963633164</v>
      </c>
      <c r="I131" s="57">
        <f>183.14174807302*Deflactores!$F$5</f>
        <v>502.64510034250753</v>
      </c>
      <c r="J131" s="57">
        <f>241.0765222609*Deflactores!$G$5</f>
        <v>633.29255193326014</v>
      </c>
      <c r="K131" s="57">
        <f>496.49128983745*Deflactores!$H$5</f>
        <v>1233.9821206868151</v>
      </c>
      <c r="L131" s="57">
        <f>1434.89655056236*Deflactores!$I$5</f>
        <v>3312.1155521100627</v>
      </c>
      <c r="M131" s="57">
        <f>1615.10080195945*Deflactores!$J$5</f>
        <v>3654.909698469764</v>
      </c>
      <c r="N131" s="57">
        <f>1784.03180220426*Deflactores!$K$5</f>
        <v>3913.1007970443898</v>
      </c>
      <c r="O131" s="57">
        <f>1344.48848260917*Deflactores!$L$5</f>
        <v>2843.0534860447765</v>
      </c>
      <c r="P131" s="57">
        <f>338.710342855281*Deflactores!$M$5</f>
        <v>699.17651562124695</v>
      </c>
      <c r="Q131" s="57">
        <f>406.014628324149*Deflactores!$N$5</f>
        <v>822.1582628330242</v>
      </c>
      <c r="R131" s="57">
        <f>445.359830315291*Deflactores!$O$5</f>
        <v>869.98864267974932</v>
      </c>
      <c r="S131" s="57">
        <f>491.209815553426*Deflactores!$P$5</f>
        <v>898.7115725210906</v>
      </c>
      <c r="T131" s="57">
        <f>511.605439730416*Deflactores!$Q$5</f>
        <v>885.13206741411227</v>
      </c>
      <c r="U131" s="57">
        <f>560.88394327959*Deflactores!$R$5</f>
        <v>932.25972058504203</v>
      </c>
      <c r="V131" s="57">
        <f>548.4591096321*Deflactores!$S$5</f>
        <v>883.51238899320754</v>
      </c>
    </row>
    <row r="132" spans="3:22" x14ac:dyDescent="0.2">
      <c r="C132" s="87" t="s">
        <v>125</v>
      </c>
      <c r="D132" s="56">
        <f>29.856069884*Deflactores!$A$5</f>
        <v>111.17543478818153</v>
      </c>
      <c r="E132" s="56">
        <f>39.45256639898*Deflactores!$B$5</f>
        <v>136.47222287437452</v>
      </c>
      <c r="F132" s="56">
        <f>30.27030615067*Deflactores!$C$5</f>
        <v>97.866748880923382</v>
      </c>
      <c r="G132" s="56">
        <f>18.0033934463*Deflactores!$D$5</f>
        <v>54.65857938375256</v>
      </c>
      <c r="H132" s="56">
        <f>41.9360459324899*Deflactores!$E$5</f>
        <v>120.68447550874417</v>
      </c>
      <c r="I132" s="56">
        <f>43.43608343066*Deflactores!$F$5</f>
        <v>119.21331288038523</v>
      </c>
      <c r="J132" s="56">
        <f>44.5943188486*Deflactores!$G$5</f>
        <v>117.14641359722236</v>
      </c>
      <c r="K132" s="56">
        <f>113.75462952097*Deflactores!$H$5</f>
        <v>282.72636770765246</v>
      </c>
      <c r="L132" s="56">
        <f>179.610452191649*Deflactores!$I$5</f>
        <v>414.58777762921926</v>
      </c>
      <c r="M132" s="56">
        <f>183.27324508815*Deflactores!$J$5</f>
        <v>414.74015747502744</v>
      </c>
      <c r="N132" s="56">
        <f>334.97356513327*Deflactores!$K$5</f>
        <v>734.73203958150248</v>
      </c>
      <c r="O132" s="56">
        <f>360.75645416604*Deflactores!$L$5</f>
        <v>762.85509909277459</v>
      </c>
      <c r="P132" s="56">
        <f>386.60125251066*Deflactores!$M$5</f>
        <v>798.03443374831886</v>
      </c>
      <c r="Q132" s="56">
        <f>414.577178760319*Deflactores!$N$5</f>
        <v>839.49697700960144</v>
      </c>
      <c r="R132" s="56">
        <f>357.03357931108*Deflactores!$O$5</f>
        <v>697.44763203282207</v>
      </c>
      <c r="S132" s="56">
        <f>348.128329310249*Deflactores!$P$5</f>
        <v>636.93140561749476</v>
      </c>
      <c r="T132" s="56">
        <f>301.586931166029*Deflactores!$Q$5</f>
        <v>521.77761055224062</v>
      </c>
      <c r="U132" s="56">
        <f>378.871483558729*Deflactores!$R$5</f>
        <v>629.73209989724069</v>
      </c>
      <c r="V132" s="56">
        <f>269.02530627727*Deflactores!$S$5</f>
        <v>433.37267423290314</v>
      </c>
    </row>
    <row r="133" spans="3:22" x14ac:dyDescent="0.2">
      <c r="C133" s="88" t="s">
        <v>126</v>
      </c>
      <c r="D133" s="57">
        <f>197.4805388739*Deflactores!$A$5</f>
        <v>735.36084477334339</v>
      </c>
      <c r="E133" s="57">
        <f>210.607853772159*Deflactores!$B$5</f>
        <v>728.5235051231258</v>
      </c>
      <c r="F133" s="57">
        <f>190.406928950409*Deflactores!$C$5</f>
        <v>615.6035227402233</v>
      </c>
      <c r="G133" s="57">
        <f>168.730541410209*Deflactores!$D$5</f>
        <v>512.26851869022789</v>
      </c>
      <c r="H133" s="57">
        <f>161.999898405629*Deflactores!$E$5</f>
        <v>466.20687136376313</v>
      </c>
      <c r="I133" s="57">
        <f>182.33857839198*Deflactores!$F$5</f>
        <v>500.44074601496527</v>
      </c>
      <c r="J133" s="57">
        <f>274.4297574834*Deflactores!$G$5</f>
        <v>720.90936028603744</v>
      </c>
      <c r="K133" s="57">
        <f>304.933874659329*Deflactores!$H$5</f>
        <v>757.88429127238135</v>
      </c>
      <c r="L133" s="57">
        <f>299.23417933084*Deflactores!$I$5</f>
        <v>690.71054543697846</v>
      </c>
      <c r="M133" s="57">
        <f>440.683008706649*Deflactores!$J$5</f>
        <v>997.24834543993074</v>
      </c>
      <c r="N133" s="57">
        <f>423.42762165388*Deflactores!$K$5</f>
        <v>928.74743697797726</v>
      </c>
      <c r="O133" s="57">
        <f>528.40262953367*Deflactores!$L$5</f>
        <v>1117.3594696888338</v>
      </c>
      <c r="P133" s="57">
        <f>744.315371807979*Deflactores!$M$5</f>
        <v>1536.4391408808783</v>
      </c>
      <c r="Q133" s="57">
        <f>1015.651671189*Deflactores!$N$5</f>
        <v>2056.6412029902231</v>
      </c>
      <c r="R133" s="57">
        <f>832.583352899177*Deflactores!$O$5</f>
        <v>1626.410852082724</v>
      </c>
      <c r="S133" s="57">
        <f>851.642502789559*Deflactores!$P$5</f>
        <v>1558.1548834594814</v>
      </c>
      <c r="T133" s="57">
        <f>826.15753980406*Deflactores!$Q$5</f>
        <v>1429.3408052929456</v>
      </c>
      <c r="U133" s="57">
        <f>964.82128030176*Deflactores!$R$5</f>
        <v>1603.6544243525539</v>
      </c>
      <c r="V133" s="57">
        <f>741.60920996869*Deflactores!$S$5</f>
        <v>1194.6577480285034</v>
      </c>
    </row>
    <row r="134" spans="3:22" x14ac:dyDescent="0.2">
      <c r="C134" s="87" t="s">
        <v>127</v>
      </c>
      <c r="D134" s="56">
        <f>168.145621939619*Deflactores!$A$5</f>
        <v>626.12603398561691</v>
      </c>
      <c r="E134" s="56">
        <f>180.690713609919*Deflactores!$B$5</f>
        <v>625.03572238434106</v>
      </c>
      <c r="F134" s="56">
        <f>184.05198404973*Deflactores!$C$5</f>
        <v>595.05738773745293</v>
      </c>
      <c r="G134" s="56">
        <f>210.33975556671*Deflactores!$D$5</f>
        <v>638.59473279271856</v>
      </c>
      <c r="H134" s="56">
        <f>215.22518708014*Deflactores!$E$5</f>
        <v>619.37977798031864</v>
      </c>
      <c r="I134" s="56">
        <f>236.83228545257*Deflactores!$F$5</f>
        <v>650.00246605808991</v>
      </c>
      <c r="J134" s="56">
        <f>283.22669989996*Deflactores!$G$5</f>
        <v>744.01836343551906</v>
      </c>
      <c r="K134" s="56">
        <f>281.94951835113*Deflactores!$H$5</f>
        <v>700.75884854991489</v>
      </c>
      <c r="L134" s="56">
        <f>303.85727323989*Deflactores!$I$5</f>
        <v>701.38185217963439</v>
      </c>
      <c r="M134" s="56">
        <f>330.79597615344*Deflactores!$J$5</f>
        <v>748.5783054476716</v>
      </c>
      <c r="N134" s="56">
        <f>357.08557373496*Deflactores!$K$5</f>
        <v>783.232586699899</v>
      </c>
      <c r="O134" s="56">
        <f>360.815398523639*Deflactores!$L$5</f>
        <v>762.97974274983983</v>
      </c>
      <c r="P134" s="56">
        <f>373.405928492964*Deflactores!$M$5</f>
        <v>770.79623195201907</v>
      </c>
      <c r="Q134" s="56">
        <f>423.265552748943*Deflactores!$N$5</f>
        <v>857.0904772606018</v>
      </c>
      <c r="R134" s="56">
        <f>450.194806717395*Deflactores!$O$5</f>
        <v>879.43353256682599</v>
      </c>
      <c r="S134" s="56">
        <f>465.187670096266*Deflactores!$P$5</f>
        <v>851.10176806751235</v>
      </c>
      <c r="T134" s="56">
        <f>498.152825365204*Deflactores!$Q$5</f>
        <v>861.85760737029557</v>
      </c>
      <c r="U134" s="56">
        <f>545.5624354178*Deflactores!$R$5</f>
        <v>906.79344577129905</v>
      </c>
      <c r="V134" s="56">
        <f>542.03879845239*Deflactores!$S$5</f>
        <v>873.16991428753556</v>
      </c>
    </row>
    <row r="135" spans="3:22" x14ac:dyDescent="0.2">
      <c r="C135" s="88" t="s">
        <v>128</v>
      </c>
      <c r="D135" s="57">
        <f>48.9840438634*Deflactores!$A$5</f>
        <v>182.40251966704065</v>
      </c>
      <c r="E135" s="57">
        <f>56.63122099569*Deflactores!$B$5</f>
        <v>195.89571272026498</v>
      </c>
      <c r="F135" s="57">
        <f>50.24047122172*Deflactores!$C$5</f>
        <v>162.43217218358063</v>
      </c>
      <c r="G135" s="57">
        <f>57.4651589667399*Deflactores!$D$5</f>
        <v>174.46510640076215</v>
      </c>
      <c r="H135" s="57">
        <f>77.33331708343*Deflactores!$E$5</f>
        <v>222.5515211088244</v>
      </c>
      <c r="I135" s="57">
        <f>88.9900776445299*Deflactores!$F$5</f>
        <v>244.23937730073379</v>
      </c>
      <c r="J135" s="57">
        <f>110.922520924169*Deflactores!$G$5</f>
        <v>291.38634357316113</v>
      </c>
      <c r="K135" s="57">
        <f>130.360003038789*Deflactores!$H$5</f>
        <v>323.99745231222545</v>
      </c>
      <c r="L135" s="57">
        <f>165.51569829527*Deflactores!$I$5</f>
        <v>382.05340881701136</v>
      </c>
      <c r="M135" s="57">
        <f>170.94684087137*Deflactores!$J$5</f>
        <v>386.84598872437698</v>
      </c>
      <c r="N135" s="57">
        <f>193.75324249166*Deflactores!$K$5</f>
        <v>424.97895311467289</v>
      </c>
      <c r="O135" s="57">
        <f>218.09609806903*Deflactores!$L$5</f>
        <v>461.18570737371232</v>
      </c>
      <c r="P135" s="57">
        <f>328.444887825649*Deflactores!$M$5</f>
        <v>677.98624130490782</v>
      </c>
      <c r="Q135" s="57">
        <f>388.5007387064*Deflactores!$N$5</f>
        <v>786.69355772372455</v>
      </c>
      <c r="R135" s="57">
        <f>384.142693237799*Deflactores!$O$5</f>
        <v>750.40395998152871</v>
      </c>
      <c r="S135" s="57">
        <f>432.82742000122*Deflactores!$P$5</f>
        <v>791.89584357406864</v>
      </c>
      <c r="T135" s="57">
        <f>374.456334155979*Deflactores!$Q$5</f>
        <v>647.84946262971948</v>
      </c>
      <c r="U135" s="57">
        <f>376.64350993671*Deflactores!$R$5</f>
        <v>626.0289272690685</v>
      </c>
      <c r="V135" s="57">
        <f>367.160403686449*Deflactores!$S$5</f>
        <v>591.45843273953938</v>
      </c>
    </row>
    <row r="136" spans="3:22" x14ac:dyDescent="0.2">
      <c r="C136" s="87" t="s">
        <v>129</v>
      </c>
      <c r="D136" s="56">
        <f>6282.2037637656*Deflactores!$A$5</f>
        <v>23393.12366222994</v>
      </c>
      <c r="E136" s="56">
        <f>7019.58090669603*Deflactores!$B$5</f>
        <v>24281.761553745011</v>
      </c>
      <c r="F136" s="56">
        <f>7927.23254633975*Deflactores!$C$5</f>
        <v>25629.488947740407</v>
      </c>
      <c r="G136" s="56">
        <f>8778.65963518517*Deflactores!$D$5</f>
        <v>26652.14566264594</v>
      </c>
      <c r="H136" s="56">
        <f>9927.32672568568*Deflactores!$E$5</f>
        <v>28569.079236082878</v>
      </c>
      <c r="I136" s="56">
        <f>10791.526221956*Deflactores!$F$5</f>
        <v>29618.084558858543</v>
      </c>
      <c r="J136" s="56">
        <f>12000.6723015822*Deflactores!$G$5</f>
        <v>31524.995945307819</v>
      </c>
      <c r="K136" s="56">
        <f>14334.2395219358*Deflactores!$H$5</f>
        <v>35626.395962559924</v>
      </c>
      <c r="L136" s="56">
        <f>18108.2106897709*Deflactores!$I$5</f>
        <v>41798.474059311178</v>
      </c>
      <c r="M136" s="56">
        <f>19546.5990085397*Deflactores!$J$5</f>
        <v>44233.186065995695</v>
      </c>
      <c r="N136" s="56">
        <f>19959.6618755118*Deflactores!$K$5</f>
        <v>43779.583243583525</v>
      </c>
      <c r="O136" s="56">
        <f>20991.3111776213*Deflactores!$L$5</f>
        <v>44388.197587509683</v>
      </c>
      <c r="P136" s="56">
        <f>23208.0713011206*Deflactores!$M$5</f>
        <v>47906.828855060943</v>
      </c>
      <c r="Q136" s="56">
        <f>25632.5115532229*Deflactores!$N$5</f>
        <v>51904.48742605494</v>
      </c>
      <c r="R136" s="56">
        <f>26141.4025798603*Deflactores!$O$5</f>
        <v>51065.951170533102</v>
      </c>
      <c r="S136" s="56">
        <f>26474.4600711582*Deflactores!$P$5</f>
        <v>48437.353832986657</v>
      </c>
      <c r="T136" s="56">
        <f>28407.9990563307*Deflactores!$Q$5</f>
        <v>49148.873297902959</v>
      </c>
      <c r="U136" s="56">
        <f>29574.074535266*Deflactores!$R$5</f>
        <v>49155.83480888632</v>
      </c>
      <c r="V136" s="56">
        <f>30006.7067125534*Deflactores!$S$5</f>
        <v>48337.782466973782</v>
      </c>
    </row>
    <row r="137" spans="3:22" x14ac:dyDescent="0.2">
      <c r="C137" s="88" t="s">
        <v>130</v>
      </c>
      <c r="D137" s="57">
        <f>34.607287836*Deflactores!$A$5</f>
        <v>128.86760671969512</v>
      </c>
      <c r="E137" s="57">
        <f>52.82939830755*Deflactores!$B$5</f>
        <v>182.74464954283604</v>
      </c>
      <c r="F137" s="57">
        <f>25.2892087092399*Deflactores!$C$5</f>
        <v>81.762392022905303</v>
      </c>
      <c r="G137" s="57">
        <f>25.44539947619*Deflactores!$D$5</f>
        <v>77.252624143836712</v>
      </c>
      <c r="H137" s="57">
        <f>73.3776347595799*Deflactores!$E$5</f>
        <v>211.16777149872581</v>
      </c>
      <c r="I137" s="57">
        <f>63.51004130515*Deflactores!$F$5</f>
        <v>174.30766835236261</v>
      </c>
      <c r="J137" s="57">
        <f>94.6572923666*Deflactores!$G$5</f>
        <v>248.6586320382612</v>
      </c>
      <c r="K137" s="57">
        <f>78.3388213841099*Deflactores!$H$5</f>
        <v>194.70372778406374</v>
      </c>
      <c r="L137" s="57">
        <f>144.72593136871*Deflactores!$I$5</f>
        <v>334.06520344066132</v>
      </c>
      <c r="M137" s="57">
        <f>120.56412721732*Deflactores!$J$5</f>
        <v>272.83188598477869</v>
      </c>
      <c r="N137" s="57">
        <f>125.31599673977*Deflactores!$K$5</f>
        <v>274.86848951847412</v>
      </c>
      <c r="O137" s="57">
        <f>148.28817219878*Deflactores!$L$5</f>
        <v>313.56996386521081</v>
      </c>
      <c r="P137" s="57">
        <f>281.16788766279*Deflactores!$M$5</f>
        <v>580.39557441164402</v>
      </c>
      <c r="Q137" s="57">
        <f>344.952886359949*Deflactores!$N$5</f>
        <v>698.51144767747508</v>
      </c>
      <c r="R137" s="57">
        <f>314.724108423019*Deflactores!$O$5</f>
        <v>614.79815032194585</v>
      </c>
      <c r="S137" s="57">
        <f>378.48716233881*Deflactores!$P$5</f>
        <v>692.4755615099491</v>
      </c>
      <c r="T137" s="57">
        <f>287.10083077556*Deflactores!$Q$5</f>
        <v>496.71510927363681</v>
      </c>
      <c r="U137" s="57">
        <f>470.91748321387*Deflactores!$R$5</f>
        <v>782.7241385313323</v>
      </c>
      <c r="V137" s="57">
        <f>402.91693743242*Deflactores!$S$5</f>
        <v>649.05860747856445</v>
      </c>
    </row>
    <row r="138" spans="3:22" x14ac:dyDescent="0.2">
      <c r="C138" s="87" t="s">
        <v>131</v>
      </c>
      <c r="D138" s="56">
        <f>4936.82546513962*Deflactores!$A$5</f>
        <v>18383.3210363162</v>
      </c>
      <c r="E138" s="56">
        <f>7395.99118972189*Deflactores!$B$5</f>
        <v>25583.820018530703</v>
      </c>
      <c r="F138" s="56">
        <f>8629.62599930291*Deflactores!$C$5</f>
        <v>27900.393091708862</v>
      </c>
      <c r="G138" s="56">
        <f>9690.84977502144*Deflactores!$D$5</f>
        <v>29421.568956095321</v>
      </c>
      <c r="H138" s="56">
        <f>11334.3052057757*Deflactores!$E$5</f>
        <v>32618.112857304695</v>
      </c>
      <c r="I138" s="56">
        <f>12246.5717399425*Deflactores!$F$5</f>
        <v>33611.556872443951</v>
      </c>
      <c r="J138" s="56">
        <f>13098.8182170197*Deflactores!$G$5</f>
        <v>34409.754787273632</v>
      </c>
      <c r="K138" s="56">
        <f>14267.0436162395*Deflactores!$H$5</f>
        <v>35459.386897325894</v>
      </c>
      <c r="L138" s="56">
        <f>16143.418834138*Deflactores!$I$5</f>
        <v>37263.221912283239</v>
      </c>
      <c r="M138" s="56">
        <f>18496.8343534747*Deflactores!$J$5</f>
        <v>41857.609870223263</v>
      </c>
      <c r="N138" s="56">
        <f>20057.207961674*Deflactores!$K$5</f>
        <v>43993.541126530596</v>
      </c>
      <c r="O138" s="56">
        <f>21638.4462275203*Deflactores!$L$5</f>
        <v>45756.628469109091</v>
      </c>
      <c r="P138" s="56">
        <f>22687.1181740219*Deflactores!$M$5</f>
        <v>46831.461066949174</v>
      </c>
      <c r="Q138" s="56">
        <f>25125.0342111252*Deflactores!$N$5</f>
        <v>50876.872505557389</v>
      </c>
      <c r="R138" s="56">
        <f>26844.8165151769*Deflactores!$O$5</f>
        <v>52440.035883999233</v>
      </c>
      <c r="S138" s="56">
        <f>28989.5391786389*Deflactores!$P$5</f>
        <v>53038.912328213999</v>
      </c>
      <c r="T138" s="56">
        <f>31306.90141167*Deflactores!$Q$5</f>
        <v>54164.284072982256</v>
      </c>
      <c r="U138" s="56">
        <f>35520.3507048684*Deflactores!$R$5</f>
        <v>59039.294349520213</v>
      </c>
      <c r="V138" s="56">
        <f>37914.9552329809*Deflactores!$S$5</f>
        <v>61077.174374825801</v>
      </c>
    </row>
    <row r="139" spans="3:22" x14ac:dyDescent="0.2">
      <c r="C139" s="88" t="s">
        <v>132</v>
      </c>
      <c r="D139" s="57">
        <f>37.7606621716099*Deflactores!$A$5</f>
        <v>140.60986764598002</v>
      </c>
      <c r="E139" s="57">
        <f>42.33119643583*Deflactores!$B$5</f>
        <v>146.4298270512227</v>
      </c>
      <c r="F139" s="57">
        <f>44.3320730912599*Deflactores!$C$5</f>
        <v>143.32976491871534</v>
      </c>
      <c r="G139" s="57">
        <f>35.7978886351*Deflactores!$D$5</f>
        <v>108.68294044501228</v>
      </c>
      <c r="H139" s="57">
        <f>38.35082029142*Deflactores!$E$5</f>
        <v>110.36683428978979</v>
      </c>
      <c r="I139" s="57">
        <f>38.72038410986*Deflactores!$F$5</f>
        <v>106.27075235975755</v>
      </c>
      <c r="J139" s="57">
        <f>53.12168762835*Deflactores!$G$5</f>
        <v>139.54726410376614</v>
      </c>
      <c r="K139" s="57">
        <f>61.3633124563199*Deflactores!$H$5</f>
        <v>152.51270664185918</v>
      </c>
      <c r="L139" s="57">
        <f>70.10778082233*Deflactores!$I$5</f>
        <v>161.82704676135555</v>
      </c>
      <c r="M139" s="57">
        <f>96.3785682298*Deflactores!$J$5</f>
        <v>218.10091563348121</v>
      </c>
      <c r="N139" s="57">
        <f>102.65575579383*Deflactores!$K$5</f>
        <v>225.16544790384745</v>
      </c>
      <c r="O139" s="57">
        <f>102.872157118319*Deflactores!$L$5</f>
        <v>217.53332118145136</v>
      </c>
      <c r="P139" s="57">
        <f>130.146528928619*Deflactores!$M$5</f>
        <v>268.65254792467556</v>
      </c>
      <c r="Q139" s="57">
        <f>156.5533173101*Deflactores!$N$5</f>
        <v>317.01223163235352</v>
      </c>
      <c r="R139" s="57">
        <f>165.127569869819*Deflactores!$O$5</f>
        <v>322.56863013071103</v>
      </c>
      <c r="S139" s="57">
        <f>190.50483545291*Deflactores!$P$5</f>
        <v>348.54535642750193</v>
      </c>
      <c r="T139" s="57">
        <f>261.25019912078*Deflactores!$Q$5</f>
        <v>451.9907547933305</v>
      </c>
      <c r="U139" s="57">
        <f>325.272630520469*Deflactores!$R$5</f>
        <v>540.6440588580291</v>
      </c>
      <c r="V139" s="57">
        <f>415.590641752029*Deflactores!$S$5</f>
        <v>669.47466873848657</v>
      </c>
    </row>
    <row r="140" spans="3:22" x14ac:dyDescent="0.2">
      <c r="C140" s="87" t="s">
        <v>133</v>
      </c>
      <c r="D140" s="56">
        <f>621.49657459909*Deflactores!$A$5</f>
        <v>2314.2748583077146</v>
      </c>
      <c r="E140" s="56">
        <f>653.59314795402*Deflactores!$B$5</f>
        <v>2260.874713566192</v>
      </c>
      <c r="F140" s="56">
        <f>678.0501210261*Deflactores!$C$5</f>
        <v>2192.199860577633</v>
      </c>
      <c r="G140" s="56">
        <f>708.508964218499*Deflactores!$D$5</f>
        <v>2151.0441117863811</v>
      </c>
      <c r="H140" s="56">
        <f>751.3315328036*Deflactores!$E$5</f>
        <v>2162.1984131635472</v>
      </c>
      <c r="I140" s="56">
        <f>846.431485591409*Deflactores!$F$5</f>
        <v>2323.0893200741943</v>
      </c>
      <c r="J140" s="56">
        <f>917.38303312076*Deflactores!$G$5</f>
        <v>2409.9063512977677</v>
      </c>
      <c r="K140" s="56">
        <f>1080.54066059575*Deflactores!$H$5</f>
        <v>2685.5815663691042</v>
      </c>
      <c r="L140" s="56">
        <f>1236.64953965962*Deflactores!$I$5</f>
        <v>2854.5097353611413</v>
      </c>
      <c r="M140" s="56">
        <f>1419.82407639778*Deflactores!$J$5</f>
        <v>3213.0061359955957</v>
      </c>
      <c r="N140" s="56">
        <f>1468.53002653013*Deflactores!$K$5</f>
        <v>3221.0782398601732</v>
      </c>
      <c r="O140" s="56">
        <f>1589.66254578562*Deflactores!$L$5</f>
        <v>3361.4982209887739</v>
      </c>
      <c r="P140" s="56">
        <f>1863.72120965431*Deflactores!$M$5</f>
        <v>3847.1517889616734</v>
      </c>
      <c r="Q140" s="56">
        <f>2147.21580745269*Deflactores!$N$5</f>
        <v>4347.9990498606212</v>
      </c>
      <c r="R140" s="56">
        <f>2432.82272205721*Deflactores!$O$5</f>
        <v>4752.400180197249</v>
      </c>
      <c r="S140" s="56">
        <f>2708.87048484514*Deflactores!$P$5</f>
        <v>4956.1168692207439</v>
      </c>
      <c r="T140" s="56">
        <f>3080.61885978045*Deflactores!$Q$5</f>
        <v>5329.799741201351</v>
      </c>
      <c r="U140" s="56">
        <f>3390.75099638026*Deflactores!$R$5</f>
        <v>5635.8550005472089</v>
      </c>
      <c r="V140" s="56">
        <f>3446.99769443205*Deflactores!$S$5</f>
        <v>5552.7661303767964</v>
      </c>
    </row>
    <row r="141" spans="3:22" x14ac:dyDescent="0.2">
      <c r="C141" s="88" t="s">
        <v>134</v>
      </c>
      <c r="D141" s="57">
        <f>6516.40731206201*Deflactores!$A$5</f>
        <v>24265.230453644635</v>
      </c>
      <c r="E141" s="57">
        <f>6478.92203873102*Deflactores!$B$5</f>
        <v>22411.543105045166</v>
      </c>
      <c r="F141" s="57">
        <f>5158.95092078134*Deflactores!$C$5</f>
        <v>16679.373896650883</v>
      </c>
      <c r="G141" s="57">
        <f>4582.2373630638*Deflactores!$D$5</f>
        <v>13911.743106169421</v>
      </c>
      <c r="H141" s="57">
        <f>5140.49390996985*Deflactores!$E$5</f>
        <v>14793.42645654554</v>
      </c>
      <c r="I141" s="57">
        <f>6302.46158775054*Deflactores!$F$5</f>
        <v>17297.538494153738</v>
      </c>
      <c r="J141" s="57">
        <f>5487.78973398512*Deflactores!$G$5</f>
        <v>14416.071430412581</v>
      </c>
      <c r="K141" s="57">
        <f>6451.80066143498*Deflactores!$H$5</f>
        <v>16035.340046051317</v>
      </c>
      <c r="L141" s="57">
        <f>6558.17734032426*Deflactores!$I$5</f>
        <v>15137.984096394121</v>
      </c>
      <c r="M141" s="57">
        <f>6448.97193648881*Deflactores!$J$5</f>
        <v>14593.770275661136</v>
      </c>
      <c r="N141" s="57">
        <f>7445.47291534893*Deflactores!$K$5</f>
        <v>16330.923004526439</v>
      </c>
      <c r="O141" s="57">
        <f>8181.22105386729*Deflactores!$L$5</f>
        <v>17299.998726773531</v>
      </c>
      <c r="P141" s="57">
        <f>9389.41140107247*Deflactores!$M$5</f>
        <v>19381.917575340154</v>
      </c>
      <c r="Q141" s="57">
        <f>12122.5404309413*Deflactores!$N$5</f>
        <v>24547.506632861394</v>
      </c>
      <c r="R141" s="57">
        <f>12027.827356282*Deflactores!$O$5</f>
        <v>23495.772370557374</v>
      </c>
      <c r="S141" s="57">
        <f>15427.7475314391*Deflactores!$P$5</f>
        <v>28226.421389435734</v>
      </c>
      <c r="T141" s="57">
        <f>15675.5093602604*Deflactores!$Q$5</f>
        <v>27120.305865253809</v>
      </c>
      <c r="U141" s="57">
        <f>19129.237502274*Deflactores!$R$5</f>
        <v>31795.200812131734</v>
      </c>
      <c r="V141" s="57">
        <f>10708.1226630911*Deflactores!$S$5</f>
        <v>17249.707169685073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3:22" x14ac:dyDescent="0.2">
      <c r="C143" s="88" t="s">
        <v>136</v>
      </c>
      <c r="D143" s="57">
        <f>955.26729109934*Deflactores!$A$5</f>
        <v>3557.141205775773</v>
      </c>
      <c r="E143" s="57">
        <f>1021.13483063448*Deflactores!$B$5</f>
        <v>3532.2553869331641</v>
      </c>
      <c r="F143" s="57">
        <f>1008.16745856668*Deflactores!$C$5</f>
        <v>3259.5002840855027</v>
      </c>
      <c r="G143" s="57">
        <f>1074.42963885183*Deflactores!$D$5</f>
        <v>3261.9849076013334</v>
      </c>
      <c r="H143" s="57">
        <f>1225.44878976811*Deflactores!$E$5</f>
        <v>3526.6234850579945</v>
      </c>
      <c r="I143" s="57">
        <f>1461.88774534314*Deflactores!$F$5</f>
        <v>4012.2512762874258</v>
      </c>
      <c r="J143" s="57">
        <f>2410.27041795264*Deflactores!$G$5</f>
        <v>6331.6256992564031</v>
      </c>
      <c r="K143" s="57">
        <f>3493.96846645618*Deflactores!$H$5</f>
        <v>8683.928008610239</v>
      </c>
      <c r="L143" s="57">
        <f>4421.72021654173*Deflactores!$I$5</f>
        <v>10206.483729121532</v>
      </c>
      <c r="M143" s="57">
        <f>5435.7062932363*Deflactores!$J$5</f>
        <v>12300.789910499518</v>
      </c>
      <c r="N143" s="57">
        <f>5625.46053098494*Deflactores!$K$5</f>
        <v>12338.90228881614</v>
      </c>
      <c r="O143" s="57">
        <f>5927.28742307161*Deflactores!$L$5</f>
        <v>12533.833788036767</v>
      </c>
      <c r="P143" s="57">
        <f>7909.04553998498*Deflactores!$M$5</f>
        <v>16326.099923376591</v>
      </c>
      <c r="Q143" s="57">
        <f>8695.89242408064*Deflactores!$N$5</f>
        <v>17608.724687271966</v>
      </c>
      <c r="R143" s="57">
        <f>9095.05626371197*Deflactores!$O$5</f>
        <v>17766.747504733492</v>
      </c>
      <c r="S143" s="57">
        <f>10375.7999459952*Deflactores!$P$5</f>
        <v>18983.438828728747</v>
      </c>
      <c r="T143" s="57">
        <f>9604.56888775987*Deflactores!$Q$5</f>
        <v>16616.930267050742</v>
      </c>
      <c r="U143" s="57">
        <f>11013.1096650553*Deflactores!$R$5</f>
        <v>18305.174648222972</v>
      </c>
      <c r="V143" s="57">
        <f>10360.6364082665*Deflactores!$S$5</f>
        <v>16689.941809331551</v>
      </c>
    </row>
    <row r="144" spans="3:22" x14ac:dyDescent="0.2">
      <c r="C144" s="87" t="s">
        <v>137</v>
      </c>
      <c r="D144" s="56">
        <f>65.82977626401*Deflactores!$A$5</f>
        <v>245.13119196850897</v>
      </c>
      <c r="E144" s="56">
        <f>64.96296487139*Deflactores!$B$5</f>
        <v>224.71643874446937</v>
      </c>
      <c r="F144" s="56">
        <f>71.49782094551*Deflactores!$C$5</f>
        <v>231.15918462068726</v>
      </c>
      <c r="G144" s="56">
        <f>63.7310305917399*Deflactores!$D$5</f>
        <v>193.4883890193982</v>
      </c>
      <c r="H144" s="56">
        <f>88.5807859427299*Deflactores!$E$5</f>
        <v>254.91973441798388</v>
      </c>
      <c r="I144" s="56">
        <f>182.05743480207*Deflactores!$F$5</f>
        <v>499.6691281318345</v>
      </c>
      <c r="J144" s="56">
        <f>117.82768293581*Deflactores!$G$5</f>
        <v>309.52576101146383</v>
      </c>
      <c r="K144" s="56">
        <f>144.31415487661*Deflactores!$H$5</f>
        <v>358.67917630149759</v>
      </c>
      <c r="L144" s="56">
        <f>172.41611466178*Deflactores!$I$5</f>
        <v>397.98136986381667</v>
      </c>
      <c r="M144" s="56">
        <f>166.80279632865*Deflactores!$J$5</f>
        <v>377.46817863865186</v>
      </c>
      <c r="N144" s="56">
        <f>186.98703753898*Deflactores!$K$5</f>
        <v>410.13793853153356</v>
      </c>
      <c r="O144" s="56">
        <f>216.68275274566*Deflactores!$L$5</f>
        <v>458.19704930741614</v>
      </c>
      <c r="P144" s="56">
        <f>279.65005607624*Deflactores!$M$5</f>
        <v>577.26241883381942</v>
      </c>
      <c r="Q144" s="56">
        <f>345.28612840835*Deflactores!$N$5</f>
        <v>699.1862452943667</v>
      </c>
      <c r="R144" s="56">
        <f>564.54603765831*Deflactores!$O$5</f>
        <v>1102.8130684459725</v>
      </c>
      <c r="S144" s="56">
        <f>355.55521316356*Deflactores!$P$5</f>
        <v>650.5195430190663</v>
      </c>
      <c r="T144" s="56">
        <f>318.64412329657*Deflactores!$Q$5</f>
        <v>551.28837522030415</v>
      </c>
      <c r="U144" s="56">
        <f>362.14008886012*Deflactores!$R$5</f>
        <v>601.92241567715246</v>
      </c>
      <c r="V144" s="56">
        <f>567.68213031927*Deflactores!$S$5</f>
        <v>914.47873932400967</v>
      </c>
    </row>
    <row r="145" spans="3:22" x14ac:dyDescent="0.2">
      <c r="C145" s="88" t="s">
        <v>138</v>
      </c>
      <c r="D145" s="57">
        <f>152.723888616289*Deflactores!$A$5</f>
        <v>568.69992552358462</v>
      </c>
      <c r="E145" s="57">
        <f>177.40664951114*Deflactores!$B$5</f>
        <v>613.67566222780113</v>
      </c>
      <c r="F145" s="57">
        <f>176.308889075639*Deflactores!$C$5</f>
        <v>570.02323289215303</v>
      </c>
      <c r="G145" s="57">
        <f>183.31467255512*Deflactores!$D$5</f>
        <v>556.54616514087547</v>
      </c>
      <c r="H145" s="57">
        <f>212.86852897299*Deflactores!$E$5</f>
        <v>612.59773543694951</v>
      </c>
      <c r="I145" s="57">
        <f>225.98368511964*Deflactores!$F$5</f>
        <v>620.22773768350203</v>
      </c>
      <c r="J145" s="57">
        <f>233.62188120358*Deflactores!$G$5</f>
        <v>613.70968830696529</v>
      </c>
      <c r="K145" s="57">
        <f>278.024714905509*Deflactores!$H$5</f>
        <v>691.00412096810373</v>
      </c>
      <c r="L145" s="57">
        <f>355.349937270159*Deflactores!$I$5</f>
        <v>820.24035336384247</v>
      </c>
      <c r="M145" s="57">
        <f>296.26477640733*Deflactores!$J$5</f>
        <v>670.4355562776276</v>
      </c>
      <c r="N145" s="57">
        <f>295.708203419889*Deflactores!$K$5</f>
        <v>648.60727542257553</v>
      </c>
      <c r="O145" s="57">
        <f>295.81717452214*Deflactores!$L$5</f>
        <v>625.53458816170746</v>
      </c>
      <c r="P145" s="57">
        <f>172.0687217555*Deflactores!$M$5</f>
        <v>355.18965352591857</v>
      </c>
      <c r="Q145" s="57">
        <f>177.17921142241*Deflactores!$N$5</f>
        <v>358.77858212752869</v>
      </c>
      <c r="R145" s="57">
        <f>138.32800753287*Deflactores!$O$5</f>
        <v>270.21699607016359</v>
      </c>
      <c r="S145" s="57">
        <f>77.52076228428*Deflactores!$P$5</f>
        <v>141.83105461165496</v>
      </c>
      <c r="T145" s="57">
        <f>91.51380185266*Deflactores!$Q$5</f>
        <v>158.32865395929574</v>
      </c>
      <c r="U145" s="57">
        <f>90.88932609065*Deflactores!$R$5</f>
        <v>151.06950156209879</v>
      </c>
      <c r="V145" s="57">
        <f>91.984617962*Deflactores!$S$5</f>
        <v>148.17795554667478</v>
      </c>
    </row>
    <row r="146" spans="3:22" x14ac:dyDescent="0.2">
      <c r="C146" s="87" t="s">
        <v>139</v>
      </c>
      <c r="D146" s="56">
        <f>572.98758448954*Deflactores!$A$5</f>
        <v>2133.641302467368</v>
      </c>
      <c r="E146" s="56">
        <f>637.98386101546*Deflactores!$B$5</f>
        <v>2206.879896994657</v>
      </c>
      <c r="F146" s="56">
        <f>628.79516952576*Deflactores!$C$5</f>
        <v>2032.9539664121676</v>
      </c>
      <c r="G146" s="56">
        <f>658.141414738569*Deflactores!$D$5</f>
        <v>1998.127456944311</v>
      </c>
      <c r="H146" s="56">
        <f>795.600058747459*Deflactores!$E$5</f>
        <v>2289.5953509597439</v>
      </c>
      <c r="I146" s="56">
        <f>936.13344916068*Deflactores!$F$5</f>
        <v>2569.2825171666409</v>
      </c>
      <c r="J146" s="56">
        <f>1095.14090410864*Deflactores!$G$5</f>
        <v>2876.864870063474</v>
      </c>
      <c r="K146" s="56">
        <f>1255.61461143861*Deflactores!$H$5</f>
        <v>3120.711304916626</v>
      </c>
      <c r="L146" s="56">
        <f>1585.39879601481*Deflactores!$I$5</f>
        <v>3659.5139952906407</v>
      </c>
      <c r="M146" s="56">
        <f>1895.88756910708*Deflactores!$J$5</f>
        <v>4290.3191275312756</v>
      </c>
      <c r="N146" s="56">
        <f>2652.28288070404*Deflactores!$K$5</f>
        <v>5817.5253611773232</v>
      </c>
      <c r="O146" s="56">
        <f>6257.01540038246*Deflactores!$L$5</f>
        <v>13231.07611288055</v>
      </c>
      <c r="P146" s="56">
        <f>2245.77229921975*Deflactores!$M$5</f>
        <v>4635.7936336123894</v>
      </c>
      <c r="Q146" s="56">
        <f>3004.99232419617*Deflactores!$N$5</f>
        <v>6084.9513705581667</v>
      </c>
      <c r="R146" s="56">
        <f>3203.38533782694*Deflactores!$O$5</f>
        <v>6257.6565561902762</v>
      </c>
      <c r="S146" s="56">
        <f>3230.03237799645*Deflactores!$P$5</f>
        <v>5909.6284027889087</v>
      </c>
      <c r="T146" s="56">
        <f>3221.99601346219*Deflactores!$Q$5</f>
        <v>5574.3973209092237</v>
      </c>
      <c r="U146" s="56">
        <f>3598.40660135302*Deflactores!$R$5</f>
        <v>5981.0047567300535</v>
      </c>
      <c r="V146" s="56">
        <f>3132.77797223702*Deflactores!$S$5</f>
        <v>5046.5898037377237</v>
      </c>
    </row>
    <row r="147" spans="3:22" x14ac:dyDescent="0.2">
      <c r="C147" s="88" t="s">
        <v>140</v>
      </c>
      <c r="D147" s="57">
        <f>329.48573229445*Deflactores!$A$5</f>
        <v>1226.9102961863184</v>
      </c>
      <c r="E147" s="57">
        <f>452.138387955839*Deflactores!$B$5</f>
        <v>1564.0131044241771</v>
      </c>
      <c r="F147" s="57">
        <f>331.09396108931*Deflactores!$C$5</f>
        <v>1070.4579393624838</v>
      </c>
      <c r="G147" s="57">
        <f>391.19067109607*Deflactores!$D$5</f>
        <v>1187.6608937123644</v>
      </c>
      <c r="H147" s="57">
        <f>2671.80244194294*Deflactores!$E$5</f>
        <v>7688.9718426946802</v>
      </c>
      <c r="I147" s="57">
        <f>2652.22540730511*Deflactores!$F$5</f>
        <v>7279.2147067106544</v>
      </c>
      <c r="J147" s="57">
        <f>761.98311195658*Deflactores!$G$5</f>
        <v>2001.6807318084302</v>
      </c>
      <c r="K147" s="57">
        <f>2481.36467868502*Deflactores!$H$5</f>
        <v>6167.1971111589419</v>
      </c>
      <c r="L147" s="57">
        <f>1712.21899730574*Deflactores!$I$5</f>
        <v>3952.2481027444474</v>
      </c>
      <c r="M147" s="57">
        <f>6406.37597704019*Deflactores!$J$5</f>
        <v>14497.377291944264</v>
      </c>
      <c r="N147" s="57">
        <f>2146.23853529777*Deflactores!$K$5</f>
        <v>4707.5661503031433</v>
      </c>
      <c r="O147" s="57">
        <f>2668.67894886045*Deflactores!$L$5</f>
        <v>5643.1848147690962</v>
      </c>
      <c r="P147" s="57">
        <f>2559.66690737808*Deflactores!$M$5</f>
        <v>5283.7447311618625</v>
      </c>
      <c r="Q147" s="57">
        <f>3180.04397300378*Deflactores!$N$5</f>
        <v>6439.4217503170457</v>
      </c>
      <c r="R147" s="57">
        <f>2863.66829298873*Deflactores!$O$5</f>
        <v>5594.0359271705101</v>
      </c>
      <c r="S147" s="57">
        <f>3244.6536524962*Deflactores!$P$5</f>
        <v>5936.379310816119</v>
      </c>
      <c r="T147" s="57">
        <f>2976.05450795601*Deflactores!$Q$5</f>
        <v>5148.8922415528868</v>
      </c>
      <c r="U147" s="57">
        <f>3568.88803700228*Deflactores!$R$5</f>
        <v>5931.9411868357465</v>
      </c>
      <c r="V147" s="57">
        <f>3831.55298823316*Deflactores!$S$5</f>
        <v>6172.2459792102127</v>
      </c>
    </row>
    <row r="148" spans="3:22" x14ac:dyDescent="0.2">
      <c r="C148" s="87" t="s">
        <v>141</v>
      </c>
      <c r="D148" s="56">
        <f>352.21019412169*Deflactores!$A$5</f>
        <v>1311.5296695260342</v>
      </c>
      <c r="E148" s="56">
        <f>346.88272884147*Deflactores!$B$5</f>
        <v>1199.9183171756411</v>
      </c>
      <c r="F148" s="56">
        <f>369.998333879449*Deflactores!$C$5</f>
        <v>1196.2394383427338</v>
      </c>
      <c r="G148" s="56">
        <f>375.78878168746*Deflactores!$D$5</f>
        <v>1140.9005205965227</v>
      </c>
      <c r="H148" s="56">
        <f>396.348432447519*Deflactores!$E$5</f>
        <v>1140.6202379128717</v>
      </c>
      <c r="I148" s="56">
        <f>441.697370667429*Deflactores!$F$5</f>
        <v>1212.2687565023771</v>
      </c>
      <c r="J148" s="56">
        <f>514.1992090049*Deflactores!$G$5</f>
        <v>1350.768321273365</v>
      </c>
      <c r="K148" s="56">
        <f>591.2092053602*Deflactores!$H$5</f>
        <v>1469.3945370900597</v>
      </c>
      <c r="L148" s="56">
        <f>670.43102598332*Deflactores!$I$5</f>
        <v>1547.5296995495535</v>
      </c>
      <c r="M148" s="56">
        <f>760.27805954613*Deflactores!$J$5</f>
        <v>1720.4793967025028</v>
      </c>
      <c r="N148" s="56">
        <f>851.35898472206*Deflactores!$K$5</f>
        <v>1867.3733941124922</v>
      </c>
      <c r="O148" s="56">
        <f>880.27589357383*Deflactores!$L$5</f>
        <v>1861.4301872259032</v>
      </c>
      <c r="P148" s="56">
        <f>1028.07827094689*Deflactores!$M$5</f>
        <v>2122.1914193913003</v>
      </c>
      <c r="Q148" s="56">
        <f>1163.27548586957*Deflactores!$N$5</f>
        <v>2355.5716615589813</v>
      </c>
      <c r="R148" s="56">
        <f>1289.41694612977*Deflactores!$O$5</f>
        <v>2518.8129293509633</v>
      </c>
      <c r="S148" s="56">
        <f>1391.0061567796*Deflactores!$P$5</f>
        <v>2544.968139811012</v>
      </c>
      <c r="T148" s="56">
        <f>1500.27376692332*Deflactores!$Q$5</f>
        <v>2595.6338965116115</v>
      </c>
      <c r="U148" s="56">
        <f>1658.16728468619*Deflactores!$R$5</f>
        <v>2756.0827654754812</v>
      </c>
      <c r="V148" s="56">
        <f>1742.91090376258*Deflactores!$S$5</f>
        <v>2807.6539332504176</v>
      </c>
    </row>
    <row r="149" spans="3:22" x14ac:dyDescent="0.2">
      <c r="C149" s="88" t="s">
        <v>142</v>
      </c>
      <c r="D149" s="57">
        <f>109.67958693058*Deflactores!$A$5</f>
        <v>408.41530086751402</v>
      </c>
      <c r="E149" s="57">
        <f>292.01027609524*Deflactores!$B$5</f>
        <v>1010.1064421985877</v>
      </c>
      <c r="F149" s="57">
        <f>119.44037357706*Deflactores!$C$5</f>
        <v>386.16196971800628</v>
      </c>
      <c r="G149" s="57">
        <f>111.30625244135*Deflactores!$D$5</f>
        <v>337.92749423158682</v>
      </c>
      <c r="H149" s="57">
        <f>225.162861578999*Deflactores!$E$5</f>
        <v>647.9786362656738</v>
      </c>
      <c r="I149" s="57">
        <f>90.20396635527*Deflactores!$F$5</f>
        <v>247.57097820131773</v>
      </c>
      <c r="J149" s="57">
        <f>127.61651687747*Deflactores!$G$5</f>
        <v>335.24039953879344</v>
      </c>
      <c r="K149" s="57">
        <f>291.70621428702*Deflactores!$H$5</f>
        <v>725.00819307680001</v>
      </c>
      <c r="L149" s="57">
        <f>275.81540941414*Deflactores!$I$5</f>
        <v>636.65391534612627</v>
      </c>
      <c r="M149" s="57">
        <f>450.8221088492*Deflactores!$J$5</f>
        <v>1020.1927309543255</v>
      </c>
      <c r="N149" s="57">
        <f>546.35690633571*Deflactores!$K$5</f>
        <v>1198.3809049880338</v>
      </c>
      <c r="O149" s="57">
        <f>403.164869790879*Deflactores!$L$5</f>
        <v>852.53187612685701</v>
      </c>
      <c r="P149" s="57">
        <f>572.044251131806*Deflactores!$M$5</f>
        <v>1180.8316891533204</v>
      </c>
      <c r="Q149" s="57">
        <f>421.36961174883*Deflactores!$N$5</f>
        <v>853.2512964765973</v>
      </c>
      <c r="R149" s="57">
        <f>433.09740531024*Deflactores!$O$5</f>
        <v>846.03459527822667</v>
      </c>
      <c r="S149" s="57">
        <f>404.917526413933*Deflactores!$P$5</f>
        <v>740.83223783877395</v>
      </c>
      <c r="T149" s="57">
        <f>481.28465212296*Deflactores!$Q$5</f>
        <v>832.67386557256498</v>
      </c>
      <c r="U149" s="57">
        <f>528.37542303389*Deflactores!$R$5</f>
        <v>878.22646760282521</v>
      </c>
      <c r="V149" s="57">
        <f>355.652625882078*Deflactores!$S$5</f>
        <v>572.92056167242754</v>
      </c>
    </row>
    <row r="150" spans="3:22" x14ac:dyDescent="0.2">
      <c r="C150" s="87" t="s">
        <v>143</v>
      </c>
      <c r="D150" s="56">
        <f>761.50300446958*Deflactores!$A$5</f>
        <v>2835.6186176996457</v>
      </c>
      <c r="E150" s="56">
        <f>512.964381366079*Deflactores!$B$5</f>
        <v>1774.4191511510162</v>
      </c>
      <c r="F150" s="56">
        <f>593.26046287281*Deflactores!$C$5</f>
        <v>1918.0669152125031</v>
      </c>
      <c r="G150" s="56">
        <f>495.395035170499*Deflactores!$D$5</f>
        <v>1504.0269456394351</v>
      </c>
      <c r="H150" s="56">
        <f>639.61599874718*Deflactores!$E$5</f>
        <v>1840.7009916974744</v>
      </c>
      <c r="I150" s="56">
        <f>578.21101475654*Deflactores!$F$5</f>
        <v>1586.9398244225874</v>
      </c>
      <c r="J150" s="56">
        <f>194.72001890771*Deflactores!$G$5</f>
        <v>511.51699273768992</v>
      </c>
      <c r="K150" s="56">
        <f>351.79594114575*Deflactores!$H$5</f>
        <v>874.35552322815795</v>
      </c>
      <c r="L150" s="56">
        <f>311.87358812064*Deflactores!$I$5</f>
        <v>719.88559809548997</v>
      </c>
      <c r="M150" s="56">
        <f>288.335349329969*Deflactores!$J$5</f>
        <v>652.49157414772276</v>
      </c>
      <c r="N150" s="56">
        <f>280.110181487819*Deflactores!$K$5</f>
        <v>614.39452653587659</v>
      </c>
      <c r="O150" s="56">
        <f>290.21996289474*Deflactores!$L$5</f>
        <v>613.69873219473902</v>
      </c>
      <c r="P150" s="56">
        <f>834.6499419756*Deflactores!$M$5</f>
        <v>1722.9105945646127</v>
      </c>
      <c r="Q150" s="56">
        <f>589.26145788034*Deflactores!$N$5</f>
        <v>1193.2234524776122</v>
      </c>
      <c r="R150" s="56">
        <f>653.851469160669*Deflactores!$O$5</f>
        <v>1277.2668602970764</v>
      </c>
      <c r="S150" s="56">
        <f>655.997420238809*Deflactores!$P$5</f>
        <v>1200.2049927450535</v>
      </c>
      <c r="T150" s="56">
        <f>729.77254206628*Deflactores!$Q$5</f>
        <v>1262.5844620447181</v>
      </c>
      <c r="U150" s="56">
        <f>1150.85926431728*Deflactores!$R$5</f>
        <v>1912.8729731710546</v>
      </c>
      <c r="V150" s="56">
        <f>614.07066555235*Deflactores!$S$5</f>
        <v>989.2059976845577</v>
      </c>
    </row>
    <row r="151" spans="3:22" x14ac:dyDescent="0.2">
      <c r="C151" s="88" t="s">
        <v>144</v>
      </c>
      <c r="D151" s="57">
        <f>693.18703127138*Deflactores!$A$5</f>
        <v>2581.2295419506681</v>
      </c>
      <c r="E151" s="57">
        <f>773.71666460527*Deflactores!$B$5</f>
        <v>2676.3996041676528</v>
      </c>
      <c r="F151" s="57">
        <f>763.19454848389*Deflactores!$C$5</f>
        <v>2467.4798084957379</v>
      </c>
      <c r="G151" s="57">
        <f>781.96057965096*Deflactores!$D$5</f>
        <v>2374.0443458786449</v>
      </c>
      <c r="H151" s="57">
        <f>864.50179858742*Deflactores!$E$5</f>
        <v>2487.8822935964436</v>
      </c>
      <c r="I151" s="57">
        <f>1018.29315099037*Deflactores!$F$5</f>
        <v>2794.775459135446</v>
      </c>
      <c r="J151" s="57">
        <f>1145.28599044168*Deflactores!$G$5</f>
        <v>3008.5927935997065</v>
      </c>
      <c r="K151" s="57">
        <f>1275.61400602996*Deflactores!$H$5</f>
        <v>3170.4179077421581</v>
      </c>
      <c r="L151" s="57">
        <f>1413.89589815147*Deflactores!$I$5</f>
        <v>3263.6405680233661</v>
      </c>
      <c r="M151" s="57">
        <f>1621.13184757084*Deflactores!$J$5</f>
        <v>3668.557717881456</v>
      </c>
      <c r="N151" s="57">
        <f>1714.929361387*Deflactores!$K$5</f>
        <v>3761.5312925626677</v>
      </c>
      <c r="O151" s="57">
        <f>1870.43706018619*Deflactores!$L$5</f>
        <v>3955.2236208597633</v>
      </c>
      <c r="P151" s="57">
        <f>2245.8668583066*Deflactores!$M$5</f>
        <v>4635.9888254459393</v>
      </c>
      <c r="Q151" s="57">
        <f>2665.00103771408*Deflactores!$N$5</f>
        <v>5396.4869016146613</v>
      </c>
      <c r="R151" s="57">
        <f>2936.89060138028*Deflactores!$O$5</f>
        <v>5737.0721247690772</v>
      </c>
      <c r="S151" s="57">
        <f>3112.78532762754*Deflactores!$P$5</f>
        <v>5695.1146091429382</v>
      </c>
      <c r="T151" s="57">
        <f>3392.37363584261*Deflactores!$Q$5</f>
        <v>5869.1688096919615</v>
      </c>
      <c r="U151" s="57">
        <f>3690.34656984302*Deflactores!$R$5</f>
        <v>6133.8205582199516</v>
      </c>
      <c r="V151" s="57">
        <f>4064.04925052754*Deflactores!$S$5</f>
        <v>6546.7740425137617</v>
      </c>
    </row>
    <row r="152" spans="3:22" x14ac:dyDescent="0.2">
      <c r="C152" s="87" t="s">
        <v>145</v>
      </c>
      <c r="D152" s="56">
        <f>192.02652659248*Deflactores!$A$5</f>
        <v>715.05166847911528</v>
      </c>
      <c r="E152" s="56">
        <f>137.36840630174*Deflactores!$B$5</f>
        <v>475.17749722850425</v>
      </c>
      <c r="F152" s="56">
        <f>195.77395155376*Deflactores!$C$5</f>
        <v>632.9556119707039</v>
      </c>
      <c r="G152" s="56">
        <f>248.69832938027*Deflactores!$D$5</f>
        <v>755.05195282125123</v>
      </c>
      <c r="H152" s="56">
        <f>140.18903939502*Deflactores!$E$5</f>
        <v>403.43910149990955</v>
      </c>
      <c r="I152" s="56">
        <f>197.79053511684*Deflactores!$F$5</f>
        <v>542.84970202950888</v>
      </c>
      <c r="J152" s="56">
        <f>488.57744069018*Deflactores!$G$5</f>
        <v>1283.4615802896394</v>
      </c>
      <c r="K152" s="56">
        <f>348.74295873237*Deflactores!$H$5</f>
        <v>866.76762432641567</v>
      </c>
      <c r="L152" s="56">
        <f>358.18401216258*Deflactores!$I$5</f>
        <v>826.78213752476574</v>
      </c>
      <c r="M152" s="56">
        <f>405.5674403872*Deflactores!$J$5</f>
        <v>917.78319313344707</v>
      </c>
      <c r="N152" s="56">
        <f>716.80594695235*Deflactores!$K$5</f>
        <v>1572.244350621869</v>
      </c>
      <c r="O152" s="56">
        <f>566.05885647627*Deflactores!$L$5</f>
        <v>1196.9872751072107</v>
      </c>
      <c r="P152" s="56">
        <f>430.75762411473*Deflactores!$M$5</f>
        <v>889.18340127129068</v>
      </c>
      <c r="Q152" s="56">
        <f>562.420477975779*Deflactores!$N$5</f>
        <v>1138.8718802149203</v>
      </c>
      <c r="R152" s="56">
        <f>1113.655092891*Deflactores!$O$5</f>
        <v>2175.4707468604092</v>
      </c>
      <c r="S152" s="56">
        <f>874.6914127896*Deflactores!$P$5</f>
        <v>1600.3248920691342</v>
      </c>
      <c r="T152" s="56">
        <f>760.94535648053*Deflactores!$Q$5</f>
        <v>1316.5167612871592</v>
      </c>
      <c r="U152" s="56">
        <f>807.10471710354*Deflactores!$R$5</f>
        <v>1341.5096421734129</v>
      </c>
      <c r="V152" s="56">
        <f>1828.22310654451*Deflactores!$S$5</f>
        <v>2945.0832999368354</v>
      </c>
    </row>
    <row r="153" spans="3:22" x14ac:dyDescent="0.2">
      <c r="C153" s="88" t="s">
        <v>146</v>
      </c>
      <c r="D153" s="57">
        <f>196.049552837769*Deflactores!$A$5</f>
        <v>730.03226350458317</v>
      </c>
      <c r="E153" s="57">
        <f>204.960167644259*Deflactores!$B$5</f>
        <v>708.98732914469292</v>
      </c>
      <c r="F153" s="57">
        <f>218.07147137988*Deflactores!$C$5</f>
        <v>705.04559225132937</v>
      </c>
      <c r="G153" s="57">
        <f>215.63209498771*Deflactores!$D$5</f>
        <v>654.66235666770206</v>
      </c>
      <c r="H153" s="57">
        <f>214.077307106179*Deflactores!$E$5</f>
        <v>616.07638373977716</v>
      </c>
      <c r="I153" s="57">
        <f>260.30375181534*Deflactores!$F$5</f>
        <v>714.4215168165025</v>
      </c>
      <c r="J153" s="57">
        <f>263.82688732488*Deflactores!$G$5</f>
        <v>693.05630086103338</v>
      </c>
      <c r="K153" s="57">
        <f>258.008478367*Deflactores!$H$5</f>
        <v>641.25565907656721</v>
      </c>
      <c r="L153" s="57">
        <f>261.26213558305*Deflactores!$I$5</f>
        <v>603.06116291308263</v>
      </c>
      <c r="M153" s="57">
        <f>282.82748017945*Deflactores!$J$5</f>
        <v>640.02748252464164</v>
      </c>
      <c r="N153" s="57">
        <f>323.633596266339*Deflactores!$K$5</f>
        <v>709.85891727683315</v>
      </c>
      <c r="O153" s="57">
        <f>363.872147386069*Deflactores!$L$5</f>
        <v>769.44353966718484</v>
      </c>
      <c r="P153" s="57">
        <f>614.287405262531*Deflactores!$M$5</f>
        <v>1268.0313331470411</v>
      </c>
      <c r="Q153" s="57">
        <f>626.525966339973*Deflactores!$N$5</f>
        <v>1268.6821217057529</v>
      </c>
      <c r="R153" s="57">
        <f>651.573536093203*Deflactores!$O$5</f>
        <v>1272.8170294803251</v>
      </c>
      <c r="S153" s="57">
        <f>829.516767098511*Deflactores!$P$5</f>
        <v>1517.6739034658617</v>
      </c>
      <c r="T153" s="57">
        <f>999.077908925505*Deflactores!$Q$5</f>
        <v>1728.5115175885921</v>
      </c>
      <c r="U153" s="57">
        <f>929.258057631787*Deflactores!$R$5</f>
        <v>1544.5438714000941</v>
      </c>
      <c r="V153" s="57">
        <f>830.56812368518*Deflactores!$S$5</f>
        <v>1337.9615987615475</v>
      </c>
    </row>
    <row r="154" spans="3:22" x14ac:dyDescent="0.2">
      <c r="C154" s="90" t="s">
        <v>147</v>
      </c>
      <c r="D154" s="58">
        <f>5088.77608936451*Deflactores!$A$5</f>
        <v>18949.141547192979</v>
      </c>
      <c r="E154" s="58">
        <f>6536.30082854015*Deflactores!$B$5</f>
        <v>22610.024768111223</v>
      </c>
      <c r="F154" s="58">
        <f>7567.74779513991*Deflactores!$C$5</f>
        <v>24467.24091175821</v>
      </c>
      <c r="G154" s="58">
        <f>8360.49616885159*Deflactores!$D$5</f>
        <v>25382.594947767997</v>
      </c>
      <c r="H154" s="58">
        <f>10533.5461936662*Deflactores!$E$5</f>
        <v>30313.670956871159</v>
      </c>
      <c r="I154" s="58">
        <f>13709.2240766075*Deflactores!$F$5</f>
        <v>37625.906622103728</v>
      </c>
      <c r="J154" s="58">
        <f>15573.685462259*Deflactores!$G$5</f>
        <v>40911.072206053388</v>
      </c>
      <c r="K154" s="58">
        <f>17544.9516148442*Deflactores!$H$5</f>
        <v>43606.317057689404</v>
      </c>
      <c r="L154" s="58">
        <f>19628.749500022*Deflactores!$I$5</f>
        <v>45308.274287798602</v>
      </c>
      <c r="M154" s="58">
        <f>22283.8045928084*Deflactores!$J$5</f>
        <v>50427.374827781998</v>
      </c>
      <c r="N154" s="58">
        <f>23598.9016248897*Deflactores!$K$5</f>
        <v>51761.902811167005</v>
      </c>
      <c r="O154" s="58">
        <f>25578.194851457*Deflactores!$L$5</f>
        <v>54087.615461044028</v>
      </c>
      <c r="P154" s="58">
        <f>28743.2088375963*Deflactores!$M$5</f>
        <v>59332.633404203349</v>
      </c>
      <c r="Q154" s="58">
        <f>30286.0584574033*Deflactores!$N$5</f>
        <v>61327.675094304272</v>
      </c>
      <c r="R154" s="58">
        <f>34699.0312922923*Deflactores!$O$5</f>
        <v>67782.860243395087</v>
      </c>
      <c r="S154" s="58">
        <f>32666.9133856316*Deflactores!$P$5</f>
        <v>59766.99196276164</v>
      </c>
      <c r="T154" s="58">
        <f>34558.0532878842*Deflactores!$Q$5</f>
        <v>59789.124151279924</v>
      </c>
      <c r="U154" s="58">
        <f>37589.097066358*Deflactores!$R$5</f>
        <v>62477.811226374804</v>
      </c>
      <c r="V154" s="58">
        <f>46032.521071481*Deflactores!$S$5</f>
        <v>74153.755401246803</v>
      </c>
    </row>
    <row r="155" spans="3:22" ht="22.5" customHeight="1" x14ac:dyDescent="0.2">
      <c r="C155" s="89" t="s">
        <v>148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>
        <f>0.150079299*Deflactores!$R$5</f>
        <v>0.24945068766497933</v>
      </c>
      <c r="V155" s="59">
        <f>120.549378302679*Deflactores!$S$5</f>
        <v>194.19290763041468</v>
      </c>
    </row>
    <row r="156" spans="3:22" x14ac:dyDescent="0.2">
      <c r="C156" s="87" t="s">
        <v>149</v>
      </c>
      <c r="D156" s="56">
        <f>193.72590013149*Deflactores!$A$5</f>
        <v>721.37964777448178</v>
      </c>
      <c r="E156" s="56">
        <f>165.92532885036*Deflactores!$B$5</f>
        <v>573.96008742173126</v>
      </c>
      <c r="F156" s="56">
        <f>126.25443722471*Deflactores!$C$5</f>
        <v>408.19247884281839</v>
      </c>
      <c r="G156" s="56">
        <f>128.69265170294*Deflactores!$D$5</f>
        <v>390.71286978158014</v>
      </c>
      <c r="H156" s="56">
        <f>213.09342868988*Deflactores!$E$5</f>
        <v>613.24495678964047</v>
      </c>
      <c r="I156" s="56">
        <f>92.7405091295799*Deflactores!$F$5</f>
        <v>254.53269398011287</v>
      </c>
      <c r="J156" s="56">
        <f>288.43018744068*Deflactores!$G$5</f>
        <v>757.68759125044994</v>
      </c>
      <c r="K156" s="56">
        <f>426.448556872529*Deflactores!$H$5</f>
        <v>1059.8975356560265</v>
      </c>
      <c r="L156" s="56">
        <f>568.01791331091*Deflactores!$I$5</f>
        <v>1311.1335195675545</v>
      </c>
      <c r="M156" s="56">
        <f>778.56636299345*Deflactores!$J$5</f>
        <v>1761.8651093199906</v>
      </c>
      <c r="N156" s="56">
        <f>982.521467105629*Deflactores!$K$5</f>
        <v>2155.0655830764535</v>
      </c>
      <c r="O156" s="56">
        <f>1113.06499947614*Deflactores!$L$5</f>
        <v>2353.6857086450459</v>
      </c>
      <c r="P156" s="56">
        <f>1405.91427049001*Deflactores!$M$5</f>
        <v>2902.1323429836516</v>
      </c>
      <c r="Q156" s="56">
        <f>1310.15775512983*Deflactores!$N$5</f>
        <v>2653.0005296626614</v>
      </c>
      <c r="R156" s="56">
        <f>1857.7605078794*Deflactores!$O$5</f>
        <v>3629.0442753443567</v>
      </c>
      <c r="S156" s="56">
        <f>1462.35950592694*Deflactores!$P$5</f>
        <v>2675.5153695006393</v>
      </c>
      <c r="T156" s="56">
        <f>1225.61434392147*Deflactores!$Q$5</f>
        <v>2120.4437518475943</v>
      </c>
      <c r="U156" s="56">
        <f>1210.95342313564*Deflactores!$R$5</f>
        <v>2012.7570300781194</v>
      </c>
      <c r="V156" s="56">
        <f>1228.3227458125*Deflactores!$S$5</f>
        <v>1978.7042361926738</v>
      </c>
    </row>
    <row r="157" spans="3:22" x14ac:dyDescent="0.2">
      <c r="C157" s="88" t="s">
        <v>150</v>
      </c>
      <c r="D157" s="57">
        <f>956.338729953339*Deflactores!$A$5</f>
        <v>3561.130936537561</v>
      </c>
      <c r="E157" s="57">
        <f>1428.8533283859*Deflactores!$B$5</f>
        <v>4942.6135657251925</v>
      </c>
      <c r="F157" s="57">
        <f>1032.25549950833*Deflactores!$C$5</f>
        <v>3337.3791876597138</v>
      </c>
      <c r="G157" s="57">
        <f>907.808277873939*Deflactores!$D$5</f>
        <v>2756.1198931414815</v>
      </c>
      <c r="H157" s="57">
        <f>1063.66923699627*Deflactores!$E$5</f>
        <v>3061.0507292063921</v>
      </c>
      <c r="I157" s="57">
        <f>1375.50602361113*Deflactores!$F$5</f>
        <v>3775.170710853306</v>
      </c>
      <c r="J157" s="57">
        <f>1778.33633401168*Deflactores!$G$5</f>
        <v>4671.5754176305945</v>
      </c>
      <c r="K157" s="57">
        <f>2801.14311823266*Deflactores!$H$5</f>
        <v>6961.976163802763</v>
      </c>
      <c r="L157" s="57">
        <f>2293.22794479697*Deflactores!$I$5</f>
        <v>5293.3683180983762</v>
      </c>
      <c r="M157" s="57">
        <f>3411.36140080721*Deflactores!$J$5</f>
        <v>7719.7769041221163</v>
      </c>
      <c r="N157" s="57">
        <f>3264.49993159593*Deflactores!$K$5</f>
        <v>7160.3641081375818</v>
      </c>
      <c r="O157" s="57">
        <f>4404.72476050962*Deflactores!$L$5</f>
        <v>9314.224887320881</v>
      </c>
      <c r="P157" s="57">
        <f>7164.91891855625*Deflactores!$M$5</f>
        <v>14790.050406949968</v>
      </c>
      <c r="Q157" s="57">
        <f>7867.84869426477*Deflactores!$N$5</f>
        <v>15931.979695927275</v>
      </c>
      <c r="R157" s="57">
        <f>6824.42851459451*Deflactores!$O$5</f>
        <v>13331.187270019058</v>
      </c>
      <c r="S157" s="57">
        <f>6207.85849427525*Deflactores!$P$5</f>
        <v>11357.823261517698</v>
      </c>
      <c r="T157" s="57">
        <f>5283.19402400072*Deflactores!$Q$5</f>
        <v>9140.4900844638596</v>
      </c>
      <c r="U157" s="57">
        <f>4964.24522797003*Deflactores!$R$5</f>
        <v>8251.2004927122962</v>
      </c>
      <c r="V157" s="57">
        <f>4026.0019478934*Deflactores!$S$5</f>
        <v>6485.4836698046911</v>
      </c>
    </row>
    <row r="158" spans="3:22" x14ac:dyDescent="0.2">
      <c r="C158" s="87" t="s">
        <v>151</v>
      </c>
      <c r="D158" s="56">
        <f>141.46421762401*Deflactores!$A$5</f>
        <v>526.77214256346565</v>
      </c>
      <c r="E158" s="56">
        <f>57.401781247*Deflactores!$B$5</f>
        <v>198.56119382715772</v>
      </c>
      <c r="F158" s="56">
        <f>85.75221225956*Deflactores!$C$5</f>
        <v>277.24497338802911</v>
      </c>
      <c r="G158" s="56">
        <f>60.65770921996*Deflactores!$D$5</f>
        <v>184.15773806893873</v>
      </c>
      <c r="H158" s="56">
        <f>32.3949812499*Deflactores!$E$5</f>
        <v>93.226989677413712</v>
      </c>
      <c r="I158" s="56">
        <f>56.95167879717*Deflactores!$F$5</f>
        <v>156.30779221493603</v>
      </c>
      <c r="J158" s="56">
        <f>149.68032462916*Deflactores!$G$5</f>
        <v>393.20060646973127</v>
      </c>
      <c r="K158" s="56">
        <f>352.33168523716*Deflactores!$H$5</f>
        <v>875.68706447287946</v>
      </c>
      <c r="L158" s="56">
        <f>397.84936249448*Deflactores!$I$5</f>
        <v>918.34011336817503</v>
      </c>
      <c r="M158" s="56">
        <f>657.01831289666*Deflactores!$J$5</f>
        <v>1486.8066444923568</v>
      </c>
      <c r="N158" s="56">
        <f>315.11706956662*Deflactores!$K$5</f>
        <v>691.17874163447948</v>
      </c>
      <c r="O158" s="56">
        <f>960.24870659873*Deflactores!$L$5</f>
        <v>2030.5405870547002</v>
      </c>
      <c r="P158" s="56">
        <f>3011.09604453374*Deflactores!$M$5</f>
        <v>6215.5989181515333</v>
      </c>
      <c r="Q158" s="56">
        <f>3478.03563047096*Deflactores!$N$5</f>
        <v>7042.839180012099</v>
      </c>
      <c r="R158" s="56">
        <f>3668.24190724048*Deflactores!$O$5</f>
        <v>7165.7311249688364</v>
      </c>
      <c r="S158" s="56">
        <f>3805.94999877668*Deflactores!$P$5</f>
        <v>6963.3203572765542</v>
      </c>
      <c r="T158" s="56">
        <f>3173.94806763313*Deflactores!$Q$5</f>
        <v>5491.2692414871453</v>
      </c>
      <c r="U158" s="56">
        <f>3771.11273998334*Deflactores!$R$5</f>
        <v>6268.0641002394914</v>
      </c>
      <c r="V158" s="56">
        <f>2307.52601065269*Deflactores!$S$5</f>
        <v>3717.1920067172896</v>
      </c>
    </row>
    <row r="159" spans="3:22" x14ac:dyDescent="0.2">
      <c r="C159" s="79" t="s">
        <v>152</v>
      </c>
      <c r="D159" s="44">
        <f t="shared" ref="D159:V159" si="32">+SUM(D130:D158)</f>
        <v>112356.64379827035</v>
      </c>
      <c r="E159" s="44">
        <f t="shared" si="32"/>
        <v>122984.49139067165</v>
      </c>
      <c r="F159" s="44">
        <f t="shared" si="32"/>
        <v>119049.06452714519</v>
      </c>
      <c r="G159" s="44">
        <f t="shared" si="32"/>
        <v>118066.48829170516</v>
      </c>
      <c r="H159" s="44">
        <f t="shared" si="32"/>
        <v>137289.0282621902</v>
      </c>
      <c r="I159" s="44">
        <f t="shared" si="32"/>
        <v>150583.5158233855</v>
      </c>
      <c r="J159" s="44">
        <f t="shared" si="32"/>
        <v>153881.69364553716</v>
      </c>
      <c r="K159" s="44">
        <f t="shared" si="32"/>
        <v>176014.99567735475</v>
      </c>
      <c r="L159" s="44">
        <f t="shared" si="32"/>
        <v>186754.64755931066</v>
      </c>
      <c r="M159" s="44">
        <f t="shared" si="32"/>
        <v>215971.64727642186</v>
      </c>
      <c r="N159" s="44">
        <f t="shared" si="32"/>
        <v>213054.52965761398</v>
      </c>
      <c r="O159" s="44">
        <f t="shared" si="32"/>
        <v>229684.54991495769</v>
      </c>
      <c r="P159" s="44">
        <f t="shared" si="32"/>
        <v>249509.33837061879</v>
      </c>
      <c r="Q159" s="44">
        <f t="shared" si="32"/>
        <v>275074.37995997176</v>
      </c>
      <c r="R159" s="44">
        <f t="shared" si="32"/>
        <v>280417.80016724888</v>
      </c>
      <c r="S159" s="44">
        <f t="shared" si="32"/>
        <v>272263.99468837114</v>
      </c>
      <c r="T159" s="44">
        <f t="shared" si="32"/>
        <v>262872.98284451454</v>
      </c>
      <c r="U159" s="44">
        <f t="shared" si="32"/>
        <v>280533.92372401711</v>
      </c>
      <c r="V159" s="44">
        <f t="shared" si="32"/>
        <v>270579.52012831072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55" t="s">
        <v>157</v>
      </c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</row>
    <row r="165" spans="2:22" x14ac:dyDescent="0.2">
      <c r="H165" s="67"/>
      <c r="I165" s="27"/>
      <c r="J165" s="27"/>
      <c r="L165" s="177"/>
      <c r="M165" s="156"/>
      <c r="N165" s="156"/>
      <c r="O165" s="156"/>
      <c r="P165" s="156"/>
      <c r="Q165" s="156"/>
      <c r="R165" s="28"/>
      <c r="S165" s="28"/>
      <c r="T165" s="28"/>
      <c r="U165" s="28"/>
      <c r="V165" s="28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6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60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+IFERROR(IF(D130&gt;0,+((D130/D14)*100)," "),"")</f>
        <v>85.485565593368435</v>
      </c>
      <c r="E169" s="60">
        <f t="shared" si="33"/>
        <v>67.198731340609115</v>
      </c>
      <c r="F169" s="60">
        <f t="shared" si="33"/>
        <v>64.022527792647566</v>
      </c>
      <c r="G169" s="60">
        <f t="shared" si="33"/>
        <v>74.3902752761106</v>
      </c>
      <c r="H169" s="60">
        <f t="shared" si="33"/>
        <v>73.212707275588755</v>
      </c>
      <c r="I169" s="60">
        <f t="shared" si="33"/>
        <v>82.178018111330701</v>
      </c>
      <c r="J169" s="60">
        <f t="shared" si="33"/>
        <v>80.531764450618695</v>
      </c>
      <c r="K169" s="60">
        <f t="shared" si="33"/>
        <v>93.234710224201109</v>
      </c>
      <c r="L169" s="60">
        <f t="shared" si="33"/>
        <v>97.369570742029737</v>
      </c>
      <c r="M169" s="60">
        <f t="shared" si="33"/>
        <v>87.021741919566622</v>
      </c>
      <c r="N169" s="60">
        <f t="shared" si="33"/>
        <v>81.367737841336108</v>
      </c>
      <c r="O169" s="60">
        <f t="shared" si="33"/>
        <v>77.864715071001598</v>
      </c>
      <c r="P169" s="60">
        <f t="shared" si="33"/>
        <v>85.278328039357547</v>
      </c>
      <c r="Q169" s="60">
        <f t="shared" si="33"/>
        <v>87.82758851892298</v>
      </c>
      <c r="R169" s="60">
        <f t="shared" si="33"/>
        <v>91.317008911113646</v>
      </c>
      <c r="S169" s="60">
        <f t="shared" si="33"/>
        <v>87.849533834504712</v>
      </c>
      <c r="T169" s="60">
        <f t="shared" si="33"/>
        <v>80.780355565231886</v>
      </c>
      <c r="U169" s="60">
        <f t="shared" si="33"/>
        <v>91.81906745482749</v>
      </c>
      <c r="V169" s="60">
        <f t="shared" si="33"/>
        <v>60.407586823639335</v>
      </c>
    </row>
    <row r="170" spans="2:22" x14ac:dyDescent="0.2">
      <c r="C170" s="88" t="s">
        <v>124</v>
      </c>
      <c r="D170" s="62">
        <f t="shared" ref="D170:V170" si="34">+IFERROR(IF(D131&gt;0,+((D131/D15)*100)," "),"")</f>
        <v>73.495639443549351</v>
      </c>
      <c r="E170" s="62">
        <f t="shared" si="34"/>
        <v>75.355771842815585</v>
      </c>
      <c r="F170" s="62">
        <f t="shared" si="34"/>
        <v>72.944433005649913</v>
      </c>
      <c r="G170" s="62">
        <f t="shared" si="34"/>
        <v>71.565844032814113</v>
      </c>
      <c r="H170" s="62">
        <f t="shared" si="34"/>
        <v>44.719913687670257</v>
      </c>
      <c r="I170" s="62">
        <f t="shared" si="34"/>
        <v>57.891332750207511</v>
      </c>
      <c r="J170" s="62">
        <f t="shared" si="34"/>
        <v>54.514651290934637</v>
      </c>
      <c r="K170" s="62">
        <f t="shared" si="34"/>
        <v>93.360495416862463</v>
      </c>
      <c r="L170" s="62">
        <f t="shared" si="34"/>
        <v>97.260826156597673</v>
      </c>
      <c r="M170" s="62">
        <f t="shared" si="34"/>
        <v>93.841934333669599</v>
      </c>
      <c r="N170" s="62">
        <f t="shared" si="34"/>
        <v>92.990023340974929</v>
      </c>
      <c r="O170" s="62">
        <f t="shared" si="34"/>
        <v>95.348476934121976</v>
      </c>
      <c r="P170" s="62">
        <f t="shared" si="34"/>
        <v>81.420484661537657</v>
      </c>
      <c r="Q170" s="62">
        <f t="shared" si="34"/>
        <v>71.345782507830023</v>
      </c>
      <c r="R170" s="62">
        <f t="shared" si="34"/>
        <v>75.512830541007517</v>
      </c>
      <c r="S170" s="62">
        <f t="shared" si="34"/>
        <v>68.526638220723996</v>
      </c>
      <c r="T170" s="62">
        <f t="shared" si="34"/>
        <v>73.152127381935017</v>
      </c>
      <c r="U170" s="62">
        <f t="shared" si="34"/>
        <v>76.324896591669486</v>
      </c>
      <c r="V170" s="62">
        <f t="shared" si="34"/>
        <v>77.726980379740326</v>
      </c>
    </row>
    <row r="171" spans="2:22" x14ac:dyDescent="0.2">
      <c r="C171" s="87" t="s">
        <v>125</v>
      </c>
      <c r="D171" s="60">
        <f t="shared" ref="D171:V171" si="35">+IFERROR(IF(D132&gt;0,+((D132/D16)*100)," "),"")</f>
        <v>66.15653595535953</v>
      </c>
      <c r="E171" s="60">
        <f t="shared" si="35"/>
        <v>51.967734163153523</v>
      </c>
      <c r="F171" s="60">
        <f t="shared" si="35"/>
        <v>34.234644661719003</v>
      </c>
      <c r="G171" s="60">
        <f t="shared" si="35"/>
        <v>24.513710702207771</v>
      </c>
      <c r="H171" s="60">
        <f t="shared" si="35"/>
        <v>44.584197100288236</v>
      </c>
      <c r="I171" s="60">
        <f t="shared" si="35"/>
        <v>43.731029775810413</v>
      </c>
      <c r="J171" s="60">
        <f t="shared" si="35"/>
        <v>34.136821742501958</v>
      </c>
      <c r="K171" s="60">
        <f t="shared" si="35"/>
        <v>82.894919769688372</v>
      </c>
      <c r="L171" s="60">
        <f t="shared" si="35"/>
        <v>90.435334575253236</v>
      </c>
      <c r="M171" s="60">
        <f t="shared" si="35"/>
        <v>77.316373307031611</v>
      </c>
      <c r="N171" s="60">
        <f t="shared" si="35"/>
        <v>93.912790733948555</v>
      </c>
      <c r="O171" s="60">
        <f t="shared" si="35"/>
        <v>95.041746313245199</v>
      </c>
      <c r="P171" s="60">
        <f t="shared" si="35"/>
        <v>90.923909656537987</v>
      </c>
      <c r="Q171" s="60">
        <f t="shared" si="35"/>
        <v>96.379613927901545</v>
      </c>
      <c r="R171" s="60">
        <f t="shared" si="35"/>
        <v>94.762164254867386</v>
      </c>
      <c r="S171" s="60">
        <f t="shared" si="35"/>
        <v>98.151049005517038</v>
      </c>
      <c r="T171" s="60">
        <f t="shared" si="35"/>
        <v>98.391747332416443</v>
      </c>
      <c r="U171" s="60">
        <f t="shared" si="35"/>
        <v>99.616140108691724</v>
      </c>
      <c r="V171" s="60">
        <f t="shared" si="35"/>
        <v>80.359304580074166</v>
      </c>
    </row>
    <row r="172" spans="2:22" x14ac:dyDescent="0.2">
      <c r="C172" s="88" t="s">
        <v>126</v>
      </c>
      <c r="D172" s="62">
        <f t="shared" ref="D172:V172" si="36">+IFERROR(IF(D133&gt;0,+((D133/D17)*100)," "),"")</f>
        <v>78.289474332284854</v>
      </c>
      <c r="E172" s="62">
        <f t="shared" si="36"/>
        <v>70.888874527271582</v>
      </c>
      <c r="F172" s="62">
        <f t="shared" si="36"/>
        <v>64.771926261852684</v>
      </c>
      <c r="G172" s="62">
        <f t="shared" si="36"/>
        <v>78.7657938848877</v>
      </c>
      <c r="H172" s="62">
        <f t="shared" si="36"/>
        <v>80.448194770659399</v>
      </c>
      <c r="I172" s="62">
        <f t="shared" si="36"/>
        <v>80.797504790849729</v>
      </c>
      <c r="J172" s="62">
        <f t="shared" si="36"/>
        <v>86.329623210683309</v>
      </c>
      <c r="K172" s="62">
        <f t="shared" si="36"/>
        <v>90.028187781566444</v>
      </c>
      <c r="L172" s="62">
        <f t="shared" si="36"/>
        <v>91.397529849595585</v>
      </c>
      <c r="M172" s="62">
        <f t="shared" si="36"/>
        <v>91.792844610080067</v>
      </c>
      <c r="N172" s="62">
        <f t="shared" si="36"/>
        <v>90.623051758515928</v>
      </c>
      <c r="O172" s="62">
        <f t="shared" si="36"/>
        <v>89.455151231831863</v>
      </c>
      <c r="P172" s="62">
        <f t="shared" si="36"/>
        <v>93.621298270811266</v>
      </c>
      <c r="Q172" s="62">
        <f t="shared" si="36"/>
        <v>94.187215779788204</v>
      </c>
      <c r="R172" s="62">
        <f t="shared" si="36"/>
        <v>92.24554331617145</v>
      </c>
      <c r="S172" s="62">
        <f t="shared" si="36"/>
        <v>95.32459630969629</v>
      </c>
      <c r="T172" s="62">
        <f t="shared" si="36"/>
        <v>96.801432339779652</v>
      </c>
      <c r="U172" s="62">
        <f t="shared" si="36"/>
        <v>97.56252186825256</v>
      </c>
      <c r="V172" s="62">
        <f t="shared" si="36"/>
        <v>87.861732018180959</v>
      </c>
    </row>
    <row r="173" spans="2:22" x14ac:dyDescent="0.2">
      <c r="C173" s="87" t="s">
        <v>127</v>
      </c>
      <c r="D173" s="60">
        <f t="shared" ref="D173:V173" si="37">+IFERROR(IF(D134&gt;0,+((D134/D18)*100)," "),"")</f>
        <v>86.625023337689782</v>
      </c>
      <c r="E173" s="60">
        <f t="shared" si="37"/>
        <v>81.078374192575367</v>
      </c>
      <c r="F173" s="60">
        <f t="shared" si="37"/>
        <v>93.680007525364545</v>
      </c>
      <c r="G173" s="60">
        <f t="shared" si="37"/>
        <v>91.303240186385878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97.100852780428795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94.048409947523481</v>
      </c>
      <c r="O173" s="60">
        <f t="shared" si="37"/>
        <v>89.355637074634245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97.687119133242248</v>
      </c>
      <c r="T173" s="60">
        <f t="shared" si="37"/>
        <v>96.870415888958235</v>
      </c>
      <c r="U173" s="60">
        <f t="shared" si="37"/>
        <v>98.184179198252821</v>
      </c>
      <c r="V173" s="60">
        <f t="shared" si="37"/>
        <v>92.269699098342457</v>
      </c>
    </row>
    <row r="174" spans="2:22" x14ac:dyDescent="0.2">
      <c r="C174" s="88" t="s">
        <v>128</v>
      </c>
      <c r="D174" s="62">
        <f t="shared" ref="D174:V174" si="38">+IFERROR(IF(D135&gt;0,+((D135/D19)*100)," "),"")</f>
        <v>75.11805845215153</v>
      </c>
      <c r="E174" s="62">
        <f t="shared" si="38"/>
        <v>82.653089817889438</v>
      </c>
      <c r="F174" s="62">
        <f t="shared" si="38"/>
        <v>74.585372011652581</v>
      </c>
      <c r="G174" s="62">
        <f t="shared" si="38"/>
        <v>85.548595294956513</v>
      </c>
      <c r="H174" s="62">
        <f t="shared" si="38"/>
        <v>79.741147097668545</v>
      </c>
      <c r="I174" s="62">
        <f t="shared" si="38"/>
        <v>83.898784440267775</v>
      </c>
      <c r="J174" s="62">
        <f t="shared" si="38"/>
        <v>84.615851441276064</v>
      </c>
      <c r="K174" s="62">
        <f t="shared" si="38"/>
        <v>86.763697681262514</v>
      </c>
      <c r="L174" s="62">
        <f t="shared" si="38"/>
        <v>90.324469986422557</v>
      </c>
      <c r="M174" s="62">
        <f t="shared" si="38"/>
        <v>83.635584489408345</v>
      </c>
      <c r="N174" s="62">
        <f t="shared" si="38"/>
        <v>87.987810080198798</v>
      </c>
      <c r="O174" s="62">
        <f t="shared" si="38"/>
        <v>89.636128443013959</v>
      </c>
      <c r="P174" s="62">
        <f t="shared" si="38"/>
        <v>94.074972542496795</v>
      </c>
      <c r="Q174" s="62">
        <f t="shared" si="38"/>
        <v>93.461351350135175</v>
      </c>
      <c r="R174" s="62">
        <f t="shared" si="38"/>
        <v>97.707635248106456</v>
      </c>
      <c r="S174" s="62">
        <f t="shared" si="38"/>
        <v>98.069213509139445</v>
      </c>
      <c r="T174" s="62">
        <f t="shared" si="38"/>
        <v>98.280744110073115</v>
      </c>
      <c r="U174" s="62">
        <f t="shared" si="38"/>
        <v>93.358935144710557</v>
      </c>
      <c r="V174" s="62">
        <f t="shared" si="38"/>
        <v>90.787070732686232</v>
      </c>
    </row>
    <row r="175" spans="2:22" x14ac:dyDescent="0.2">
      <c r="C175" s="87" t="s">
        <v>129</v>
      </c>
      <c r="D175" s="60">
        <f t="shared" ref="D175:V175" si="39">+IFERROR(IF(D136&gt;0,+((D136/D20)*100)," "),"")</f>
        <v>94.258406987307666</v>
      </c>
      <c r="E175" s="60">
        <f t="shared" si="39"/>
        <v>89.183907166697892</v>
      </c>
      <c r="F175" s="60">
        <f t="shared" si="39"/>
        <v>89.587478713707398</v>
      </c>
      <c r="G175" s="60">
        <f t="shared" si="39"/>
        <v>88.211195692519183</v>
      </c>
      <c r="H175" s="60">
        <f t="shared" si="39"/>
        <v>88.863327193706681</v>
      </c>
      <c r="I175" s="60">
        <f t="shared" si="39"/>
        <v>89.11673180697214</v>
      </c>
      <c r="J175" s="60">
        <f t="shared" si="39"/>
        <v>90.064860242581062</v>
      </c>
      <c r="K175" s="60">
        <f t="shared" si="39"/>
        <v>96.795563810018493</v>
      </c>
      <c r="L175" s="60">
        <f t="shared" si="39"/>
        <v>97.335802401911664</v>
      </c>
      <c r="M175" s="60">
        <f t="shared" si="39"/>
        <v>95.155285893327289</v>
      </c>
      <c r="N175" s="60">
        <f t="shared" si="39"/>
        <v>94.849377161664421</v>
      </c>
      <c r="O175" s="60">
        <f t="shared" si="39"/>
        <v>95.407116996827398</v>
      </c>
      <c r="P175" s="60">
        <f t="shared" si="39"/>
        <v>96.854560905027924</v>
      </c>
      <c r="Q175" s="60">
        <f t="shared" si="39"/>
        <v>96.862029986917236</v>
      </c>
      <c r="R175" s="60">
        <f t="shared" si="39"/>
        <v>96.676892649451247</v>
      </c>
      <c r="S175" s="60">
        <f t="shared" si="39"/>
        <v>96.927549760759206</v>
      </c>
      <c r="T175" s="60">
        <f t="shared" si="39"/>
        <v>98.236392414013096</v>
      </c>
      <c r="U175" s="60">
        <f t="shared" si="39"/>
        <v>98.645750724223873</v>
      </c>
      <c r="V175" s="60">
        <f t="shared" si="39"/>
        <v>95.433929835314785</v>
      </c>
    </row>
    <row r="176" spans="2:22" x14ac:dyDescent="0.2">
      <c r="C176" s="88" t="s">
        <v>130</v>
      </c>
      <c r="D176" s="62">
        <f t="shared" ref="D176:V176" si="40">+IFERROR(IF(D137&gt;0,+((D137/D21)*100)," "),"")</f>
        <v>86.449273964205602</v>
      </c>
      <c r="E176" s="62">
        <f t="shared" si="40"/>
        <v>66.94082786113573</v>
      </c>
      <c r="F176" s="62">
        <f t="shared" si="40"/>
        <v>65.051526243013242</v>
      </c>
      <c r="G176" s="62">
        <f t="shared" si="40"/>
        <v>64.14871350406564</v>
      </c>
      <c r="H176" s="62">
        <f t="shared" si="40"/>
        <v>81.819618567181479</v>
      </c>
      <c r="I176" s="62">
        <f t="shared" si="40"/>
        <v>87.326615823607838</v>
      </c>
      <c r="J176" s="62">
        <f t="shared" si="40"/>
        <v>91.865062333087394</v>
      </c>
      <c r="K176" s="62">
        <f t="shared" si="40"/>
        <v>90.587645656524899</v>
      </c>
      <c r="L176" s="62">
        <f t="shared" si="40"/>
        <v>92.683912241701023</v>
      </c>
      <c r="M176" s="62">
        <f t="shared" si="40"/>
        <v>82.284035019192871</v>
      </c>
      <c r="N176" s="62">
        <f t="shared" si="40"/>
        <v>87.709997244075822</v>
      </c>
      <c r="O176" s="62">
        <f t="shared" si="40"/>
        <v>84.446938240226217</v>
      </c>
      <c r="P176" s="62">
        <f t="shared" si="40"/>
        <v>84.695037183731401</v>
      </c>
      <c r="Q176" s="62">
        <f t="shared" si="40"/>
        <v>88.741413898721589</v>
      </c>
      <c r="R176" s="62">
        <f t="shared" si="40"/>
        <v>89.166834721737501</v>
      </c>
      <c r="S176" s="62">
        <f t="shared" si="40"/>
        <v>86.735096914790148</v>
      </c>
      <c r="T176" s="62">
        <f t="shared" si="40"/>
        <v>70.232272274788883</v>
      </c>
      <c r="U176" s="62">
        <f t="shared" si="40"/>
        <v>79.75376338516908</v>
      </c>
      <c r="V176" s="62">
        <f t="shared" si="40"/>
        <v>70.787316276504754</v>
      </c>
    </row>
    <row r="177" spans="3:22" x14ac:dyDescent="0.2">
      <c r="C177" s="87" t="s">
        <v>131</v>
      </c>
      <c r="D177" s="60">
        <f t="shared" ref="D177:V177" si="41">+IFERROR(IF(D138&gt;0,+((D138/D22)*100)," "),"")</f>
        <v>94.299448962052182</v>
      </c>
      <c r="E177" s="60">
        <f t="shared" si="41"/>
        <v>95.335743122697551</v>
      </c>
      <c r="F177" s="60">
        <f t="shared" si="41"/>
        <v>98.562862590908509</v>
      </c>
      <c r="G177" s="60">
        <f t="shared" si="41"/>
        <v>95.307603777491749</v>
      </c>
      <c r="H177" s="60">
        <f t="shared" si="41"/>
        <v>97.841766435273968</v>
      </c>
      <c r="I177" s="60">
        <f t="shared" si="41"/>
        <v>97.020649169325466</v>
      </c>
      <c r="J177" s="60">
        <f t="shared" si="41"/>
        <v>96.355013217226144</v>
      </c>
      <c r="K177" s="60">
        <f t="shared" si="41"/>
        <v>99.197442675913138</v>
      </c>
      <c r="L177" s="60">
        <f t="shared" si="41"/>
        <v>99.198900682452617</v>
      </c>
      <c r="M177" s="60">
        <f t="shared" si="41"/>
        <v>98.070445087217522</v>
      </c>
      <c r="N177" s="60">
        <f t="shared" si="41"/>
        <v>96.150541757426979</v>
      </c>
      <c r="O177" s="60">
        <f t="shared" si="41"/>
        <v>99.392485711811091</v>
      </c>
      <c r="P177" s="60">
        <f t="shared" si="41"/>
        <v>97.055031193873816</v>
      </c>
      <c r="Q177" s="60">
        <f t="shared" si="41"/>
        <v>99.395025529620156</v>
      </c>
      <c r="R177" s="60">
        <f t="shared" si="41"/>
        <v>99.669505995279522</v>
      </c>
      <c r="S177" s="60">
        <f t="shared" si="41"/>
        <v>99.741528819266136</v>
      </c>
      <c r="T177" s="60">
        <f t="shared" si="41"/>
        <v>99.032178205917091</v>
      </c>
      <c r="U177" s="60">
        <f t="shared" si="41"/>
        <v>99.788730757435644</v>
      </c>
      <c r="V177" s="60">
        <f t="shared" si="41"/>
        <v>99.139034242770165</v>
      </c>
    </row>
    <row r="178" spans="3:22" x14ac:dyDescent="0.2">
      <c r="C178" s="88" t="s">
        <v>132</v>
      </c>
      <c r="D178" s="62">
        <f t="shared" ref="D178:V178" si="42">+IFERROR(IF(D139&gt;0,+((D139/D23)*100)," "),"")</f>
        <v>88.179502979576966</v>
      </c>
      <c r="E178" s="62">
        <f t="shared" si="42"/>
        <v>78.183405478623698</v>
      </c>
      <c r="F178" s="62">
        <f t="shared" si="42"/>
        <v>79.989465981469237</v>
      </c>
      <c r="G178" s="62">
        <f t="shared" si="42"/>
        <v>85.964775942052967</v>
      </c>
      <c r="H178" s="62">
        <f t="shared" si="42"/>
        <v>76.628459178269409</v>
      </c>
      <c r="I178" s="62">
        <f t="shared" si="42"/>
        <v>76.402466182572255</v>
      </c>
      <c r="J178" s="62">
        <f t="shared" si="42"/>
        <v>72.031580598205039</v>
      </c>
      <c r="K178" s="62">
        <f t="shared" si="42"/>
        <v>50.013069999837569</v>
      </c>
      <c r="L178" s="62">
        <f t="shared" si="42"/>
        <v>60.956216148907203</v>
      </c>
      <c r="M178" s="62">
        <f t="shared" si="42"/>
        <v>58.79265198156142</v>
      </c>
      <c r="N178" s="62">
        <f t="shared" si="42"/>
        <v>64.945207222444708</v>
      </c>
      <c r="O178" s="62">
        <f t="shared" si="42"/>
        <v>61.655607388776637</v>
      </c>
      <c r="P178" s="62">
        <f t="shared" si="42"/>
        <v>70.824898389761756</v>
      </c>
      <c r="Q178" s="62">
        <f t="shared" si="42"/>
        <v>70.478703545136028</v>
      </c>
      <c r="R178" s="62">
        <f t="shared" si="42"/>
        <v>69.529744990509883</v>
      </c>
      <c r="S178" s="62">
        <f t="shared" si="42"/>
        <v>72.825281182344483</v>
      </c>
      <c r="T178" s="62">
        <f t="shared" si="42"/>
        <v>88.718745369393133</v>
      </c>
      <c r="U178" s="62">
        <f t="shared" si="42"/>
        <v>88.245500685796259</v>
      </c>
      <c r="V178" s="62">
        <f t="shared" si="42"/>
        <v>90.12513340595541</v>
      </c>
    </row>
    <row r="179" spans="3:22" x14ac:dyDescent="0.2">
      <c r="C179" s="87" t="s">
        <v>133</v>
      </c>
      <c r="D179" s="60">
        <f t="shared" ref="D179:V179" si="43">+IFERROR(IF(D140&gt;0,+((D140/D24)*100)," "),"")</f>
        <v>96.063889168711512</v>
      </c>
      <c r="E179" s="60">
        <f t="shared" si="43"/>
        <v>97.227968905941026</v>
      </c>
      <c r="F179" s="60">
        <f t="shared" si="43"/>
        <v>96.232992193482431</v>
      </c>
      <c r="G179" s="60">
        <f t="shared" si="43"/>
        <v>96.194075844486008</v>
      </c>
      <c r="H179" s="60">
        <f t="shared" si="43"/>
        <v>94.916521189324612</v>
      </c>
      <c r="I179" s="60">
        <f t="shared" si="43"/>
        <v>96.732163028995487</v>
      </c>
      <c r="J179" s="60">
        <f t="shared" si="43"/>
        <v>94.920425565891819</v>
      </c>
      <c r="K179" s="60">
        <f t="shared" si="43"/>
        <v>97.812851143453344</v>
      </c>
      <c r="L179" s="60">
        <f t="shared" si="43"/>
        <v>95.821977581656412</v>
      </c>
      <c r="M179" s="60">
        <f t="shared" si="43"/>
        <v>95.87742336840256</v>
      </c>
      <c r="N179" s="60">
        <f t="shared" si="43"/>
        <v>90.284741446901293</v>
      </c>
      <c r="O179" s="60">
        <f t="shared" si="43"/>
        <v>92.108540875482461</v>
      </c>
      <c r="P179" s="60">
        <f t="shared" si="43"/>
        <v>90.976573998812214</v>
      </c>
      <c r="Q179" s="60">
        <f t="shared" si="43"/>
        <v>93.872393848277696</v>
      </c>
      <c r="R179" s="60">
        <f t="shared" si="43"/>
        <v>90.215698966211818</v>
      </c>
      <c r="S179" s="60">
        <f t="shared" si="43"/>
        <v>89.745350985975307</v>
      </c>
      <c r="T179" s="60">
        <f t="shared" si="43"/>
        <v>94.846826911684673</v>
      </c>
      <c r="U179" s="60">
        <f t="shared" si="43"/>
        <v>98.562922020841185</v>
      </c>
      <c r="V179" s="60">
        <f t="shared" si="43"/>
        <v>91.948412206118064</v>
      </c>
    </row>
    <row r="180" spans="3:22" x14ac:dyDescent="0.2">
      <c r="C180" s="88" t="s">
        <v>134</v>
      </c>
      <c r="D180" s="62">
        <f t="shared" ref="D180:V180" si="44">+IFERROR(IF(D141&gt;0,+((D141/D25)*100)," "),"")</f>
        <v>88.454640233378129</v>
      </c>
      <c r="E180" s="62">
        <f t="shared" si="44"/>
        <v>89.447407539148642</v>
      </c>
      <c r="F180" s="62">
        <f t="shared" si="44"/>
        <v>79.506694961885387</v>
      </c>
      <c r="G180" s="62">
        <f t="shared" si="44"/>
        <v>85.564965059344004</v>
      </c>
      <c r="H180" s="62">
        <f t="shared" si="44"/>
        <v>79.657314931217343</v>
      </c>
      <c r="I180" s="62">
        <f t="shared" si="44"/>
        <v>83.279932203563305</v>
      </c>
      <c r="J180" s="62">
        <f t="shared" si="44"/>
        <v>84.472633477961367</v>
      </c>
      <c r="K180" s="62">
        <f t="shared" si="44"/>
        <v>82.955513501017563</v>
      </c>
      <c r="L180" s="62">
        <f t="shared" si="44"/>
        <v>79.194539049896875</v>
      </c>
      <c r="M180" s="62">
        <f t="shared" si="44"/>
        <v>73.947448779115504</v>
      </c>
      <c r="N180" s="62">
        <f t="shared" si="44"/>
        <v>78.35953032650896</v>
      </c>
      <c r="O180" s="62">
        <f t="shared" si="44"/>
        <v>95.383282639165373</v>
      </c>
      <c r="P180" s="62">
        <f t="shared" si="44"/>
        <v>91.972024566833724</v>
      </c>
      <c r="Q180" s="62">
        <f t="shared" si="44"/>
        <v>84.44110642585143</v>
      </c>
      <c r="R180" s="62">
        <f t="shared" si="44"/>
        <v>68.851578749281543</v>
      </c>
      <c r="S180" s="62">
        <f t="shared" si="44"/>
        <v>84.74943567151638</v>
      </c>
      <c r="T180" s="62">
        <f t="shared" si="44"/>
        <v>83.952818665347237</v>
      </c>
      <c r="U180" s="62">
        <f t="shared" si="44"/>
        <v>90.214320359708694</v>
      </c>
      <c r="V180" s="62">
        <f t="shared" si="44"/>
        <v>82.5492763919151</v>
      </c>
    </row>
    <row r="181" spans="3:22" x14ac:dyDescent="0.2">
      <c r="C181" s="87" t="s">
        <v>135</v>
      </c>
      <c r="D181" s="60" t="str">
        <f t="shared" ref="D181:V181" si="45">+IFERROR(IF(D142&gt;0,+((D142/D26)*100),"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+IFERROR(IF(D143&gt;0,+((D143/D27)*100)," "),"")</f>
        <v>79.531551176930961</v>
      </c>
      <c r="E182" s="62">
        <f t="shared" si="46"/>
        <v>77.550268937967473</v>
      </c>
      <c r="F182" s="62">
        <f t="shared" si="46"/>
        <v>79.508341111532815</v>
      </c>
      <c r="G182" s="62">
        <f t="shared" si="46"/>
        <v>84.936466299634859</v>
      </c>
      <c r="H182" s="62">
        <f t="shared" si="46"/>
        <v>85.341427412876328</v>
      </c>
      <c r="I182" s="62">
        <f t="shared" si="46"/>
        <v>82.685454341619561</v>
      </c>
      <c r="J182" s="62">
        <f t="shared" si="46"/>
        <v>81.126583436461928</v>
      </c>
      <c r="K182" s="62">
        <f t="shared" si="46"/>
        <v>89.769698148379845</v>
      </c>
      <c r="L182" s="62">
        <f t="shared" si="46"/>
        <v>87.195546872527927</v>
      </c>
      <c r="M182" s="62">
        <f t="shared" si="46"/>
        <v>91.098279604274978</v>
      </c>
      <c r="N182" s="62">
        <f t="shared" si="46"/>
        <v>87.521763938527513</v>
      </c>
      <c r="O182" s="62">
        <f t="shared" si="46"/>
        <v>85.93295975091128</v>
      </c>
      <c r="P182" s="62">
        <f t="shared" si="46"/>
        <v>89.686623091957912</v>
      </c>
      <c r="Q182" s="62">
        <f t="shared" si="46"/>
        <v>90.831938310488056</v>
      </c>
      <c r="R182" s="62">
        <f t="shared" si="46"/>
        <v>91.804493138257683</v>
      </c>
      <c r="S182" s="62">
        <f t="shared" si="46"/>
        <v>94.547655690152311</v>
      </c>
      <c r="T182" s="62">
        <f t="shared" si="46"/>
        <v>88.254002178251355</v>
      </c>
      <c r="U182" s="62">
        <f t="shared" si="46"/>
        <v>96.287049541459666</v>
      </c>
      <c r="V182" s="62">
        <f t="shared" si="46"/>
        <v>91.975461382562585</v>
      </c>
    </row>
    <row r="183" spans="3:22" x14ac:dyDescent="0.2">
      <c r="C183" s="87" t="s">
        <v>137</v>
      </c>
      <c r="D183" s="60">
        <f t="shared" ref="D183:V183" si="47">+IFERROR(IF(D144&gt;0,+((D144/D28)*100)," "),"")</f>
        <v>70.194714920957423</v>
      </c>
      <c r="E183" s="60">
        <f t="shared" si="47"/>
        <v>80.243396890036621</v>
      </c>
      <c r="F183" s="60">
        <f t="shared" si="47"/>
        <v>72.959568570684681</v>
      </c>
      <c r="G183" s="60">
        <f t="shared" si="47"/>
        <v>74.618527018330809</v>
      </c>
      <c r="H183" s="60">
        <f t="shared" si="47"/>
        <v>71.682455195288796</v>
      </c>
      <c r="I183" s="60">
        <f t="shared" si="47"/>
        <v>69.129481370196757</v>
      </c>
      <c r="J183" s="60">
        <f t="shared" si="47"/>
        <v>84.957159518825193</v>
      </c>
      <c r="K183" s="60">
        <f t="shared" si="47"/>
        <v>87.997883188678998</v>
      </c>
      <c r="L183" s="60">
        <f t="shared" si="47"/>
        <v>87.9397301191064</v>
      </c>
      <c r="M183" s="60">
        <f t="shared" si="47"/>
        <v>83.841977409512396</v>
      </c>
      <c r="N183" s="60">
        <f t="shared" si="47"/>
        <v>76.311263853353609</v>
      </c>
      <c r="O183" s="60">
        <f t="shared" si="47"/>
        <v>86.106690273243231</v>
      </c>
      <c r="P183" s="60">
        <f t="shared" si="47"/>
        <v>83.605989017554506</v>
      </c>
      <c r="Q183" s="60">
        <f t="shared" si="47"/>
        <v>80.049632987116937</v>
      </c>
      <c r="R183" s="60">
        <f t="shared" si="47"/>
        <v>94.721858789193291</v>
      </c>
      <c r="S183" s="60">
        <f t="shared" si="47"/>
        <v>91.309464325473428</v>
      </c>
      <c r="T183" s="60">
        <f t="shared" si="47"/>
        <v>93.616938561597351</v>
      </c>
      <c r="U183" s="60">
        <f t="shared" si="47"/>
        <v>90.664322151411753</v>
      </c>
      <c r="V183" s="60">
        <f t="shared" si="47"/>
        <v>91.23847396254493</v>
      </c>
    </row>
    <row r="184" spans="3:22" x14ac:dyDescent="0.2">
      <c r="C184" s="88" t="s">
        <v>138</v>
      </c>
      <c r="D184" s="62">
        <f t="shared" ref="D184:V184" si="48">+IFERROR(IF(D145&gt;0,+((D145/D29)*100)," "),"")</f>
        <v>92.77505523600172</v>
      </c>
      <c r="E184" s="62">
        <f t="shared" si="48"/>
        <v>92.652171903624406</v>
      </c>
      <c r="F184" s="62">
        <f t="shared" si="48"/>
        <v>90.496684393370089</v>
      </c>
      <c r="G184" s="62">
        <f t="shared" si="48"/>
        <v>76.041417711315034</v>
      </c>
      <c r="H184" s="62">
        <f t="shared" si="48"/>
        <v>84.185407284789108</v>
      </c>
      <c r="I184" s="62">
        <f t="shared" si="48"/>
        <v>83.949889213732192</v>
      </c>
      <c r="J184" s="62">
        <f t="shared" si="48"/>
        <v>74.600791967656065</v>
      </c>
      <c r="K184" s="62">
        <f t="shared" si="48"/>
        <v>88.510849105425166</v>
      </c>
      <c r="L184" s="62">
        <f t="shared" si="48"/>
        <v>85.289701353473589</v>
      </c>
      <c r="M184" s="62">
        <f t="shared" si="48"/>
        <v>74.143000043738155</v>
      </c>
      <c r="N184" s="62">
        <f t="shared" si="48"/>
        <v>72.464801273087787</v>
      </c>
      <c r="O184" s="62">
        <f t="shared" si="48"/>
        <v>79.947647408587102</v>
      </c>
      <c r="P184" s="62">
        <f t="shared" si="48"/>
        <v>77.86453897589881</v>
      </c>
      <c r="Q184" s="62">
        <f t="shared" si="48"/>
        <v>78.250480453335598</v>
      </c>
      <c r="R184" s="62">
        <f t="shared" si="48"/>
        <v>83.623034849490423</v>
      </c>
      <c r="S184" s="62">
        <f t="shared" si="48"/>
        <v>94.592801949555977</v>
      </c>
      <c r="T184" s="62">
        <f t="shared" si="48"/>
        <v>97.020182299042133</v>
      </c>
      <c r="U184" s="62">
        <f t="shared" si="48"/>
        <v>97.109287093899582</v>
      </c>
      <c r="V184" s="62">
        <f t="shared" si="48"/>
        <v>95.85704352502286</v>
      </c>
    </row>
    <row r="185" spans="3:22" x14ac:dyDescent="0.2">
      <c r="C185" s="87" t="s">
        <v>139</v>
      </c>
      <c r="D185" s="60">
        <f t="shared" ref="D185:V185" si="49">+IFERROR(IF(D146&gt;0,+((D146/D30)*100)," "),"")</f>
        <v>90.037238177459315</v>
      </c>
      <c r="E185" s="60">
        <f t="shared" si="49"/>
        <v>78.999387633537282</v>
      </c>
      <c r="F185" s="60">
        <f t="shared" si="49"/>
        <v>80.633533642893468</v>
      </c>
      <c r="G185" s="60">
        <f t="shared" si="49"/>
        <v>84.904697148194515</v>
      </c>
      <c r="H185" s="60">
        <f t="shared" si="49"/>
        <v>79.374433346017099</v>
      </c>
      <c r="I185" s="60">
        <f t="shared" si="49"/>
        <v>89.818228214804535</v>
      </c>
      <c r="J185" s="60">
        <f t="shared" si="49"/>
        <v>80.321987618023286</v>
      </c>
      <c r="K185" s="60">
        <f t="shared" si="49"/>
        <v>80.229674247094991</v>
      </c>
      <c r="L185" s="60">
        <f t="shared" si="49"/>
        <v>87.418290606177507</v>
      </c>
      <c r="M185" s="60">
        <f t="shared" si="49"/>
        <v>84.34936901770817</v>
      </c>
      <c r="N185" s="60">
        <f t="shared" si="49"/>
        <v>84.345286481608966</v>
      </c>
      <c r="O185" s="60">
        <f t="shared" si="49"/>
        <v>94.958173336625265</v>
      </c>
      <c r="P185" s="60">
        <f t="shared" si="49"/>
        <v>83.949348798920482</v>
      </c>
      <c r="Q185" s="60">
        <f t="shared" si="49"/>
        <v>87.737617522712085</v>
      </c>
      <c r="R185" s="60">
        <f t="shared" si="49"/>
        <v>88.636728430979304</v>
      </c>
      <c r="S185" s="60">
        <f t="shared" si="49"/>
        <v>90.133234560464132</v>
      </c>
      <c r="T185" s="60">
        <f t="shared" si="49"/>
        <v>86.475694678173937</v>
      </c>
      <c r="U185" s="60">
        <f t="shared" si="49"/>
        <v>85.942539202694007</v>
      </c>
      <c r="V185" s="60">
        <f t="shared" si="49"/>
        <v>81.076075218785661</v>
      </c>
    </row>
    <row r="186" spans="3:22" x14ac:dyDescent="0.2">
      <c r="C186" s="88" t="s">
        <v>140</v>
      </c>
      <c r="D186" s="62">
        <f t="shared" ref="D186:V186" si="50">+IFERROR(IF(D147&gt;0,+((D147/D31)*100)," "),"")</f>
        <v>85.327139961690818</v>
      </c>
      <c r="E186" s="62">
        <f t="shared" si="50"/>
        <v>71.130026232293531</v>
      </c>
      <c r="F186" s="62">
        <f t="shared" si="50"/>
        <v>76.816301607224275</v>
      </c>
      <c r="G186" s="62">
        <f t="shared" si="50"/>
        <v>90.668717069575578</v>
      </c>
      <c r="H186" s="62">
        <f t="shared" si="50"/>
        <v>87.652497189616454</v>
      </c>
      <c r="I186" s="62">
        <f t="shared" si="50"/>
        <v>87.662955826603067</v>
      </c>
      <c r="J186" s="62">
        <f t="shared" si="50"/>
        <v>65.073963026244101</v>
      </c>
      <c r="K186" s="62">
        <f t="shared" si="50"/>
        <v>60.509106825192227</v>
      </c>
      <c r="L186" s="62">
        <f t="shared" si="50"/>
        <v>92.342457318184799</v>
      </c>
      <c r="M186" s="62">
        <f t="shared" si="50"/>
        <v>87.336859902542258</v>
      </c>
      <c r="N186" s="62">
        <f t="shared" si="50"/>
        <v>89.020752811985645</v>
      </c>
      <c r="O186" s="62">
        <f t="shared" si="50"/>
        <v>90.556011198007738</v>
      </c>
      <c r="P186" s="62">
        <f t="shared" si="50"/>
        <v>91.115161635941249</v>
      </c>
      <c r="Q186" s="62">
        <f t="shared" si="50"/>
        <v>90.74558410516407</v>
      </c>
      <c r="R186" s="62">
        <f t="shared" si="50"/>
        <v>93.993153103962115</v>
      </c>
      <c r="S186" s="62">
        <f t="shared" si="50"/>
        <v>94.085233999276511</v>
      </c>
      <c r="T186" s="62">
        <f t="shared" si="50"/>
        <v>90.437945240763668</v>
      </c>
      <c r="U186" s="62">
        <f t="shared" si="50"/>
        <v>91.044756453534319</v>
      </c>
      <c r="V186" s="62">
        <f t="shared" si="50"/>
        <v>91.399396831071272</v>
      </c>
    </row>
    <row r="187" spans="3:22" x14ac:dyDescent="0.2">
      <c r="C187" s="87" t="s">
        <v>141</v>
      </c>
      <c r="D187" s="60">
        <f t="shared" ref="D187:V187" si="51">+IFERROR(IF(D148&gt;0,+((D148/D32)*100)," "),"")</f>
        <v>92.366221893220612</v>
      </c>
      <c r="E187" s="60">
        <f t="shared" si="51"/>
        <v>89.767557104261812</v>
      </c>
      <c r="F187" s="60">
        <f t="shared" si="51"/>
        <v>89.160992903042015</v>
      </c>
      <c r="G187" s="60">
        <f t="shared" si="51"/>
        <v>88.584051777055379</v>
      </c>
      <c r="H187" s="60">
        <f t="shared" si="51"/>
        <v>81.333097129784917</v>
      </c>
      <c r="I187" s="60">
        <f t="shared" si="51"/>
        <v>86.561973697189941</v>
      </c>
      <c r="J187" s="60">
        <f t="shared" si="51"/>
        <v>89.766792976195987</v>
      </c>
      <c r="K187" s="60">
        <f t="shared" si="51"/>
        <v>91.361987665277695</v>
      </c>
      <c r="L187" s="60">
        <f t="shared" si="51"/>
        <v>90.070869355371173</v>
      </c>
      <c r="M187" s="60">
        <f t="shared" si="51"/>
        <v>89.351998406606398</v>
      </c>
      <c r="N187" s="60">
        <f t="shared" si="51"/>
        <v>85.584389731927715</v>
      </c>
      <c r="O187" s="60">
        <f t="shared" si="51"/>
        <v>87.604916669008759</v>
      </c>
      <c r="P187" s="60">
        <f t="shared" si="51"/>
        <v>86.348140900477873</v>
      </c>
      <c r="Q187" s="60">
        <f t="shared" si="51"/>
        <v>87.776248248979599</v>
      </c>
      <c r="R187" s="60">
        <f t="shared" si="51"/>
        <v>91.526369767747497</v>
      </c>
      <c r="S187" s="60">
        <f t="shared" si="51"/>
        <v>89.492396979570415</v>
      </c>
      <c r="T187" s="60">
        <f t="shared" si="51"/>
        <v>94.386446345504964</v>
      </c>
      <c r="U187" s="60">
        <f t="shared" si="51"/>
        <v>93.116913117376143</v>
      </c>
      <c r="V187" s="60">
        <f t="shared" si="51"/>
        <v>92.359061175128616</v>
      </c>
    </row>
    <row r="188" spans="3:22" x14ac:dyDescent="0.2">
      <c r="C188" s="88" t="s">
        <v>142</v>
      </c>
      <c r="D188" s="62">
        <f t="shared" ref="D188:V188" si="52">+IFERROR(IF(D149&gt;0,+((D149/D33)*100)," "),"")</f>
        <v>21.542747872945885</v>
      </c>
      <c r="E188" s="62">
        <f t="shared" si="52"/>
        <v>26.562514867370258</v>
      </c>
      <c r="F188" s="62">
        <f t="shared" si="52"/>
        <v>13.245301161469628</v>
      </c>
      <c r="G188" s="62">
        <f t="shared" si="52"/>
        <v>25.433587690496605</v>
      </c>
      <c r="H188" s="62">
        <f t="shared" si="52"/>
        <v>64.691429724476421</v>
      </c>
      <c r="I188" s="62">
        <f t="shared" si="52"/>
        <v>29.34252893715491</v>
      </c>
      <c r="J188" s="62">
        <f t="shared" si="52"/>
        <v>31.191210612931425</v>
      </c>
      <c r="K188" s="62">
        <f t="shared" si="52"/>
        <v>64.830476727790128</v>
      </c>
      <c r="L188" s="62">
        <f t="shared" si="52"/>
        <v>41.806719167303449</v>
      </c>
      <c r="M188" s="62">
        <f t="shared" si="52"/>
        <v>37.935288326807722</v>
      </c>
      <c r="N188" s="62">
        <f t="shared" si="52"/>
        <v>50.700699370265454</v>
      </c>
      <c r="O188" s="62">
        <f t="shared" si="52"/>
        <v>42.426960475969395</v>
      </c>
      <c r="P188" s="62">
        <f t="shared" si="52"/>
        <v>53.831205064691531</v>
      </c>
      <c r="Q188" s="62">
        <f t="shared" si="52"/>
        <v>59.178128686854116</v>
      </c>
      <c r="R188" s="62">
        <f t="shared" si="52"/>
        <v>85.271809327186773</v>
      </c>
      <c r="S188" s="62">
        <f t="shared" si="52"/>
        <v>92.144274432633736</v>
      </c>
      <c r="T188" s="62">
        <f t="shared" si="52"/>
        <v>84.079980401237137</v>
      </c>
      <c r="U188" s="62">
        <f t="shared" si="52"/>
        <v>95.932858991599772</v>
      </c>
      <c r="V188" s="62">
        <f t="shared" si="52"/>
        <v>71.842190736535827</v>
      </c>
    </row>
    <row r="189" spans="3:22" x14ac:dyDescent="0.2">
      <c r="C189" s="87" t="s">
        <v>143</v>
      </c>
      <c r="D189" s="60">
        <f t="shared" ref="D189:V189" si="53">+IFERROR(IF(D150&gt;0,+((D150/D34)*100)," "),"")</f>
        <v>96.550728502552914</v>
      </c>
      <c r="E189" s="60">
        <f t="shared" si="53"/>
        <v>62.315863014269425</v>
      </c>
      <c r="F189" s="60">
        <f t="shared" si="53"/>
        <v>50.901138385407961</v>
      </c>
      <c r="G189" s="60">
        <f t="shared" si="53"/>
        <v>61.399396327768685</v>
      </c>
      <c r="H189" s="60">
        <f t="shared" si="53"/>
        <v>76.367760072997811</v>
      </c>
      <c r="I189" s="60">
        <f t="shared" si="53"/>
        <v>84.461942502292146</v>
      </c>
      <c r="J189" s="60">
        <f t="shared" si="53"/>
        <v>89.720244063133208</v>
      </c>
      <c r="K189" s="60">
        <f t="shared" si="53"/>
        <v>97.087836903666329</v>
      </c>
      <c r="L189" s="60">
        <f t="shared" si="53"/>
        <v>87.739209455947133</v>
      </c>
      <c r="M189" s="60">
        <f t="shared" si="53"/>
        <v>88.605758634861758</v>
      </c>
      <c r="N189" s="60">
        <f t="shared" si="53"/>
        <v>83.452218961004718</v>
      </c>
      <c r="O189" s="60">
        <f t="shared" si="53"/>
        <v>86.596965604806954</v>
      </c>
      <c r="P189" s="60">
        <f t="shared" si="53"/>
        <v>89.70591752686272</v>
      </c>
      <c r="Q189" s="60">
        <f t="shared" si="53"/>
        <v>90.734337302376616</v>
      </c>
      <c r="R189" s="60">
        <f t="shared" si="53"/>
        <v>92.455334548915573</v>
      </c>
      <c r="S189" s="60">
        <f t="shared" si="53"/>
        <v>95.392497672811714</v>
      </c>
      <c r="T189" s="60">
        <f t="shared" si="53"/>
        <v>89.629194835299572</v>
      </c>
      <c r="U189" s="60">
        <f t="shared" si="53"/>
        <v>61.875879706918255</v>
      </c>
      <c r="V189" s="60">
        <f t="shared" si="53"/>
        <v>37.587553979315871</v>
      </c>
    </row>
    <row r="190" spans="3:22" x14ac:dyDescent="0.2">
      <c r="C190" s="88" t="s">
        <v>144</v>
      </c>
      <c r="D190" s="62">
        <f t="shared" ref="D190:V190" si="54">+IFERROR(IF(D151&gt;0,+((D151/D35)*100)," "),"")</f>
        <v>98.025718527667919</v>
      </c>
      <c r="E190" s="62">
        <f t="shared" si="54"/>
        <v>95.825753907381113</v>
      </c>
      <c r="F190" s="62">
        <f t="shared" si="54"/>
        <v>91.764140355033405</v>
      </c>
      <c r="G190" s="62">
        <f t="shared" si="54"/>
        <v>95.666641163029553</v>
      </c>
      <c r="H190" s="62">
        <f t="shared" si="54"/>
        <v>83.284614400000777</v>
      </c>
      <c r="I190" s="62">
        <f t="shared" si="54"/>
        <v>94.678574173464028</v>
      </c>
      <c r="J190" s="62">
        <f t="shared" si="54"/>
        <v>93.777881908613452</v>
      </c>
      <c r="K190" s="62">
        <f t="shared" si="54"/>
        <v>96.681375498893829</v>
      </c>
      <c r="L190" s="62">
        <f t="shared" si="54"/>
        <v>96.1769027128706</v>
      </c>
      <c r="M190" s="62">
        <f t="shared" si="54"/>
        <v>96.08739926136262</v>
      </c>
      <c r="N190" s="62">
        <f t="shared" si="54"/>
        <v>92.12459989542451</v>
      </c>
      <c r="O190" s="62">
        <f t="shared" si="54"/>
        <v>87.476959795009563</v>
      </c>
      <c r="P190" s="62">
        <f t="shared" si="54"/>
        <v>91.718179377067173</v>
      </c>
      <c r="Q190" s="62">
        <f t="shared" si="54"/>
        <v>94.091316772484433</v>
      </c>
      <c r="R190" s="62">
        <f t="shared" si="54"/>
        <v>97.05757257141785</v>
      </c>
      <c r="S190" s="62">
        <f t="shared" si="54"/>
        <v>96.139369704847908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96.891308944059176</v>
      </c>
    </row>
    <row r="191" spans="3:22" x14ac:dyDescent="0.2">
      <c r="C191" s="87" t="s">
        <v>145</v>
      </c>
      <c r="D191" s="60">
        <f t="shared" ref="D191:V191" si="55">+IFERROR(IF(D152&gt;0,+((D152/D36)*100)," "),"")</f>
        <v>84.815364167527704</v>
      </c>
      <c r="E191" s="60">
        <f t="shared" si="55"/>
        <v>68.304421528448074</v>
      </c>
      <c r="F191" s="60">
        <f t="shared" si="55"/>
        <v>72.394075928299998</v>
      </c>
      <c r="G191" s="60">
        <f t="shared" si="55"/>
        <v>71.27282967534731</v>
      </c>
      <c r="H191" s="60">
        <f t="shared" si="55"/>
        <v>80.360448348786193</v>
      </c>
      <c r="I191" s="60">
        <f t="shared" si="55"/>
        <v>93.712171132202442</v>
      </c>
      <c r="J191" s="60">
        <f t="shared" si="55"/>
        <v>85.795917197134784</v>
      </c>
      <c r="K191" s="60">
        <f t="shared" si="55"/>
        <v>73.469605744687144</v>
      </c>
      <c r="L191" s="60">
        <f t="shared" si="55"/>
        <v>91.643559055074718</v>
      </c>
      <c r="M191" s="60">
        <f t="shared" si="55"/>
        <v>90.620192882845856</v>
      </c>
      <c r="N191" s="60">
        <f t="shared" si="55"/>
        <v>92.121868750127362</v>
      </c>
      <c r="O191" s="60">
        <f t="shared" si="55"/>
        <v>85.813630736513829</v>
      </c>
      <c r="P191" s="60">
        <f t="shared" si="55"/>
        <v>86.42158922771138</v>
      </c>
      <c r="Q191" s="60">
        <f t="shared" si="55"/>
        <v>85.816076869955864</v>
      </c>
      <c r="R191" s="60">
        <f t="shared" si="55"/>
        <v>93.000050591258344</v>
      </c>
      <c r="S191" s="60">
        <f t="shared" si="55"/>
        <v>90.787729442813884</v>
      </c>
      <c r="T191" s="60">
        <f t="shared" si="55"/>
        <v>93.684894947751701</v>
      </c>
      <c r="U191" s="60">
        <f t="shared" si="55"/>
        <v>94.596886046725288</v>
      </c>
      <c r="V191" s="60">
        <f t="shared" si="55"/>
        <v>95.693944952636571</v>
      </c>
    </row>
    <row r="192" spans="3:22" x14ac:dyDescent="0.2">
      <c r="C192" s="88" t="s">
        <v>146</v>
      </c>
      <c r="D192" s="62">
        <f t="shared" ref="D192:V192" si="56">+IFERROR(IF(D153&gt;0,+((D153/D37)*100)," "),"")</f>
        <v>93.086366449087194</v>
      </c>
      <c r="E192" s="62">
        <f t="shared" si="56"/>
        <v>91.775652358494568</v>
      </c>
      <c r="F192" s="62">
        <f t="shared" si="56"/>
        <v>90.588274143588137</v>
      </c>
      <c r="G192" s="62">
        <f t="shared" si="56"/>
        <v>96.155389542302103</v>
      </c>
      <c r="H192" s="62">
        <f t="shared" si="56"/>
        <v>88.030530052621245</v>
      </c>
      <c r="I192" s="62">
        <f t="shared" si="56"/>
        <v>86.155767506555179</v>
      </c>
      <c r="J192" s="62">
        <f t="shared" si="56"/>
        <v>86.812566027276077</v>
      </c>
      <c r="K192" s="62">
        <f t="shared" si="56"/>
        <v>84.559613138923709</v>
      </c>
      <c r="L192" s="62">
        <f t="shared" si="56"/>
        <v>88.520162924967678</v>
      </c>
      <c r="M192" s="62">
        <f t="shared" si="56"/>
        <v>92.900036447627215</v>
      </c>
      <c r="N192" s="62">
        <f t="shared" si="56"/>
        <v>84.579861480778064</v>
      </c>
      <c r="O192" s="62">
        <f t="shared" si="56"/>
        <v>95.753920465436039</v>
      </c>
      <c r="P192" s="62">
        <f t="shared" si="56"/>
        <v>95.940986628565867</v>
      </c>
      <c r="Q192" s="62">
        <f t="shared" si="56"/>
        <v>98.196744633056881</v>
      </c>
      <c r="R192" s="62">
        <f t="shared" si="56"/>
        <v>97.894561349837943</v>
      </c>
      <c r="S192" s="62">
        <f t="shared" si="56"/>
        <v>98.602787371375314</v>
      </c>
      <c r="T192" s="62">
        <f t="shared" si="56"/>
        <v>97.948505250994174</v>
      </c>
      <c r="U192" s="62">
        <f t="shared" si="56"/>
        <v>96.123437077041899</v>
      </c>
      <c r="V192" s="62">
        <f t="shared" si="56"/>
        <v>89.828389949732411</v>
      </c>
    </row>
    <row r="193" spans="3:22" x14ac:dyDescent="0.2">
      <c r="C193" s="90" t="s">
        <v>147</v>
      </c>
      <c r="D193" s="61">
        <f t="shared" ref="D193:V193" si="57">+IFERROR(IF(D154&gt;0,+((D154/D38)*100)," "),"")</f>
        <v>88.800594384910156</v>
      </c>
      <c r="E193" s="61">
        <f t="shared" si="57"/>
        <v>92.114876333399664</v>
      </c>
      <c r="F193" s="61">
        <f t="shared" si="57"/>
        <v>92.528611811276548</v>
      </c>
      <c r="G193" s="61">
        <f t="shared" si="57"/>
        <v>91.152789076550462</v>
      </c>
      <c r="H193" s="61">
        <f t="shared" si="57"/>
        <v>88.071086069571408</v>
      </c>
      <c r="I193" s="61">
        <f t="shared" si="57"/>
        <v>90.947391748341943</v>
      </c>
      <c r="J193" s="61">
        <f t="shared" si="57"/>
        <v>90.658960731159965</v>
      </c>
      <c r="K193" s="61">
        <f t="shared" si="57"/>
        <v>92.773161160154459</v>
      </c>
      <c r="L193" s="61">
        <f t="shared" si="57"/>
        <v>97.206602430708529</v>
      </c>
      <c r="M193" s="61">
        <f t="shared" si="57"/>
        <v>94.032341293464228</v>
      </c>
      <c r="N193" s="61">
        <f t="shared" si="57"/>
        <v>86.551305743012634</v>
      </c>
      <c r="O193" s="61">
        <f t="shared" si="57"/>
        <v>96.295776125896438</v>
      </c>
      <c r="P193" s="61">
        <f t="shared" si="57"/>
        <v>96.111250791374587</v>
      </c>
      <c r="Q193" s="61">
        <f t="shared" si="57"/>
        <v>97.484688074096155</v>
      </c>
      <c r="R193" s="61">
        <f t="shared" si="57"/>
        <v>94.259180184144242</v>
      </c>
      <c r="S193" s="61">
        <f t="shared" si="57"/>
        <v>89.16799951482966</v>
      </c>
      <c r="T193" s="61">
        <f t="shared" si="57"/>
        <v>90.684274165478357</v>
      </c>
      <c r="U193" s="61">
        <f t="shared" si="57"/>
        <v>92.602144525132218</v>
      </c>
      <c r="V193" s="61">
        <f t="shared" si="57"/>
        <v>90.731918136588831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+IFERROR(IF(D155&gt;0,+((D155/D39)*100),"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74.919441741776893</v>
      </c>
    </row>
    <row r="195" spans="3:22" x14ac:dyDescent="0.2">
      <c r="C195" s="87" t="s">
        <v>149</v>
      </c>
      <c r="D195" s="60">
        <f t="shared" ref="D195:V195" si="59">+IFERROR(IF(D156&gt;0,+((D156/D40)*100)," "),"")</f>
        <v>57.946506719513046</v>
      </c>
      <c r="E195" s="60">
        <f t="shared" si="59"/>
        <v>50.601830362485359</v>
      </c>
      <c r="F195" s="60">
        <f t="shared" si="59"/>
        <v>38.788750663330077</v>
      </c>
      <c r="G195" s="60">
        <f t="shared" si="59"/>
        <v>47.464382012348693</v>
      </c>
      <c r="H195" s="60">
        <f t="shared" si="59"/>
        <v>68.890171394424129</v>
      </c>
      <c r="I195" s="60">
        <f t="shared" si="59"/>
        <v>31.689975560333817</v>
      </c>
      <c r="J195" s="60">
        <f t="shared" si="59"/>
        <v>65.980992459583689</v>
      </c>
      <c r="K195" s="60">
        <f t="shared" si="59"/>
        <v>78.882078991180933</v>
      </c>
      <c r="L195" s="60">
        <f t="shared" si="59"/>
        <v>80.711181341368103</v>
      </c>
      <c r="M195" s="60">
        <f t="shared" si="59"/>
        <v>71.293141071324754</v>
      </c>
      <c r="N195" s="60">
        <f t="shared" si="59"/>
        <v>82.957490845088117</v>
      </c>
      <c r="O195" s="60">
        <f t="shared" si="59"/>
        <v>85.953929547952299</v>
      </c>
      <c r="P195" s="60">
        <f t="shared" si="59"/>
        <v>95.360909337235384</v>
      </c>
      <c r="Q195" s="60">
        <f t="shared" si="59"/>
        <v>86.377701703649961</v>
      </c>
      <c r="R195" s="60">
        <f t="shared" si="59"/>
        <v>91.047922129883034</v>
      </c>
      <c r="S195" s="60">
        <f t="shared" si="59"/>
        <v>89.442612707501553</v>
      </c>
      <c r="T195" s="60">
        <f t="shared" si="59"/>
        <v>96.171117040979865</v>
      </c>
      <c r="U195" s="60">
        <f t="shared" si="59"/>
        <v>90.667857623040845</v>
      </c>
      <c r="V195" s="60">
        <f t="shared" si="59"/>
        <v>88.720516074028509</v>
      </c>
    </row>
    <row r="196" spans="3:22" x14ac:dyDescent="0.2">
      <c r="C196" s="88" t="s">
        <v>150</v>
      </c>
      <c r="D196" s="62">
        <f t="shared" ref="D196:V196" si="60">+IFERROR(IF(D157&gt;0,+((D157/D41)*100)," "),"")</f>
        <v>75.146173780763021</v>
      </c>
      <c r="E196" s="62">
        <f t="shared" si="60"/>
        <v>75.817134766296263</v>
      </c>
      <c r="F196" s="62">
        <f t="shared" si="60"/>
        <v>50.962496406755456</v>
      </c>
      <c r="G196" s="62">
        <f t="shared" si="60"/>
        <v>73.101816747142479</v>
      </c>
      <c r="H196" s="62">
        <f t="shared" si="60"/>
        <v>69.328264686306497</v>
      </c>
      <c r="I196" s="62">
        <f t="shared" si="60"/>
        <v>75.104703650283398</v>
      </c>
      <c r="J196" s="62">
        <f t="shared" si="60"/>
        <v>60.130109740236435</v>
      </c>
      <c r="K196" s="62">
        <f t="shared" si="60"/>
        <v>86.112771029380411</v>
      </c>
      <c r="L196" s="62">
        <f t="shared" si="60"/>
        <v>85.3346522695483</v>
      </c>
      <c r="M196" s="62">
        <f t="shared" si="60"/>
        <v>85.281561317436328</v>
      </c>
      <c r="N196" s="62">
        <f t="shared" si="60"/>
        <v>75.157772566330593</v>
      </c>
      <c r="O196" s="62">
        <f t="shared" si="60"/>
        <v>81.433489037381818</v>
      </c>
      <c r="P196" s="62">
        <f t="shared" si="60"/>
        <v>85.924681380195665</v>
      </c>
      <c r="Q196" s="62">
        <f t="shared" si="60"/>
        <v>91.909688301285854</v>
      </c>
      <c r="R196" s="62">
        <f t="shared" si="60"/>
        <v>88.981079429512519</v>
      </c>
      <c r="S196" s="62">
        <f t="shared" si="60"/>
        <v>85.582227148910334</v>
      </c>
      <c r="T196" s="62">
        <f t="shared" si="60"/>
        <v>88.724024551310166</v>
      </c>
      <c r="U196" s="62">
        <f t="shared" si="60"/>
        <v>75.378324866078501</v>
      </c>
      <c r="V196" s="62">
        <f t="shared" si="60"/>
        <v>74.358984377868566</v>
      </c>
    </row>
    <row r="197" spans="3:22" x14ac:dyDescent="0.2">
      <c r="C197" s="87" t="s">
        <v>151</v>
      </c>
      <c r="D197" s="60">
        <f t="shared" ref="D197:V197" si="61">+IFERROR(IF(D158&gt;0,+((D158/D42)*100)," "),"")</f>
        <v>70.544390799355043</v>
      </c>
      <c r="E197" s="60">
        <f t="shared" si="61"/>
        <v>24.567331667500305</v>
      </c>
      <c r="F197" s="60">
        <f t="shared" si="61"/>
        <v>44.710842606184556</v>
      </c>
      <c r="G197" s="60">
        <f t="shared" si="61"/>
        <v>26.590552464241462</v>
      </c>
      <c r="H197" s="60">
        <f t="shared" si="61"/>
        <v>11.991879920800516</v>
      </c>
      <c r="I197" s="60">
        <f t="shared" si="61"/>
        <v>20.57740391711836</v>
      </c>
      <c r="J197" s="60">
        <f t="shared" si="61"/>
        <v>57.957680073449957</v>
      </c>
      <c r="K197" s="60">
        <f t="shared" si="61"/>
        <v>86.10303026741866</v>
      </c>
      <c r="L197" s="60">
        <f t="shared" si="61"/>
        <v>89.672546597489685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97.777633048253847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97.854117710304038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74">
        <f t="shared" ref="D198:V198" si="62">+IFERROR(IF(D159&gt;0,+((D159/D43)*100)," "),"")</f>
        <v>88.621541537873654</v>
      </c>
      <c r="E198" s="74">
        <f t="shared" si="62"/>
        <v>85.983539138254216</v>
      </c>
      <c r="F198" s="74">
        <f t="shared" si="62"/>
        <v>84.080794576408863</v>
      </c>
      <c r="G198" s="74">
        <f t="shared" si="62"/>
        <v>87.580737555202887</v>
      </c>
      <c r="H198" s="74">
        <f t="shared" si="62"/>
        <v>87.024287605769644</v>
      </c>
      <c r="I198" s="74">
        <f t="shared" si="62"/>
        <v>88.612003386757081</v>
      </c>
      <c r="J198" s="74">
        <f t="shared" si="62"/>
        <v>87.439512265310071</v>
      </c>
      <c r="K198" s="74">
        <f t="shared" si="62"/>
        <v>90.958149355740801</v>
      </c>
      <c r="L198" s="74">
        <f t="shared" si="62"/>
        <v>93.635040534479515</v>
      </c>
      <c r="M198" s="74">
        <f t="shared" si="62"/>
        <v>90.883341954879199</v>
      </c>
      <c r="N198" s="74">
        <f t="shared" si="62"/>
        <v>88.409810864370385</v>
      </c>
      <c r="O198" s="74">
        <f t="shared" si="62"/>
        <v>93.535488524183236</v>
      </c>
      <c r="P198" s="74">
        <f t="shared" si="62"/>
        <v>93.548836347740632</v>
      </c>
      <c r="Q198" s="74">
        <f t="shared" si="62"/>
        <v>94.061084548495103</v>
      </c>
      <c r="R198" s="74">
        <f t="shared" si="62"/>
        <v>92.013866799579787</v>
      </c>
      <c r="S198" s="74">
        <f t="shared" si="62"/>
        <v>92.649444308002245</v>
      </c>
      <c r="T198" s="74">
        <f t="shared" si="62"/>
        <v>92.80502045263728</v>
      </c>
      <c r="U198" s="74">
        <f t="shared" si="62"/>
        <v>94.128058204542171</v>
      </c>
      <c r="V198" s="74">
        <f t="shared" si="62"/>
        <v>90.631728587282339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55" t="s">
        <v>158</v>
      </c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6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2" ht="12" customHeight="1" thickBot="1" x14ac:dyDescent="0.25">
      <c r="C206" s="160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2" x14ac:dyDescent="0.2">
      <c r="C207" s="87" t="s">
        <v>123</v>
      </c>
      <c r="D207" s="56">
        <f>302.52965147338*Deflactores!$A$5</f>
        <v>1126.5335882970512</v>
      </c>
      <c r="E207" s="56">
        <f>463.47829017666*Deflactores!$B$5</f>
        <v>1603.2394920716358</v>
      </c>
      <c r="F207" s="56">
        <f>444.69422712737*Deflactores!$C$5</f>
        <v>1437.7382917254488</v>
      </c>
      <c r="G207" s="56">
        <f>357.934670062419*Deflactores!$D$5</f>
        <v>1086.6951631179722</v>
      </c>
      <c r="H207" s="56">
        <f>421.43160073441*Deflactores!$E$5</f>
        <v>1212.8051313974463</v>
      </c>
      <c r="I207" s="56">
        <f>499.45723115007*Deflactores!$F$5</f>
        <v>1370.7946588350924</v>
      </c>
      <c r="J207" s="56">
        <f>802.79726803653*Deflactores!$G$5</f>
        <v>2108.8969004194128</v>
      </c>
      <c r="K207" s="56">
        <f>1259.95963178096*Deflactores!$H$5</f>
        <v>3131.5104418324736</v>
      </c>
      <c r="L207" s="56">
        <f>1725.30854085723*Deflactores!$I$5</f>
        <v>3982.4621838570683</v>
      </c>
      <c r="M207" s="56">
        <f>1251.08090075293*Deflactores!$J$5</f>
        <v>2831.1469551526943</v>
      </c>
      <c r="N207" s="56">
        <f>1313.52252360458*Deflactores!$K$5</f>
        <v>2881.0843101015248</v>
      </c>
      <c r="O207" s="56">
        <f>1344.21672021832*Deflactores!$L$5</f>
        <v>2842.4788176689026</v>
      </c>
      <c r="P207" s="56">
        <f>1397.86250580937*Deflactores!$M$5</f>
        <v>2885.5116377328013</v>
      </c>
      <c r="Q207" s="56">
        <f>2536.45460435428*Deflactores!$N$5</f>
        <v>5136.1871366020114</v>
      </c>
      <c r="R207" s="56">
        <f>1977.04397974008*Deflactores!$O$5</f>
        <v>3862.0587025879045</v>
      </c>
      <c r="S207" s="56">
        <f>2247.01028150628*Deflactores!$P$5</f>
        <v>4111.1029943250951</v>
      </c>
      <c r="T207" s="56">
        <f>1307.85633200413*Deflactores!$Q$5</f>
        <v>2262.7311774430104</v>
      </c>
      <c r="U207" s="56">
        <f>1725.52468022208*Deflactores!$R$5</f>
        <v>2868.0392361393651</v>
      </c>
      <c r="V207" s="56">
        <f>1468.10307569212*Deflactores!$S$5</f>
        <v>2364.9661987802369</v>
      </c>
    </row>
    <row r="208" spans="3:22" x14ac:dyDescent="0.2">
      <c r="C208" s="88" t="s">
        <v>124</v>
      </c>
      <c r="D208" s="57">
        <f>89.7130898002*Deflactores!$A$5</f>
        <v>334.06579645211309</v>
      </c>
      <c r="E208" s="57">
        <f>116.94058521485*Deflactores!$B$5</f>
        <v>404.51466318078116</v>
      </c>
      <c r="F208" s="57">
        <f>119.19044104765*Deflactores!$C$5</f>
        <v>385.35391432632332</v>
      </c>
      <c r="G208" s="57">
        <f>133.433412717869*Deflactores!$D$5</f>
        <v>405.1058931328057</v>
      </c>
      <c r="H208" s="57">
        <f>135.264330935169*Deflactores!$E$5</f>
        <v>389.26666715864206</v>
      </c>
      <c r="I208" s="57">
        <f>165.642393810299*Deflactores!$F$5</f>
        <v>454.61692123062386</v>
      </c>
      <c r="J208" s="57">
        <f>205.51080483035*Deflactores!$G$5</f>
        <v>539.86369481479448</v>
      </c>
      <c r="K208" s="57">
        <f>430.16417724707*Deflactores!$H$5</f>
        <v>1069.1323585084965</v>
      </c>
      <c r="L208" s="57">
        <f>1173.41131139107*Deflactores!$I$5</f>
        <v>2708.5394079155412</v>
      </c>
      <c r="M208" s="57">
        <f>1367.51445504931*Deflactores!$J$5</f>
        <v>3094.6315168028777</v>
      </c>
      <c r="N208" s="57">
        <f>1607.86552928204*Deflactores!$K$5</f>
        <v>3526.6971566313964</v>
      </c>
      <c r="O208" s="57">
        <f>1332.8621611587*Deflactores!$L$5</f>
        <v>2818.468482783544</v>
      </c>
      <c r="P208" s="57">
        <f>316.890343992231*Deflactores!$M$5</f>
        <v>654.13498943896207</v>
      </c>
      <c r="Q208" s="57">
        <f>380.9952318705*Deflactores!$N$5</f>
        <v>771.49530122898943</v>
      </c>
      <c r="R208" s="57">
        <f>425.122807889801*Deflactores!$O$5</f>
        <v>830.45660931390307</v>
      </c>
      <c r="S208" s="57">
        <f>458.163545273186*Deflactores!$P$5</f>
        <v>838.25051374511565</v>
      </c>
      <c r="T208" s="57">
        <f>463.362868098356*Deflactores!$Q$5</f>
        <v>801.66726456025788</v>
      </c>
      <c r="U208" s="57">
        <f>507.97188005546*Deflactores!$R$5</f>
        <v>844.31321067342469</v>
      </c>
      <c r="V208" s="57">
        <f>542.94193576149*Deflactores!$S$5</f>
        <v>874.62477753538474</v>
      </c>
    </row>
    <row r="209" spans="3:22" x14ac:dyDescent="0.2">
      <c r="C209" s="87" t="s">
        <v>125</v>
      </c>
      <c r="D209" s="56">
        <f>29.856069884*Deflactores!$A$5</f>
        <v>111.17543478818153</v>
      </c>
      <c r="E209" s="56">
        <f>39.45256639898*Deflactores!$B$5</f>
        <v>136.47222287437452</v>
      </c>
      <c r="F209" s="56">
        <f>30.27030615067*Deflactores!$C$5</f>
        <v>97.866748880923382</v>
      </c>
      <c r="G209" s="56">
        <f>18.0033934463*Deflactores!$D$5</f>
        <v>54.65857938375256</v>
      </c>
      <c r="H209" s="56">
        <f>41.9360459324899*Deflactores!$E$5</f>
        <v>120.68447550874417</v>
      </c>
      <c r="I209" s="56">
        <f>43.43608343066*Deflactores!$F$5</f>
        <v>119.21331288038523</v>
      </c>
      <c r="J209" s="56">
        <f>44.5943188486*Deflactores!$G$5</f>
        <v>117.14641359722236</v>
      </c>
      <c r="K209" s="56">
        <f>79.15478908498*Deflactores!$H$5</f>
        <v>196.73173829409964</v>
      </c>
      <c r="L209" s="56">
        <f>107.071134917579*Deflactores!$I$5</f>
        <v>247.14811043597672</v>
      </c>
      <c r="M209" s="56">
        <f>119.60943600823*Deflactores!$J$5</f>
        <v>270.67145726422228</v>
      </c>
      <c r="N209" s="56">
        <f>220.570571145269*Deflactores!$K$5</f>
        <v>483.80016358826509</v>
      </c>
      <c r="O209" s="56">
        <f>234.31040817924*Deflactores!$L$5</f>
        <v>495.47246511014424</v>
      </c>
      <c r="P209" s="56">
        <f>314.32878550468*Deflactores!$M$5</f>
        <v>648.84734004866527</v>
      </c>
      <c r="Q209" s="56">
        <f>371.50547393151*Deflactores!$N$5</f>
        <v>752.27904063751885</v>
      </c>
      <c r="R209" s="56">
        <f>300.10470642536*Deflactores!$O$5</f>
        <v>586.23986366252984</v>
      </c>
      <c r="S209" s="56">
        <f>178.15722769886*Deflactores!$P$5</f>
        <v>325.95432174100364</v>
      </c>
      <c r="T209" s="56">
        <f>243.681486927739*Deflactores!$Q$5</f>
        <v>421.59500576958266</v>
      </c>
      <c r="U209" s="56">
        <f>335.84673051296*Deflactores!$R$5</f>
        <v>558.21954416573374</v>
      </c>
      <c r="V209" s="56">
        <f>207.61466380429*Deflactores!$S$5</f>
        <v>334.44631402109934</v>
      </c>
    </row>
    <row r="210" spans="3:22" x14ac:dyDescent="0.2">
      <c r="C210" s="88" t="s">
        <v>126</v>
      </c>
      <c r="D210" s="57">
        <f>135.9458375332*Deflactores!$A$5</f>
        <v>506.22327902228585</v>
      </c>
      <c r="E210" s="57">
        <f>182.998860619859*Deflactores!$B$5</f>
        <v>633.01994196544024</v>
      </c>
      <c r="F210" s="57">
        <f>163.545219246789*Deflactores!$C$5</f>
        <v>528.75708699585755</v>
      </c>
      <c r="G210" s="57">
        <f>159.414076814029*Deflactores!$D$5</f>
        <v>483.98358889490203</v>
      </c>
      <c r="H210" s="57">
        <f>154.559280837819*Deflactores!$E$5</f>
        <v>444.7940984457374</v>
      </c>
      <c r="I210" s="57">
        <f>178.77147116077*Deflactores!$F$5</f>
        <v>490.65057533553528</v>
      </c>
      <c r="J210" s="57">
        <f>226.50650726379*Deflactores!$G$5</f>
        <v>595.0180576246031</v>
      </c>
      <c r="K210" s="57">
        <f>290.403950096809*Deflactores!$H$5</f>
        <v>721.77153865803439</v>
      </c>
      <c r="L210" s="57">
        <f>281.16573020384*Deflactores!$I$5</f>
        <v>649.00385143691824</v>
      </c>
      <c r="M210" s="57">
        <f>382.268064783159*Deflactores!$J$5</f>
        <v>865.05762098328387</v>
      </c>
      <c r="N210" s="57">
        <f>364.26928719027*Deflactores!$K$5</f>
        <v>798.98936570629337</v>
      </c>
      <c r="O210" s="57">
        <f>517.84026541015*Deflactores!$L$5</f>
        <v>1095.0243091198331</v>
      </c>
      <c r="P210" s="57">
        <f>696.386485618759*Deflactores!$M$5</f>
        <v>1437.5028304012658</v>
      </c>
      <c r="Q210" s="57">
        <f>773.084388477839*Deflactores!$N$5</f>
        <v>1565.455216423459</v>
      </c>
      <c r="R210" s="57">
        <f>693.695835334847*Deflactores!$O$5</f>
        <v>1355.1008805358742</v>
      </c>
      <c r="S210" s="57">
        <f>705.530932593409*Deflactores!$P$5</f>
        <v>1290.8309113874584</v>
      </c>
      <c r="T210" s="57">
        <f>681.17395613005*Deflactores!$Q$5</f>
        <v>1178.5037164103389</v>
      </c>
      <c r="U210" s="57">
        <f>770.172288053889*Deflactores!$R$5</f>
        <v>1280.1232958554342</v>
      </c>
      <c r="V210" s="57">
        <f>728.037958265939*Deflactores!$S$5</f>
        <v>1172.7958283284756</v>
      </c>
    </row>
    <row r="211" spans="3:22" x14ac:dyDescent="0.2">
      <c r="C211" s="87" t="s">
        <v>127</v>
      </c>
      <c r="D211" s="56">
        <f>162.36267304875*Deflactores!$A$5</f>
        <v>604.59199217106652</v>
      </c>
      <c r="E211" s="56">
        <f>176.212293919919*Deflactores!$B$5</f>
        <v>609.54421078335008</v>
      </c>
      <c r="F211" s="56">
        <f>183.29421470424*Deflactores!$C$5</f>
        <v>592.60744812086625</v>
      </c>
      <c r="G211" s="56">
        <f>202.09252200271*Deflactores!$D$5</f>
        <v>613.5560048551871</v>
      </c>
      <c r="H211" s="56">
        <f>212.161283088139*Deflactores!$E$5</f>
        <v>610.56240767127588</v>
      </c>
      <c r="I211" s="56">
        <f>236.41392533257*Deflactores!$F$5</f>
        <v>648.85424798815598</v>
      </c>
      <c r="J211" s="56">
        <f>274.78853444552*Deflactores!$G$5</f>
        <v>721.85184433958591</v>
      </c>
      <c r="K211" s="56">
        <f>281.66485840589*Deflactores!$H$5</f>
        <v>700.05135319180522</v>
      </c>
      <c r="L211" s="56">
        <f>297.87884068075*Deflactores!$I$5</f>
        <v>687.5820702729817</v>
      </c>
      <c r="M211" s="56">
        <f>326.312562727169*Deflactores!$J$5</f>
        <v>738.43251690367038</v>
      </c>
      <c r="N211" s="56">
        <f>355.46258701022*Deflactores!$K$5</f>
        <v>779.67272266702366</v>
      </c>
      <c r="O211" s="56">
        <f>346.654967357439*Deflactores!$L$5</f>
        <v>733.03611458812145</v>
      </c>
      <c r="P211" s="56">
        <f>370.512688758364*Deflactores!$M$5</f>
        <v>764.8239157261786</v>
      </c>
      <c r="Q211" s="56">
        <f>411.761765509603*Deflactores!$N$5</f>
        <v>833.79591328950869</v>
      </c>
      <c r="R211" s="56">
        <f>439.485661673045*Deflactores!$O$5</f>
        <v>858.51374158612884</v>
      </c>
      <c r="S211" s="56">
        <f>449.989091902626*Deflactores!$P$5</f>
        <v>823.29463214311772</v>
      </c>
      <c r="T211" s="56">
        <f>492.712598344024*Deflactores!$Q$5</f>
        <v>852.445433424302</v>
      </c>
      <c r="U211" s="56">
        <f>524.9818361038*Deflactores!$R$5</f>
        <v>872.58589892345105</v>
      </c>
      <c r="V211" s="56">
        <f>542.02806151796*Deflactores!$S$5</f>
        <v>873.15261816751126</v>
      </c>
    </row>
    <row r="212" spans="3:22" x14ac:dyDescent="0.2">
      <c r="C212" s="88" t="s">
        <v>128</v>
      </c>
      <c r="D212" s="57">
        <f>37.46923257477*Deflactores!$A$5</f>
        <v>139.52466747513688</v>
      </c>
      <c r="E212" s="57">
        <f>52.2779329028699*Deflactores!$B$5</f>
        <v>180.83704969612606</v>
      </c>
      <c r="F212" s="57">
        <f>44.78517056422*Deflactores!$C$5</f>
        <v>144.79467169514666</v>
      </c>
      <c r="G212" s="57">
        <f>50.96539756331*Deflactores!$D$5</f>
        <v>154.73173081773629</v>
      </c>
      <c r="H212" s="57">
        <f>68.74012532597*Deflactores!$E$5</f>
        <v>197.82184483308237</v>
      </c>
      <c r="I212" s="57">
        <f>86.77886899153*Deflactores!$F$5</f>
        <v>238.17056335219482</v>
      </c>
      <c r="J212" s="57">
        <f>104.81345604869*Deflactores!$G$5</f>
        <v>275.33822221885112</v>
      </c>
      <c r="K212" s="57">
        <f>116.73646848815*Deflactores!$H$5</f>
        <v>290.13744630577253</v>
      </c>
      <c r="L212" s="57">
        <f>147.77517202042*Deflactores!$I$5</f>
        <v>341.10364630310795</v>
      </c>
      <c r="M212" s="57">
        <f>161.9369660358*Deflactores!$J$5</f>
        <v>366.456995741046</v>
      </c>
      <c r="N212" s="57">
        <f>188.96104073066*Deflactores!$K$5</f>
        <v>414.46772315375114</v>
      </c>
      <c r="O212" s="57">
        <f>204.95199901556*Deflactores!$L$5</f>
        <v>433.39121369209653</v>
      </c>
      <c r="P212" s="57">
        <f>278.68742868667*Deflactores!$M$5</f>
        <v>575.27533317706786</v>
      </c>
      <c r="Q212" s="57">
        <f>351.33206452478*Deflactores!$N$5</f>
        <v>711.42894786693273</v>
      </c>
      <c r="R212" s="57">
        <f>343.85401782281*Deflactores!$O$5</f>
        <v>671.70200337525557</v>
      </c>
      <c r="S212" s="57">
        <f>368.34004192243*Deflactores!$P$5</f>
        <v>673.91051199909737</v>
      </c>
      <c r="T212" s="57">
        <f>310.373544190139*Deflactores!$Q$5</f>
        <v>536.97938978996024</v>
      </c>
      <c r="U212" s="57">
        <f>321.003212558189*Deflactores!$R$5</f>
        <v>533.54774874919804</v>
      </c>
      <c r="V212" s="57">
        <f>363.85136706307*Deflactores!$S$5</f>
        <v>586.12790800024072</v>
      </c>
    </row>
    <row r="213" spans="3:22" x14ac:dyDescent="0.2">
      <c r="C213" s="87" t="s">
        <v>129</v>
      </c>
      <c r="D213" s="56">
        <f>5543.58254189525*Deflactores!$A$5</f>
        <v>20642.710235269791</v>
      </c>
      <c r="E213" s="56">
        <f>6775.80863671407*Deflactores!$B$5</f>
        <v>23438.517460999999</v>
      </c>
      <c r="F213" s="56">
        <f>7381.79960531138*Deflactores!$C$5</f>
        <v>23866.052912263593</v>
      </c>
      <c r="G213" s="56">
        <f>8355.22337634951*Deflactores!$D$5</f>
        <v>25366.586668639469</v>
      </c>
      <c r="H213" s="56">
        <f>9160.68598259379*Deflactores!$E$5</f>
        <v>26362.823640774175</v>
      </c>
      <c r="I213" s="56">
        <f>10278.9948979044*Deflactores!$F$5</f>
        <v>28211.407154513359</v>
      </c>
      <c r="J213" s="56">
        <f>11593.9761071256*Deflactores!$G$5</f>
        <v>30456.631143818646</v>
      </c>
      <c r="K213" s="56">
        <f>13793.1849733898*Deflactores!$H$5</f>
        <v>34281.65607912586</v>
      </c>
      <c r="L213" s="56">
        <f>17401.2461066625*Deflactores!$I$5</f>
        <v>40166.615379612871</v>
      </c>
      <c r="M213" s="56">
        <f>18433.0793779753*Deflactores!$J$5</f>
        <v>41713.33486398479</v>
      </c>
      <c r="N213" s="56">
        <f>19080.1996549499*Deflactores!$K$5</f>
        <v>41850.568126252576</v>
      </c>
      <c r="O213" s="56">
        <f>20040.6356821171*Deflactores!$L$5</f>
        <v>42377.900499396768</v>
      </c>
      <c r="P213" s="56">
        <f>22010.3681756558*Deflactores!$M$5</f>
        <v>45434.492489563687</v>
      </c>
      <c r="Q213" s="56">
        <f>24336.8775537104*Deflactores!$N$5</f>
        <v>49280.896737455012</v>
      </c>
      <c r="R213" s="56">
        <f>24763.1768160098*Deflactores!$O$5</f>
        <v>48373.6545600604</v>
      </c>
      <c r="S213" s="56">
        <f>25097.9380783112*Deflactores!$P$5</f>
        <v>45918.885745357737</v>
      </c>
      <c r="T213" s="56">
        <f>26619.8992499798*Deflactores!$Q$5</f>
        <v>46055.269603673019</v>
      </c>
      <c r="U213" s="56">
        <f>27982.6319818237*Deflactores!$R$5</f>
        <v>46510.656946378498</v>
      </c>
      <c r="V213" s="56">
        <f>29750.2919814999*Deflactores!$S$5</f>
        <v>47924.724159385281</v>
      </c>
    </row>
    <row r="214" spans="3:22" x14ac:dyDescent="0.2">
      <c r="C214" s="88" t="s">
        <v>130</v>
      </c>
      <c r="D214" s="57">
        <f>22.090675061*Deflactores!$A$5</f>
        <v>82.259333335338383</v>
      </c>
      <c r="E214" s="57">
        <f>50.04488849666*Deflactores!$B$5</f>
        <v>173.11262105412695</v>
      </c>
      <c r="F214" s="57">
        <f>17.09019117652*Deflactores!$C$5</f>
        <v>55.254196633304794</v>
      </c>
      <c r="G214" s="57">
        <f>23.73282922319*Deflactores!$D$5</f>
        <v>72.053234517483162</v>
      </c>
      <c r="H214" s="57">
        <f>70.68408738308*Deflactores!$E$5</f>
        <v>203.41622160501018</v>
      </c>
      <c r="I214" s="57">
        <f>62.90508294341*Deflactores!$F$5</f>
        <v>172.64731859792761</v>
      </c>
      <c r="J214" s="57">
        <f>92.83373931983*Deflactores!$G$5</f>
        <v>243.86827521817716</v>
      </c>
      <c r="K214" s="57">
        <f>74.39826406113*Deflactores!$H$5</f>
        <v>184.90984543077877</v>
      </c>
      <c r="L214" s="57">
        <f>141.88393765342*Deflactores!$I$5</f>
        <v>327.5051405708175</v>
      </c>
      <c r="M214" s="57">
        <f>118.75807382132*Deflactores!$J$5</f>
        <v>268.74485806368153</v>
      </c>
      <c r="N214" s="57">
        <f>124.15135201377*Deflactores!$K$5</f>
        <v>272.31395422378188</v>
      </c>
      <c r="O214" s="57">
        <f>142.29653280678*Deflactores!$L$5</f>
        <v>300.90005149266977</v>
      </c>
      <c r="P214" s="57">
        <f>208.78518284341*Deflactores!$M$5</f>
        <v>430.98092435922899</v>
      </c>
      <c r="Q214" s="57">
        <f>277.95694301465*Deflactores!$N$5</f>
        <v>562.84818691029</v>
      </c>
      <c r="R214" s="57">
        <f>250.48148130179*Deflactores!$O$5</f>
        <v>489.30332082236595</v>
      </c>
      <c r="S214" s="57">
        <f>352.26475720274*Deflactores!$P$5</f>
        <v>644.49936435564086</v>
      </c>
      <c r="T214" s="57">
        <f>224.82246659068*Deflactores!$Q$5</f>
        <v>388.96688580834484</v>
      </c>
      <c r="U214" s="57">
        <f>358.76980480957*Deflactores!$R$5</f>
        <v>596.32057931705594</v>
      </c>
      <c r="V214" s="57">
        <f>402.91398656442*Deflactores!$S$5</f>
        <v>649.05385392740538</v>
      </c>
    </row>
    <row r="215" spans="3:22" x14ac:dyDescent="0.2">
      <c r="C215" s="87" t="s">
        <v>131</v>
      </c>
      <c r="D215" s="56">
        <f>4627.1174366393*Deflactores!$A$5</f>
        <v>17230.057232349627</v>
      </c>
      <c r="E215" s="56">
        <f>7383.95313219946*Deflactores!$B$5</f>
        <v>25542.178609133873</v>
      </c>
      <c r="F215" s="56">
        <f>8248.19658238829*Deflactores!$C$5</f>
        <v>26667.195885999263</v>
      </c>
      <c r="G215" s="56">
        <f>9684.25249222364*Deflactores!$D$5</f>
        <v>29401.539504059176</v>
      </c>
      <c r="H215" s="56">
        <f>11101.1034450814*Deflactores!$E$5</f>
        <v>31946.999700322416</v>
      </c>
      <c r="I215" s="56">
        <f>12242.2136462143*Deflactores!$F$5</f>
        <v>33599.595785021986</v>
      </c>
      <c r="J215" s="56">
        <f>13093.4253508949*Deflactores!$G$5</f>
        <v>34395.588074072453</v>
      </c>
      <c r="K215" s="56">
        <f>14150.3914700697*Deflactores!$H$5</f>
        <v>35169.459026163429</v>
      </c>
      <c r="L215" s="56">
        <f>15582.2333528658*Deflactores!$I$5</f>
        <v>35967.859428199234</v>
      </c>
      <c r="M215" s="56">
        <f>18264.5099700978*Deflactores!$J$5</f>
        <v>41331.868912776474</v>
      </c>
      <c r="N215" s="56">
        <f>19872.4575390299*Deflactores!$K$5</f>
        <v>43588.308985932155</v>
      </c>
      <c r="O215" s="56">
        <f>21241.9359421544*Deflactores!$L$5</f>
        <v>44918.168368004728</v>
      </c>
      <c r="P215" s="56">
        <f>22323.3462558173*Deflactores!$M$5</f>
        <v>46080.551661269114</v>
      </c>
      <c r="Q215" s="56">
        <f>24513.9850423804*Deflactores!$N$5</f>
        <v>49639.530084782076</v>
      </c>
      <c r="R215" s="56">
        <f>26078.7445641026*Deflactores!$O$5</f>
        <v>50943.551801817121</v>
      </c>
      <c r="S215" s="56">
        <f>28713.9498446691*Deflactores!$P$5</f>
        <v>52534.697396305535</v>
      </c>
      <c r="T215" s="56">
        <f>31049.9397419164*Deflactores!$Q$5</f>
        <v>53719.71293215343</v>
      </c>
      <c r="U215" s="56">
        <f>35353.5187878564*Deflactores!$R$5</f>
        <v>58761.998701816607</v>
      </c>
      <c r="V215" s="56">
        <f>37882.9553819915*Deflactores!$S$5</f>
        <v>61025.625837663138</v>
      </c>
    </row>
    <row r="216" spans="3:22" x14ac:dyDescent="0.2">
      <c r="C216" s="88" t="s">
        <v>132</v>
      </c>
      <c r="D216" s="57">
        <f>37.18937689934*Deflactores!$A$5</f>
        <v>138.48256526561119</v>
      </c>
      <c r="E216" s="57">
        <f>36.5859675651*Deflactores!$B$5</f>
        <v>126.55623639601941</v>
      </c>
      <c r="F216" s="57">
        <f>43.15576316195*Deflactores!$C$5</f>
        <v>139.5266442008444</v>
      </c>
      <c r="G216" s="57">
        <f>35.7400468353699*Deflactores!$D$5</f>
        <v>108.50733185146146</v>
      </c>
      <c r="H216" s="57">
        <f>37.2009968133299*Deflactores!$E$5</f>
        <v>107.0578469903116</v>
      </c>
      <c r="I216" s="57">
        <f>38.53550499585*Deflactores!$F$5</f>
        <v>105.76333893933011</v>
      </c>
      <c r="J216" s="57">
        <f>52.51217555571*Deflactores!$G$5</f>
        <v>137.94611500680605</v>
      </c>
      <c r="K216" s="57">
        <f>58.46746987392*Deflactores!$H$5</f>
        <v>145.31536392075134</v>
      </c>
      <c r="L216" s="57">
        <f>67.99598454909*Deflactores!$I$5</f>
        <v>156.95247007027282</v>
      </c>
      <c r="M216" s="57">
        <f>95.82699040279*Deflactores!$J$5</f>
        <v>216.85271666846683</v>
      </c>
      <c r="N216" s="57">
        <f>97.37742031798*Deflactores!$K$5</f>
        <v>213.58793076984992</v>
      </c>
      <c r="O216" s="57">
        <f>85.57103521062*Deflactores!$L$5</f>
        <v>180.94839272099108</v>
      </c>
      <c r="P216" s="57">
        <f>123.134385685369*Deflactores!$M$5</f>
        <v>254.17786185951638</v>
      </c>
      <c r="Q216" s="57">
        <f>147.34633293899*Deflactores!$N$5</f>
        <v>298.36857263975367</v>
      </c>
      <c r="R216" s="57">
        <f>149.23791921828*Deflactores!$O$5</f>
        <v>291.52897486319108</v>
      </c>
      <c r="S216" s="57">
        <f>181.23173677971*Deflactores!$P$5</f>
        <v>331.57940658925327</v>
      </c>
      <c r="T216" s="57">
        <f>245.97719596201*Deflactores!$Q$5</f>
        <v>425.56682765786491</v>
      </c>
      <c r="U216" s="57">
        <f>311.493215058019*Deflactores!$R$5</f>
        <v>517.74093573823359</v>
      </c>
      <c r="V216" s="57">
        <f>393.1637952259*Deflactores!$S$5</f>
        <v>633.34727764605759</v>
      </c>
    </row>
    <row r="217" spans="3:22" x14ac:dyDescent="0.2">
      <c r="C217" s="87" t="s">
        <v>133</v>
      </c>
      <c r="D217" s="56">
        <f>557.60463642844*Deflactores!$A$5</f>
        <v>2076.3596191895122</v>
      </c>
      <c r="E217" s="56">
        <f>631.18890573392*Deflactores!$B$5</f>
        <v>2183.3751484765048</v>
      </c>
      <c r="F217" s="56">
        <f>634.43601506128*Deflactores!$C$5</f>
        <v>2051.1913509550586</v>
      </c>
      <c r="G217" s="56">
        <f>660.610922073849*Deflactores!$D$5</f>
        <v>2005.6249191936795</v>
      </c>
      <c r="H217" s="56">
        <f>730.71467877518*Deflactores!$E$5</f>
        <v>2102.8667771035884</v>
      </c>
      <c r="I217" s="56">
        <f>831.224472089269*Deflactores!$F$5</f>
        <v>2281.3526275498589</v>
      </c>
      <c r="J217" s="56">
        <f>896.77505729606*Deflactores!$G$5</f>
        <v>2355.7705214052198</v>
      </c>
      <c r="K217" s="56">
        <f>1016.90322765765*Deflactores!$H$5</f>
        <v>2527.4167484571294</v>
      </c>
      <c r="L217" s="56">
        <f>1178.82501708997*Deflactores!$I$5</f>
        <v>2721.0356529116325</v>
      </c>
      <c r="M217" s="56">
        <f>1357.65290409423*Deflactores!$J$5</f>
        <v>3072.3152142018589</v>
      </c>
      <c r="N217" s="56">
        <f>1415.54931790331*Deflactores!$K$5</f>
        <v>3104.8701919434079</v>
      </c>
      <c r="O217" s="56">
        <f>1509.25277468738*Deflactores!$L$5</f>
        <v>3191.4638302223575</v>
      </c>
      <c r="P217" s="56">
        <f>1786.95085302207*Deflactores!$M$5</f>
        <v>3688.6800103893138</v>
      </c>
      <c r="Q217" s="56">
        <f>2049.55762174282*Deflactores!$N$5</f>
        <v>4150.2463613773134</v>
      </c>
      <c r="R217" s="56">
        <f>2340.68743685758*Deflactores!$O$5</f>
        <v>4572.4184075775875</v>
      </c>
      <c r="S217" s="56">
        <f>2560.93276891821*Deflactores!$P$5</f>
        <v>4685.4518028761795</v>
      </c>
      <c r="T217" s="56">
        <f>2888.78083338683*Deflactores!$Q$5</f>
        <v>4997.8994607823188</v>
      </c>
      <c r="U217" s="56">
        <f>3109.40447204428*Deflactores!$R$5</f>
        <v>5168.221659804045</v>
      </c>
      <c r="V217" s="56">
        <f>3434.64547864465*Deflactores!$S$5</f>
        <v>5532.8679547643869</v>
      </c>
    </row>
    <row r="218" spans="3:22" x14ac:dyDescent="0.2">
      <c r="C218" s="88" t="s">
        <v>134</v>
      </c>
      <c r="D218" s="57">
        <f>5097.67510245609*Deflactores!$A$5</f>
        <v>18982.27891770042</v>
      </c>
      <c r="E218" s="57">
        <f>6030.71643057261*Deflactores!$B$5</f>
        <v>20861.134063677444</v>
      </c>
      <c r="F218" s="57">
        <f>5136.23361461974*Deflactores!$C$5</f>
        <v>16605.926707636605</v>
      </c>
      <c r="G218" s="57">
        <f>4555.63502817047*Deflactores!$D$5</f>
        <v>13830.978008306212</v>
      </c>
      <c r="H218" s="57">
        <f>5063.31964573434*Deflactores!$E$5</f>
        <v>14571.33266122136</v>
      </c>
      <c r="I218" s="57">
        <f>6214.86805619851*Deflactores!$F$5</f>
        <v>17057.13203347733</v>
      </c>
      <c r="J218" s="57">
        <f>5406.73092532713*Deflactores!$G$5</f>
        <v>14203.135142339979</v>
      </c>
      <c r="K218" s="57">
        <f>6169.40311990631*Deflactores!$H$5</f>
        <v>15333.467678287563</v>
      </c>
      <c r="L218" s="57">
        <f>6267.81454634216*Deflactores!$I$5</f>
        <v>14467.751022570554</v>
      </c>
      <c r="M218" s="57">
        <f>6160.3135561685*Deflactores!$J$5</f>
        <v>13940.54769506597</v>
      </c>
      <c r="N218" s="57">
        <f>6767.36789787486*Deflactores!$K$5</f>
        <v>14843.565390677259</v>
      </c>
      <c r="O218" s="57">
        <f>6930.39442165924*Deflactores!$L$5</f>
        <v>14655.002460062864</v>
      </c>
      <c r="P218" s="57">
        <f>7260.41663256747*Deflactores!$M$5</f>
        <v>14987.179784131955</v>
      </c>
      <c r="Q218" s="57">
        <f>7727.51678232076*Deflactores!$N$5</f>
        <v>15647.814956789325</v>
      </c>
      <c r="R218" s="57">
        <f>10626.2850223051*Deflactores!$O$5</f>
        <v>20757.927980928533</v>
      </c>
      <c r="S218" s="57">
        <f>13820.9990847834*Deflactores!$P$5</f>
        <v>25286.733750024738</v>
      </c>
      <c r="T218" s="57">
        <f>15605.5934499623*Deflactores!$Q$5</f>
        <v>26999.343871065659</v>
      </c>
      <c r="U218" s="57">
        <f>18628.9729237025*Deflactores!$R$5</f>
        <v>30963.698106758005</v>
      </c>
      <c r="V218" s="57">
        <f>10699.2805460466*Deflactores!$S$5</f>
        <v>17235.463409637065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850.67840782788*Deflactores!$A$5</f>
        <v>3167.6822241719592</v>
      </c>
      <c r="E220" s="57">
        <f>1006.46176377679*Deflactores!$B$5</f>
        <v>3481.4990931548959</v>
      </c>
      <c r="F220" s="57">
        <f>995.502265637309*Deflactores!$C$5</f>
        <v>3218.5525232740465</v>
      </c>
      <c r="G220" s="57">
        <f>1022.85641921872*Deflactores!$D$5</f>
        <v>3105.4078196317655</v>
      </c>
      <c r="H220" s="57">
        <f>1170.2192793716*Deflactores!$E$5</f>
        <v>3367.6827850802792</v>
      </c>
      <c r="I220" s="57">
        <f>1451.21555366581*Deflactores!$F$5</f>
        <v>3982.9607135786582</v>
      </c>
      <c r="J220" s="57">
        <f>2256.36529694469*Deflactores!$G$5</f>
        <v>5927.3268238427272</v>
      </c>
      <c r="K220" s="57">
        <f>2944.92996427918*Deflactores!$H$5</f>
        <v>7319.3447639033675</v>
      </c>
      <c r="L220" s="57">
        <f>4117.19677107537*Deflactores!$I$5</f>
        <v>9503.5641776625926</v>
      </c>
      <c r="M220" s="57">
        <f>5030.12426574385*Deflactores!$J$5</f>
        <v>11382.973707319647</v>
      </c>
      <c r="N220" s="57">
        <f>5373.02445823706*Deflactores!$K$5</f>
        <v>11785.208236808769</v>
      </c>
      <c r="O220" s="57">
        <f>5146.71917256394*Deflactores!$L$5</f>
        <v>10883.2452449538</v>
      </c>
      <c r="P220" s="57">
        <f>6975.16702838508*Deflactores!$M$5</f>
        <v>14398.358602430408</v>
      </c>
      <c r="Q220" s="57">
        <f>8125.95866607984*Deflactores!$N$5</f>
        <v>16454.638810263274</v>
      </c>
      <c r="R220" s="57">
        <f>8784.1908006498*Deflactores!$O$5</f>
        <v>17159.487029369102</v>
      </c>
      <c r="S220" s="57">
        <f>10029.6174647998*Deflactores!$P$5</f>
        <v>18350.067523426456</v>
      </c>
      <c r="T220" s="57">
        <f>9058.64187767232*Deflactores!$Q$5</f>
        <v>15672.418216219887</v>
      </c>
      <c r="U220" s="57">
        <f>10137.523377007*Deflactores!$R$5</f>
        <v>16849.840014339352</v>
      </c>
      <c r="V220" s="57">
        <f>10337.9541621424*Deflactores!$S$5</f>
        <v>16653.402995208689</v>
      </c>
    </row>
    <row r="221" spans="3:22" x14ac:dyDescent="0.2">
      <c r="C221" s="87" t="s">
        <v>137</v>
      </c>
      <c r="D221" s="56">
        <f>61.05987657869*Deflactores!$A$5</f>
        <v>227.36945462424958</v>
      </c>
      <c r="E221" s="56">
        <f>64.12166682799*Deflactores!$B$5</f>
        <v>221.80626522314355</v>
      </c>
      <c r="F221" s="56">
        <f>68.68233332447*Deflactores!$C$5</f>
        <v>222.0564481430923</v>
      </c>
      <c r="G221" s="56">
        <f>62.85087446058*Deflactores!$D$5</f>
        <v>190.81622146895305</v>
      </c>
      <c r="H221" s="56">
        <f>87.98363649121*Deflactores!$E$5</f>
        <v>253.20124459009145</v>
      </c>
      <c r="I221" s="56">
        <f>178.6396138784*Deflactores!$F$5</f>
        <v>490.28868397201433</v>
      </c>
      <c r="J221" s="56">
        <f>116.91517292484*Deflactores!$G$5</f>
        <v>307.12865577661046</v>
      </c>
      <c r="K221" s="56">
        <f>127.77724189538*Deflactores!$H$5</f>
        <v>317.57824388257751</v>
      </c>
      <c r="L221" s="56">
        <f>160.56388415491*Deflactores!$I$5</f>
        <v>370.62333002908963</v>
      </c>
      <c r="M221" s="56">
        <f>156.8202976525*Deflactores!$J$5</f>
        <v>354.87817609382108</v>
      </c>
      <c r="N221" s="56">
        <f>181.85941874354*Deflactores!$K$5</f>
        <v>398.89100382410015</v>
      </c>
      <c r="O221" s="56">
        <f>206.11638216198*Deflactores!$L$5</f>
        <v>435.8534166833017</v>
      </c>
      <c r="P221" s="56">
        <f>262.16957107366*Deflactores!$M$5</f>
        <v>541.17865329998881</v>
      </c>
      <c r="Q221" s="56">
        <f>314.64626460299*Deflactores!$N$5</f>
        <v>637.14213298335983</v>
      </c>
      <c r="R221" s="56">
        <f>491.095170246189*Deflactores!$O$5</f>
        <v>959.33039198123049</v>
      </c>
      <c r="S221" s="56">
        <f>313.001325561299*Deflactores!$P$5</f>
        <v>572.663461904673</v>
      </c>
      <c r="T221" s="56">
        <f>293.99129595538*Deflactores!$Q$5</f>
        <v>508.63635016832478</v>
      </c>
      <c r="U221" s="56">
        <f>310.36686766624*Deflactores!$R$5</f>
        <v>515.86880458289727</v>
      </c>
      <c r="V221" s="56">
        <f>566.32455164174*Deflactores!$S$5</f>
        <v>912.29181679949306</v>
      </c>
    </row>
    <row r="222" spans="3:22" x14ac:dyDescent="0.2">
      <c r="C222" s="88" t="s">
        <v>138</v>
      </c>
      <c r="D222" s="57">
        <f>147.11819346647*Deflactores!$A$5</f>
        <v>547.82592576432251</v>
      </c>
      <c r="E222" s="57">
        <f>175.5738163482*Deflactores!$B$5</f>
        <v>607.33562306850433</v>
      </c>
      <c r="F222" s="57">
        <f>174.225064620469*Deflactores!$C$5</f>
        <v>563.28603229527255</v>
      </c>
      <c r="G222" s="57">
        <f>180.967693714309*Deflactores!$D$5</f>
        <v>549.42070128512557</v>
      </c>
      <c r="H222" s="57">
        <f>208.87196315765*Deflactores!$E$5</f>
        <v>601.09633041567156</v>
      </c>
      <c r="I222" s="57">
        <f>223.69028418744*Deflactores!$F$5</f>
        <v>613.93334138216471</v>
      </c>
      <c r="J222" s="57">
        <f>231.7250296764*Deflactores!$G$5</f>
        <v>608.72678108306616</v>
      </c>
      <c r="K222" s="57">
        <f>272.38366298219*Deflactores!$H$5</f>
        <v>676.98382019400435</v>
      </c>
      <c r="L222" s="57">
        <f>338.93428912023*Deflactores!$I$5</f>
        <v>782.3487551757795</v>
      </c>
      <c r="M222" s="57">
        <f>285.91673285954*Deflactores!$J$5</f>
        <v>647.01834004126624</v>
      </c>
      <c r="N222" s="57">
        <f>288.11947145271*Deflactores!$K$5</f>
        <v>631.96212757676119</v>
      </c>
      <c r="O222" s="57">
        <f>291.408450517419*Deflactores!$L$5</f>
        <v>616.21190647810772</v>
      </c>
      <c r="P222" s="57">
        <f>161.967853108749*Deflactores!$M$5</f>
        <v>334.3391235844673</v>
      </c>
      <c r="Q222" s="57">
        <f>167.66013832703*Deflactores!$N$5</f>
        <v>339.50295988657331</v>
      </c>
      <c r="R222" s="57">
        <f>132.41477522366*Deflactores!$O$5</f>
        <v>258.66578601402165</v>
      </c>
      <c r="S222" s="57">
        <f>73.23585503259*Deflactores!$P$5</f>
        <v>133.99143982314612</v>
      </c>
      <c r="T222" s="57">
        <f>87.27512724723*Deflactores!$Q$5</f>
        <v>150.9952940587894</v>
      </c>
      <c r="U222" s="57">
        <f>87.29626979986*Deflactores!$R$5</f>
        <v>145.09738969504812</v>
      </c>
      <c r="V222" s="57">
        <f>91.983347156*Deflactores!$S$5</f>
        <v>148.17590840619465</v>
      </c>
    </row>
    <row r="223" spans="3:22" x14ac:dyDescent="0.2">
      <c r="C223" s="87" t="s">
        <v>139</v>
      </c>
      <c r="D223" s="56">
        <f>484.8634374601*Deflactores!$A$5</f>
        <v>1805.4922728261283</v>
      </c>
      <c r="E223" s="56">
        <f>607.73491004221*Deflactores!$B$5</f>
        <v>2102.2443319165859</v>
      </c>
      <c r="F223" s="56">
        <f>588.99374813547*Deflactores!$C$5</f>
        <v>1904.2722248757971</v>
      </c>
      <c r="G223" s="56">
        <f>620.79445657314*Deflactores!$D$5</f>
        <v>1884.7415175815117</v>
      </c>
      <c r="H223" s="56">
        <f>740.54863544711*Deflactores!$E$5</f>
        <v>2131.1671539449849</v>
      </c>
      <c r="I223" s="56">
        <f>886.35043575054*Deflactores!$F$5</f>
        <v>2432.6496192382269</v>
      </c>
      <c r="J223" s="56">
        <f>1039.70400965401*Deflactores!$G$5</f>
        <v>2731.2357062146912</v>
      </c>
      <c r="K223" s="56">
        <f>1212.85744215649*Deflactores!$H$5</f>
        <v>3014.4424065385906</v>
      </c>
      <c r="L223" s="56">
        <f>1274.00447807014*Deflactores!$I$5</f>
        <v>2940.7346777858115</v>
      </c>
      <c r="M223" s="56">
        <f>1711.04053891382*Deflactores!$J$5</f>
        <v>3872.0175561575024</v>
      </c>
      <c r="N223" s="56">
        <f>1938.41193451804*Deflactores!$K$5</f>
        <v>4251.718650189423</v>
      </c>
      <c r="O223" s="56">
        <f>3745.71896436314*Deflactores!$L$5</f>
        <v>7920.6921421224988</v>
      </c>
      <c r="P223" s="56">
        <f>2102.95945380215*Deflactores!$M$5</f>
        <v>4340.9948778280223</v>
      </c>
      <c r="Q223" s="56">
        <f>2753.79363026255*Deflactores!$N$5</f>
        <v>5576.2872303452023</v>
      </c>
      <c r="R223" s="56">
        <f>2826.10023451671*Deflactores!$O$5</f>
        <v>5520.6485626768426</v>
      </c>
      <c r="S223" s="56">
        <f>2816.34116863543*Deflactores!$P$5</f>
        <v>5152.7439401197043</v>
      </c>
      <c r="T223" s="56">
        <f>2758.16442671805*Deflactores!$Q$5</f>
        <v>4771.9191230168317</v>
      </c>
      <c r="U223" s="56">
        <f>2839.58647365268*Deflactores!$R$5</f>
        <v>4719.7501804485028</v>
      </c>
      <c r="V223" s="56">
        <f>3123.52174926534*Deflactores!$S$5</f>
        <v>5031.6789607466235</v>
      </c>
    </row>
    <row r="224" spans="3:22" x14ac:dyDescent="0.2">
      <c r="C224" s="88" t="s">
        <v>140</v>
      </c>
      <c r="D224" s="57">
        <f>278.73867058469*Deflactores!$A$5</f>
        <v>1037.9428040908929</v>
      </c>
      <c r="E224" s="57">
        <f>438.90382139608*Deflactores!$B$5</f>
        <v>1518.2327944964591</v>
      </c>
      <c r="F224" s="57">
        <f>296.52774341435*Deflactores!$C$5</f>
        <v>958.70210418459044</v>
      </c>
      <c r="G224" s="57">
        <f>352.32129499366*Deflactores!$D$5</f>
        <v>1069.6528700790675</v>
      </c>
      <c r="H224" s="57">
        <f>2490.39132788738*Deflactores!$E$5</f>
        <v>7166.902947918642</v>
      </c>
      <c r="I224" s="57">
        <f>2619.22121466278*Deflactores!$F$5</f>
        <v>7188.6324342524204</v>
      </c>
      <c r="J224" s="57">
        <f>753.38780506645*Deflactores!$G$5</f>
        <v>1979.1014122461172</v>
      </c>
      <c r="K224" s="57">
        <f>2374.6117771994*Deflactores!$H$5</f>
        <v>5901.8728759486439</v>
      </c>
      <c r="L224" s="57">
        <f>1649.3775517572*Deflactores!$I$5</f>
        <v>3807.1936533231114</v>
      </c>
      <c r="M224" s="57">
        <f>6391.96980812418*Deflactores!$J$5</f>
        <v>14464.776697340485</v>
      </c>
      <c r="N224" s="57">
        <f>2133.23679415905*Deflactores!$K$5</f>
        <v>4679.0480916283886</v>
      </c>
      <c r="O224" s="57">
        <f>2633.35981804258*Deflactores!$L$5</f>
        <v>5568.4990295841244</v>
      </c>
      <c r="P224" s="57">
        <f>2393.7729277478*Deflactores!$M$5</f>
        <v>4941.3011740426191</v>
      </c>
      <c r="Q224" s="57">
        <f>2875.65653265813*Deflactores!$N$5</f>
        <v>5823.0531967609522</v>
      </c>
      <c r="R224" s="57">
        <f>2590.72051515071*Deflactores!$O$5</f>
        <v>5060.845795057242</v>
      </c>
      <c r="S224" s="57">
        <f>3092.6431988391*Deflactores!$P$5</f>
        <v>5658.2628124886178</v>
      </c>
      <c r="T224" s="57">
        <f>2910.96344154161*Deflactores!$Q$5</f>
        <v>5036.2777427392566</v>
      </c>
      <c r="U224" s="57">
        <f>3264.26141829479*Deflactores!$R$5</f>
        <v>5425.6133986333189</v>
      </c>
      <c r="V224" s="57">
        <f>3808.71846638707*Deflactores!$S$5</f>
        <v>6135.4618642352798</v>
      </c>
    </row>
    <row r="225" spans="2:22" x14ac:dyDescent="0.2">
      <c r="C225" s="87" t="s">
        <v>141</v>
      </c>
      <c r="D225" s="56">
        <f>331.4965143222*Deflactores!$A$5</f>
        <v>1234.3978713115084</v>
      </c>
      <c r="E225" s="56">
        <f>326.31665537064*Deflactores!$B$5</f>
        <v>1128.7772478221798</v>
      </c>
      <c r="F225" s="56">
        <f>349.9234091645*Deflactores!$C$5</f>
        <v>1131.3353172511845</v>
      </c>
      <c r="G225" s="56">
        <f>356.3717167347*Deflactores!$D$5</f>
        <v>1081.9500127777853</v>
      </c>
      <c r="H225" s="56">
        <f>382.70238872206*Deflactores!$E$5</f>
        <v>1101.3493530891669</v>
      </c>
      <c r="I225" s="56">
        <f>434.63290751267*Deflactores!$F$5</f>
        <v>1192.8798523958485</v>
      </c>
      <c r="J225" s="56">
        <f>501.589129461639*Deflactores!$G$5</f>
        <v>1317.6424516153043</v>
      </c>
      <c r="K225" s="56">
        <f>568.47644249831*Deflactores!$H$5</f>
        <v>1412.894406071508</v>
      </c>
      <c r="L225" s="56">
        <f>660.63340996333*Deflactores!$I$5</f>
        <v>1524.9142459262985</v>
      </c>
      <c r="M225" s="56">
        <f>748.75178067771*Deflactores!$J$5</f>
        <v>1694.3958801985509</v>
      </c>
      <c r="N225" s="56">
        <f>829.28647848606*Deflactores!$K$5</f>
        <v>1818.9594916034998</v>
      </c>
      <c r="O225" s="56">
        <f>864.11494485067*Deflactores!$L$5</f>
        <v>1827.2562674047342</v>
      </c>
      <c r="P225" s="56">
        <f>990.790870488039*Deflactores!$M$5</f>
        <v>2045.2215975971885</v>
      </c>
      <c r="Q225" s="56">
        <f>1110.97696186676*Deflactores!$N$5</f>
        <v>2249.6699017619089</v>
      </c>
      <c r="R225" s="56">
        <f>1234.09479916246*Deflactores!$O$5</f>
        <v>2410.7438214654444</v>
      </c>
      <c r="S225" s="56">
        <f>1297.97748430956*Deflactores!$P$5</f>
        <v>2374.763999181404</v>
      </c>
      <c r="T225" s="56">
        <f>1436.19019104751*Deflactores!$Q$5</f>
        <v>2484.7624639636429</v>
      </c>
      <c r="U225" s="56">
        <f>1597.19964162511*Deflactores!$R$5</f>
        <v>2654.7468677984843</v>
      </c>
      <c r="V225" s="56">
        <f>1732.97311843895*Deflactores!$S$5</f>
        <v>2791.6451619520949</v>
      </c>
    </row>
    <row r="226" spans="2:22" x14ac:dyDescent="0.2">
      <c r="C226" s="88" t="s">
        <v>142</v>
      </c>
      <c r="D226" s="57">
        <f>104.84427173628*Deflactores!$A$5</f>
        <v>390.40997494374642</v>
      </c>
      <c r="E226" s="57">
        <f>274.33863748824*Deflactores!$B$5</f>
        <v>948.97764824027502</v>
      </c>
      <c r="F226" s="57">
        <f>116.855616179789*Deflactores!$C$5</f>
        <v>377.80520577060133</v>
      </c>
      <c r="G226" s="57">
        <f>110.96458620939*Deflactores!$D$5</f>
        <v>336.89019029674608</v>
      </c>
      <c r="H226" s="57">
        <f>204.6908372228*Deflactores!$E$5</f>
        <v>589.06379422244777</v>
      </c>
      <c r="I226" s="57">
        <f>89.68740909649*Deflactores!$F$5</f>
        <v>246.1532513427284</v>
      </c>
      <c r="J226" s="57">
        <f>123.475751287849*Deflactores!$G$5</f>
        <v>324.36287408498515</v>
      </c>
      <c r="K226" s="57">
        <f>209.11009018618*Deflactores!$H$5</f>
        <v>519.7233422351369</v>
      </c>
      <c r="L226" s="57">
        <f>234.476219478349*Deflactores!$I$5</f>
        <v>541.23228105179066</v>
      </c>
      <c r="M226" s="57">
        <f>388.54979005678*Deflactores!$J$5</f>
        <v>879.27291862775655</v>
      </c>
      <c r="N226" s="57">
        <f>408.75087080791*Deflactores!$K$5</f>
        <v>896.55540690181635</v>
      </c>
      <c r="O226" s="57">
        <f>355.986465884319*Deflactores!$L$5</f>
        <v>752.76848846861969</v>
      </c>
      <c r="P226" s="57">
        <f>550.920808289336*Deflactores!$M$5</f>
        <v>1137.2280157608222</v>
      </c>
      <c r="Q226" s="57">
        <f>401.33351556564*Deflactores!$N$5</f>
        <v>812.67925575993763</v>
      </c>
      <c r="R226" s="57">
        <f>397.78579724981*Deflactores!$O$5</f>
        <v>777.05509628393224</v>
      </c>
      <c r="S226" s="57">
        <f>324.227407333473*Deflactores!$P$5</f>
        <v>593.20256613929428</v>
      </c>
      <c r="T226" s="57">
        <f>368.24813616203*Deflactores!$Q$5</f>
        <v>637.1086168556875</v>
      </c>
      <c r="U226" s="57">
        <f>393.602880587909*Deflactores!$R$5</f>
        <v>654.21753622110566</v>
      </c>
      <c r="V226" s="57">
        <f>346.847336517788*Deflactores!$S$5</f>
        <v>558.73612730823436</v>
      </c>
    </row>
    <row r="227" spans="2:22" x14ac:dyDescent="0.2">
      <c r="C227" s="87" t="s">
        <v>143</v>
      </c>
      <c r="D227" s="56">
        <f>519.34846388923*Deflactores!$A$5</f>
        <v>1933.9046131588073</v>
      </c>
      <c r="E227" s="56">
        <f>434.53259556806*Deflactores!$B$5</f>
        <v>1503.1120822111566</v>
      </c>
      <c r="F227" s="56">
        <f>581.73350719791*Deflactores!$C$5</f>
        <v>1880.7991825776944</v>
      </c>
      <c r="G227" s="56">
        <f>493.253587233749*Deflactores!$D$5</f>
        <v>1497.5254767693496</v>
      </c>
      <c r="H227" s="56">
        <f>544.38970826548*Deflactores!$E$5</f>
        <v>1566.6566781270426</v>
      </c>
      <c r="I227" s="56">
        <f>536.00393416154*Deflactores!$F$5</f>
        <v>1471.0995941962199</v>
      </c>
      <c r="J227" s="56">
        <f>193.70758400371*Deflactores!$G$5</f>
        <v>508.85739122192484</v>
      </c>
      <c r="K227" s="56">
        <f>323.4822294536*Deflactores!$H$5</f>
        <v>803.98447198608437</v>
      </c>
      <c r="L227" s="56">
        <f>279.03868379348*Deflactores!$I$5</f>
        <v>644.09407345114494</v>
      </c>
      <c r="M227" s="56">
        <f>273.710360827189*Deflactores!$J$5</f>
        <v>619.39579941095712</v>
      </c>
      <c r="N227" s="56">
        <f>278.476700110319*Deflactores!$K$5</f>
        <v>610.81164349962421</v>
      </c>
      <c r="O227" s="56">
        <f>258.214570902429*Deflactores!$L$5</f>
        <v>546.02017454775614</v>
      </c>
      <c r="P227" s="56">
        <f>321.70650642284*Deflactores!$M$5</f>
        <v>664.07666301914526</v>
      </c>
      <c r="Q227" s="56">
        <f>423.04089814125*Deflactores!$N$5</f>
        <v>856.63556349860107</v>
      </c>
      <c r="R227" s="56">
        <f>400.465229152289*Deflactores!$O$5</f>
        <v>782.28923543460564</v>
      </c>
      <c r="S227" s="56">
        <f>453.70967117815*Deflactores!$P$5</f>
        <v>830.10175925157819</v>
      </c>
      <c r="T227" s="56">
        <f>503.69324227082*Deflactores!$Q$5</f>
        <v>871.4431205200151</v>
      </c>
      <c r="U227" s="56">
        <f>965.463301785449*Deflactores!$R$5</f>
        <v>1604.7215448792954</v>
      </c>
      <c r="V227" s="56">
        <f>613.92871019729*Deflactores!$S$5</f>
        <v>988.97732190421823</v>
      </c>
    </row>
    <row r="228" spans="2:22" x14ac:dyDescent="0.2">
      <c r="C228" s="88" t="s">
        <v>144</v>
      </c>
      <c r="D228" s="57">
        <f>651.603211265379*Deflactores!$A$5</f>
        <v>2426.3833318740303</v>
      </c>
      <c r="E228" s="57">
        <f>768.78315157199*Deflactores!$B$5</f>
        <v>2659.3338578376793</v>
      </c>
      <c r="F228" s="57">
        <f>757.37753802298*Deflactores!$C$5</f>
        <v>2448.6728661681004</v>
      </c>
      <c r="G228" s="57">
        <f>758.64414113991*Deflactores!$D$5</f>
        <v>2303.2552799670439</v>
      </c>
      <c r="H228" s="57">
        <f>857.92111038983*Deflactores!$E$5</f>
        <v>2468.9442443370726</v>
      </c>
      <c r="I228" s="57">
        <f>1001.1944786702*Deflactores!$F$5</f>
        <v>2747.8469791218736</v>
      </c>
      <c r="J228" s="57">
        <f>1141.28755112517*Deflactores!$G$5</f>
        <v>2998.0891501310052</v>
      </c>
      <c r="K228" s="57">
        <f>1251.92743625646*Deflactores!$H$5</f>
        <v>3111.5471798982335</v>
      </c>
      <c r="L228" s="57">
        <f>1382.48460054591*Deflactores!$I$5</f>
        <v>3191.1350990607721</v>
      </c>
      <c r="M228" s="57">
        <f>1591.79816597595*Deflactores!$J$5</f>
        <v>3602.1767482089026</v>
      </c>
      <c r="N228" s="57">
        <f>1706.0588827173*Deflactores!$K$5</f>
        <v>3742.0747575896471</v>
      </c>
      <c r="O228" s="57">
        <f>1844.54177571752*Deflactores!$L$5</f>
        <v>3900.4654881326614</v>
      </c>
      <c r="P228" s="57">
        <f>2123.5887388934*Deflactores!$M$5</f>
        <v>4383.5784952879121</v>
      </c>
      <c r="Q228" s="57">
        <f>2573.40625712867*Deflactores!$N$5</f>
        <v>5211.0122895261738</v>
      </c>
      <c r="R228" s="57">
        <f>2816.204692881*Deflactores!$O$5</f>
        <v>5501.318106155567</v>
      </c>
      <c r="S228" s="57">
        <f>2925.89222470222*Deflactores!$P$5</f>
        <v>5353.1772351225854</v>
      </c>
      <c r="T228" s="57">
        <f>3162.40046426952*Deflactores!$Q$5</f>
        <v>5471.2906539953938</v>
      </c>
      <c r="U228" s="57">
        <f>3462.24762919294*Deflactores!$R$5</f>
        <v>5754.6914046328484</v>
      </c>
      <c r="V228" s="57">
        <f>4024.01833501514*Deflactores!$S$5</f>
        <v>6482.2882692321946</v>
      </c>
    </row>
    <row r="229" spans="2:22" x14ac:dyDescent="0.2">
      <c r="C229" s="87" t="s">
        <v>145</v>
      </c>
      <c r="D229" s="56">
        <f>162.86828866117*Deflactores!$A$5</f>
        <v>606.47475958703546</v>
      </c>
      <c r="E229" s="56">
        <f>129.521367984739*Deflactores!$B$5</f>
        <v>448.0334389365396</v>
      </c>
      <c r="F229" s="56">
        <f>195.18221528276*Deflactores!$C$5</f>
        <v>631.04247291127592</v>
      </c>
      <c r="G229" s="56">
        <f>241.405617519489*Deflactores!$D$5</f>
        <v>732.91116745463171</v>
      </c>
      <c r="H229" s="56">
        <f>137.96290002252*Deflactores!$E$5</f>
        <v>397.03266864231432</v>
      </c>
      <c r="I229" s="56">
        <f>195.52114332484*Deflactores!$F$5</f>
        <v>536.62120046168786</v>
      </c>
      <c r="J229" s="56">
        <f>478.85840088375*Deflactores!$G$5</f>
        <v>1257.9302864762424</v>
      </c>
      <c r="K229" s="56">
        <f>330.13499634437*Deflactores!$H$5</f>
        <v>820.51929457883352</v>
      </c>
      <c r="L229" s="56">
        <f>322.29767710058*Deflactores!$I$5</f>
        <v>743.94711473479549</v>
      </c>
      <c r="M229" s="56">
        <f>344.87103264158*Deflactores!$J$5</f>
        <v>780.42960562819383</v>
      </c>
      <c r="N229" s="56">
        <f>707.77560472435*Deflactores!$K$5</f>
        <v>1552.4371704324183</v>
      </c>
      <c r="O229" s="56">
        <f>530.47093129209*Deflactores!$L$5</f>
        <v>1121.7330977269535</v>
      </c>
      <c r="P229" s="56">
        <f>416.5564495479*Deflactores!$M$5</f>
        <v>859.86889121628587</v>
      </c>
      <c r="Q229" s="56">
        <f>532.24238499859*Deflactores!$N$5</f>
        <v>1077.7628295382269</v>
      </c>
      <c r="R229" s="56">
        <f>1081.36811758866*Deflactores!$O$5</f>
        <v>2112.3997200018989</v>
      </c>
      <c r="S229" s="56">
        <f>838.95819733716*Deflactores!$P$5</f>
        <v>1534.947830712337</v>
      </c>
      <c r="T229" s="56">
        <f>721.61593149353*Deflactores!$Q$5</f>
        <v>1248.4726543533172</v>
      </c>
      <c r="U229" s="56">
        <f>761.74939752261*Deflactores!$R$5</f>
        <v>1266.1233914771867</v>
      </c>
      <c r="V229" s="56">
        <f>1823.78899135751*Deflactores!$S$5</f>
        <v>2937.9403869408866</v>
      </c>
    </row>
    <row r="230" spans="2:22" x14ac:dyDescent="0.2">
      <c r="C230" s="88" t="s">
        <v>146</v>
      </c>
      <c r="D230" s="57">
        <f>189.67614194636*Deflactores!$A$5</f>
        <v>706.29951067780019</v>
      </c>
      <c r="E230" s="57">
        <f>204.624024604049*Deflactores!$B$5</f>
        <v>707.82456098818591</v>
      </c>
      <c r="F230" s="57">
        <f>199.01195629783*Deflactores!$C$5</f>
        <v>643.4243860751285</v>
      </c>
      <c r="G230" s="57">
        <f>213.7177854897*Deflactores!$D$5</f>
        <v>648.85048359087637</v>
      </c>
      <c r="H230" s="57">
        <f>213.111016007869*Deflactores!$E$5</f>
        <v>613.29556996024144</v>
      </c>
      <c r="I230" s="57">
        <f>259.97727299458*Deflactores!$F$5</f>
        <v>713.52547328002186</v>
      </c>
      <c r="J230" s="57">
        <f>261.49198880641*Deflactores!$G$5</f>
        <v>686.9226723044261</v>
      </c>
      <c r="K230" s="57">
        <f>253.14528251635*Deflactores!$H$5</f>
        <v>629.16864596690084</v>
      </c>
      <c r="L230" s="57">
        <f>258.45219428857*Deflactores!$I$5</f>
        <v>596.57508539180355</v>
      </c>
      <c r="M230" s="57">
        <f>275.82087038871*Deflactores!$J$5</f>
        <v>624.17179968026414</v>
      </c>
      <c r="N230" s="57">
        <f>320.82054443847*Deflactores!$K$5</f>
        <v>703.68876081652741</v>
      </c>
      <c r="O230" s="57">
        <f>353.989538474867*Deflactores!$L$5</f>
        <v>748.54578853012481</v>
      </c>
      <c r="P230" s="57">
        <f>587.289055004951*Deflactores!$M$5</f>
        <v>1212.3004915627848</v>
      </c>
      <c r="Q230" s="57">
        <f>576.149773761403*Deflactores!$N$5</f>
        <v>1166.6729819132013</v>
      </c>
      <c r="R230" s="57">
        <f>643.094560661233*Deflactores!$O$5</f>
        <v>1256.2537657433325</v>
      </c>
      <c r="S230" s="57">
        <f>814.727557090594*Deflactores!$P$5</f>
        <v>1490.6157426520658</v>
      </c>
      <c r="T230" s="57">
        <f>970.638021477386*Deflactores!$Q$5</f>
        <v>1679.307473966142</v>
      </c>
      <c r="U230" s="57">
        <f>891.006933013587*Deflactores!$R$5</f>
        <v>1480.9656870432439</v>
      </c>
      <c r="V230" s="57">
        <f>817.33229387514*Deflactores!$S$5</f>
        <v>1316.6400099495388</v>
      </c>
    </row>
    <row r="231" spans="2:22" x14ac:dyDescent="0.2">
      <c r="C231" s="90" t="s">
        <v>147</v>
      </c>
      <c r="D231" s="58">
        <f>4801.66123655999*Deflactores!$A$5</f>
        <v>17880.008244695142</v>
      </c>
      <c r="E231" s="58">
        <f>6489.5945976592*Deflactores!$B$5</f>
        <v>22448.461054208652</v>
      </c>
      <c r="F231" s="58">
        <f>7516.56890423311*Deflactores!$C$5</f>
        <v>24301.774740407014</v>
      </c>
      <c r="G231" s="58">
        <f>8343.37622310467*Deflactores!$D$5</f>
        <v>25330.618529186424</v>
      </c>
      <c r="H231" s="58">
        <f>10517.3973374364*Deflactores!$E$5</f>
        <v>30267.197423164689</v>
      </c>
      <c r="I231" s="58">
        <f>13701.909543934*Deflactores!$F$5</f>
        <v>37605.831385035643</v>
      </c>
      <c r="J231" s="58">
        <f>15092.6279285219*Deflactores!$G$5</f>
        <v>39647.364938709507</v>
      </c>
      <c r="K231" s="58">
        <f>17111.3338741922*Deflactores!$H$5</f>
        <v>42528.601194129413</v>
      </c>
      <c r="L231" s="58">
        <f>18989.3340223265*Deflactores!$I$5</f>
        <v>43832.336564549398</v>
      </c>
      <c r="M231" s="58">
        <f>19927.9792076336*Deflactores!$J$5</f>
        <v>45096.234481785927</v>
      </c>
      <c r="N231" s="58">
        <f>20054.4913758102*Deflactores!$K$5</f>
        <v>43987.582558810143</v>
      </c>
      <c r="O231" s="58">
        <f>20703.7381342028*Deflactores!$L$5</f>
        <v>43780.096027578998</v>
      </c>
      <c r="P231" s="58">
        <f>23573.6346259336*Deflactores!$M$5</f>
        <v>48661.436138461431</v>
      </c>
      <c r="Q231" s="58">
        <f>28265.2954945901*Deflactores!$N$5</f>
        <v>57235.736402436705</v>
      </c>
      <c r="R231" s="58">
        <f>31655.4594451141*Deflactores!$O$5</f>
        <v>61837.391523528051</v>
      </c>
      <c r="S231" s="58">
        <f>32006.668237379*Deflactores!$P$5</f>
        <v>58559.015377914715</v>
      </c>
      <c r="T231" s="58">
        <f>34274.1266870674*Deflactores!$Q$5</f>
        <v>59297.900798949544</v>
      </c>
      <c r="U231" s="58">
        <f>37149.9971082152*Deflactores!$R$5</f>
        <v>61747.971819859544</v>
      </c>
      <c r="V231" s="58">
        <f>46000.2904956762*Deflactores!$S$5</f>
        <v>74101.835189643374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0.22928537086989412</v>
      </c>
      <c r="V232" s="59">
        <f>120.319795553179*Deflactores!$S$5</f>
        <v>193.82307294279607</v>
      </c>
    </row>
    <row r="233" spans="2:22" x14ac:dyDescent="0.2">
      <c r="C233" s="87" t="s">
        <v>149</v>
      </c>
      <c r="D233" s="56">
        <f>169.42402114659*Deflactores!$A$5</f>
        <v>630.88642569892932</v>
      </c>
      <c r="E233" s="56">
        <f>149.61616603736*Deflactores!$B$5</f>
        <v>517.54429738664385</v>
      </c>
      <c r="F233" s="56">
        <f>120.16496513471*Deflactores!$C$5</f>
        <v>388.50464242375295</v>
      </c>
      <c r="G233" s="56">
        <f>126.31937811507*Deflactores!$D$5</f>
        <v>383.50757466936255</v>
      </c>
      <c r="H233" s="56">
        <f>211.10386242088*Deflactores!$E$5</f>
        <v>607.51933921351781</v>
      </c>
      <c r="I233" s="56">
        <f>91.9670290025799*Deflactores!$F$5</f>
        <v>252.40982467183346</v>
      </c>
      <c r="J233" s="56">
        <f>256.657457190679*Deflactores!$G$5</f>
        <v>674.22266802522506</v>
      </c>
      <c r="K233" s="56">
        <f>379.48000777413*Deflactores!$H$5</f>
        <v>943.16165124403483</v>
      </c>
      <c r="L233" s="56">
        <f>434.218503025909*Deflactores!$I$5</f>
        <v>1002.2895771283414</v>
      </c>
      <c r="M233" s="56">
        <f>635.25627486534*Deflactores!$J$5</f>
        <v>1437.5600069062427</v>
      </c>
      <c r="N233" s="56">
        <f>688.58569237485*Deflactores!$K$5</f>
        <v>1510.3459581472671</v>
      </c>
      <c r="O233" s="56">
        <f>908.77566557938*Deflactores!$L$5</f>
        <v>1921.6957656967704</v>
      </c>
      <c r="P233" s="56">
        <f>888.81470912145*Deflactores!$M$5</f>
        <v>1834.7192061447215</v>
      </c>
      <c r="Q233" s="56">
        <f>1083.53068816234*Deflactores!$N$5</f>
        <v>2194.092641397659</v>
      </c>
      <c r="R233" s="56">
        <f>1558.05970636825*Deflactores!$O$5</f>
        <v>3043.5934201737618</v>
      </c>
      <c r="S233" s="56">
        <f>1282.87530941286*Deflactores!$P$5</f>
        <v>2347.1332415699949</v>
      </c>
      <c r="T233" s="56">
        <f>1083.8850099488*Deflactores!$Q$5</f>
        <v>1875.236862611705</v>
      </c>
      <c r="U233" s="56">
        <f>1053.41298792114*Deflactores!$R$5</f>
        <v>1750.904994779786</v>
      </c>
      <c r="V233" s="56">
        <f>1185.75721917907*Deflactores!$S$5</f>
        <v>1910.1354596618542</v>
      </c>
    </row>
    <row r="234" spans="2:22" x14ac:dyDescent="0.2">
      <c r="C234" s="88" t="s">
        <v>150</v>
      </c>
      <c r="D234" s="57">
        <f>710.6718386997*Deflactores!$A$5</f>
        <v>2646.3379462243611</v>
      </c>
      <c r="E234" s="57">
        <f>1310.42666840421*Deflactores!$B$5</f>
        <v>4532.9583516170715</v>
      </c>
      <c r="F234" s="57">
        <f>852.87997947447*Deflactores!$C$5</f>
        <v>2757.4412482427956</v>
      </c>
      <c r="G234" s="57">
        <f>855.05354285731*Deflactores!$D$5</f>
        <v>2595.9557062965923</v>
      </c>
      <c r="H234" s="57">
        <f>1044.00926729736*Deflactores!$E$5</f>
        <v>3004.4728359197829</v>
      </c>
      <c r="I234" s="57">
        <f>1329.05606332228*Deflactores!$F$5</f>
        <v>3647.6856060317355</v>
      </c>
      <c r="J234" s="57">
        <f>1695.86523669854*Deflactores!$G$5</f>
        <v>4454.9291379001625</v>
      </c>
      <c r="K234" s="57">
        <f>2331.58665907746*Deflactores!$H$5</f>
        <v>5794.9380160837409</v>
      </c>
      <c r="L234" s="57">
        <f>2012.62997777102*Deflactores!$I$5</f>
        <v>4645.6750121852228</v>
      </c>
      <c r="M234" s="57">
        <f>2822.91157390977*Deflactores!$J$5</f>
        <v>6388.1380511285288</v>
      </c>
      <c r="N234" s="57">
        <f>2879.68836024903*Deflactores!$K$5</f>
        <v>6316.3172336990438</v>
      </c>
      <c r="O234" s="57">
        <f>3691.7343323927*Deflactores!$L$5</f>
        <v>7806.5363140126492</v>
      </c>
      <c r="P234" s="57">
        <f>5905.67891817859*Deflactores!$M$5</f>
        <v>12190.687693744818</v>
      </c>
      <c r="Q234" s="57">
        <f>5934.82122480479*Deflactores!$N$5</f>
        <v>12017.700762531496</v>
      </c>
      <c r="R234" s="57">
        <f>5931.45502761803*Deflactores!$O$5</f>
        <v>11586.807245144155</v>
      </c>
      <c r="S234" s="57">
        <f>5241.71367924821*Deflactores!$P$5</f>
        <v>9590.1763242964043</v>
      </c>
      <c r="T234" s="57">
        <f>3974.84731708563*Deflactores!$Q$5</f>
        <v>6876.9105060363436</v>
      </c>
      <c r="U234" s="57">
        <f>4137.15985980063*Deflactores!$R$5</f>
        <v>6876.4804932039078</v>
      </c>
      <c r="V234" s="57">
        <f>3920.27935701715*Deflactores!$S$5</f>
        <v>6315.1752234771538</v>
      </c>
    </row>
    <row r="235" spans="2:22" x14ac:dyDescent="0.2">
      <c r="C235" s="87" t="s">
        <v>151</v>
      </c>
      <c r="D235" s="56">
        <f>102.62553094401*Deflactores!$A$5</f>
        <v>382.14802106899731</v>
      </c>
      <c r="E235" s="56">
        <f>56.12031383494*Deflactores!$B$5</f>
        <v>194.12840979743686</v>
      </c>
      <c r="F235" s="56">
        <f>79.36781270879*Deflactores!$C$5</f>
        <v>256.60360872918977</v>
      </c>
      <c r="G235" s="56">
        <f>58.11579675183*Deflactores!$D$5</f>
        <v>176.44045272269261</v>
      </c>
      <c r="H235" s="56">
        <f>29.9712437914*Deflactores!$E$5</f>
        <v>86.251904701093878</v>
      </c>
      <c r="I235" s="56">
        <f>38.39018128682*Deflactores!$F$5</f>
        <v>105.36448804336507</v>
      </c>
      <c r="J235" s="56">
        <f>128.79955595091*Deflactores!$G$5</f>
        <v>338.3481672584752</v>
      </c>
      <c r="K235" s="56">
        <f>303.05471304116*Deflactores!$H$5</f>
        <v>753.21381288501505</v>
      </c>
      <c r="L235" s="56">
        <f>211.56625805128*Deflactores!$I$5</f>
        <v>488.35011368502256</v>
      </c>
      <c r="M235" s="56">
        <f>247.00716585591*Deflactores!$J$5</f>
        <v>558.96751768250374</v>
      </c>
      <c r="N235" s="56">
        <f>184.41300274062*Deflactores!$K$5</f>
        <v>404.49204275286104</v>
      </c>
      <c r="O235" s="56">
        <f>790.501183071729*Deflactores!$L$5</f>
        <v>1671.5927085467697</v>
      </c>
      <c r="P235" s="56">
        <f>2083.90812294276*Deflactores!$M$5</f>
        <v>4301.6685229965515</v>
      </c>
      <c r="Q235" s="56">
        <f>2012.63460090615*Deflactores!$N$5</f>
        <v>4075.4791866207706</v>
      </c>
      <c r="R235" s="56">
        <f>2229.53886662888*Deflactores!$O$5</f>
        <v>4355.2951127339447</v>
      </c>
      <c r="S235" s="56">
        <f>2130.09994283383*Deflactores!$P$5</f>
        <v>3897.2052443505468</v>
      </c>
      <c r="T235" s="56">
        <f>2067.46919018956*Deflactores!$Q$5</f>
        <v>3576.9425743239794</v>
      </c>
      <c r="U235" s="56">
        <f>2294.6695789907*Deflactores!$R$5</f>
        <v>3814.0297046772498</v>
      </c>
      <c r="V235" s="56">
        <f>2303.41686545827*Deflactores!$S$5</f>
        <v>3710.5725876508855</v>
      </c>
    </row>
    <row r="236" spans="2:22" x14ac:dyDescent="0.2">
      <c r="C236" s="79" t="s">
        <v>152</v>
      </c>
      <c r="D236" s="44">
        <f t="shared" ref="D236:V236" si="63">+SUM(D207:D235)</f>
        <v>97597.826042034052</v>
      </c>
      <c r="E236" s="44">
        <f t="shared" si="63"/>
        <v>118912.77077721512</v>
      </c>
      <c r="F236" s="44">
        <f t="shared" si="63"/>
        <v>114256.53886276277</v>
      </c>
      <c r="G236" s="44">
        <f t="shared" si="63"/>
        <v>115471.96463054777</v>
      </c>
      <c r="H236" s="44">
        <f t="shared" si="63"/>
        <v>132492.26574635884</v>
      </c>
      <c r="I236" s="44">
        <f t="shared" si="63"/>
        <v>147978.0809847262</v>
      </c>
      <c r="J236" s="44">
        <f t="shared" si="63"/>
        <v>149913.24352176624</v>
      </c>
      <c r="K236" s="44">
        <f t="shared" si="63"/>
        <v>168299.53374372228</v>
      </c>
      <c r="L236" s="44">
        <f t="shared" si="63"/>
        <v>177038.57212529791</v>
      </c>
      <c r="M236" s="44">
        <f t="shared" si="63"/>
        <v>201112.4686098196</v>
      </c>
      <c r="N236" s="44">
        <f t="shared" si="63"/>
        <v>196048.01915592756</v>
      </c>
      <c r="O236" s="44">
        <f t="shared" si="63"/>
        <v>203543.46686533091</v>
      </c>
      <c r="P236" s="44">
        <f t="shared" si="63"/>
        <v>219689.11692507489</v>
      </c>
      <c r="Q236" s="44">
        <f t="shared" si="63"/>
        <v>245078.41260122618</v>
      </c>
      <c r="R236" s="44">
        <f t="shared" si="63"/>
        <v>256214.58145889398</v>
      </c>
      <c r="S236" s="44">
        <f t="shared" si="63"/>
        <v>253903.25984980349</v>
      </c>
      <c r="T236" s="44">
        <f t="shared" si="63"/>
        <v>248800.30402031686</v>
      </c>
      <c r="U236" s="44">
        <f t="shared" si="63"/>
        <v>264736.71838196169</v>
      </c>
      <c r="V236" s="44">
        <f t="shared" si="63"/>
        <v>269395.97649391583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customHeight="1" x14ac:dyDescent="0.2">
      <c r="D241" s="155" t="s">
        <v>159</v>
      </c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</row>
    <row r="242" spans="3:22" x14ac:dyDescent="0.2">
      <c r="H242" s="27"/>
      <c r="I242" s="27"/>
      <c r="J242" s="27"/>
      <c r="L242" s="177"/>
      <c r="M242" s="156"/>
      <c r="N242" s="156"/>
      <c r="O242" s="156"/>
      <c r="P242" s="156"/>
      <c r="Q242" s="156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6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60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4">+IFERROR(IF(D207&gt;0,+((D207/D14)*100)," "),"")</f>
        <v>60.160546682464989</v>
      </c>
      <c r="E246" s="60">
        <f t="shared" si="64"/>
        <v>63.457511373096565</v>
      </c>
      <c r="F246" s="60">
        <f t="shared" si="64"/>
        <v>58.509631515480621</v>
      </c>
      <c r="G246" s="60">
        <f t="shared" si="64"/>
        <v>66.100723644467948</v>
      </c>
      <c r="H246" s="60">
        <f t="shared" si="64"/>
        <v>65.161453767044762</v>
      </c>
      <c r="I246" s="60">
        <f t="shared" si="64"/>
        <v>72.924475103273707</v>
      </c>
      <c r="J246" s="60">
        <f t="shared" si="64"/>
        <v>78.03301904512216</v>
      </c>
      <c r="K246" s="60">
        <f t="shared" si="64"/>
        <v>88.766811840723463</v>
      </c>
      <c r="L246" s="60">
        <f t="shared" si="64"/>
        <v>91.485988038595295</v>
      </c>
      <c r="M246" s="60">
        <f t="shared" si="64"/>
        <v>76.297830517400584</v>
      </c>
      <c r="N246" s="60">
        <f t="shared" si="64"/>
        <v>77.380378930863117</v>
      </c>
      <c r="O246" s="60">
        <f t="shared" si="64"/>
        <v>77.05141809103506</v>
      </c>
      <c r="P246" s="60">
        <f t="shared" si="64"/>
        <v>61.938219361280829</v>
      </c>
      <c r="Q246" s="60">
        <f t="shared" si="64"/>
        <v>67.658759684932363</v>
      </c>
      <c r="R246" s="60">
        <f t="shared" si="64"/>
        <v>57.114464856097968</v>
      </c>
      <c r="S246" s="60">
        <f t="shared" si="64"/>
        <v>58.793721003455033</v>
      </c>
      <c r="T246" s="60">
        <f t="shared" si="64"/>
        <v>50.50958191650782</v>
      </c>
      <c r="U246" s="60">
        <f t="shared" si="64"/>
        <v>60.710439166762953</v>
      </c>
      <c r="V246" s="60">
        <f t="shared" si="64"/>
        <v>60.355080710273015</v>
      </c>
    </row>
    <row r="247" spans="3:22" x14ac:dyDescent="0.2">
      <c r="C247" s="88" t="s">
        <v>124</v>
      </c>
      <c r="D247" s="62">
        <f t="shared" ref="D247:V247" si="65">+IFERROR(IF(D208&gt;0,+((D208/D15)*100)," "),"")</f>
        <v>60.837948200215976</v>
      </c>
      <c r="E247" s="62">
        <f t="shared" si="65"/>
        <v>72.246910875912207</v>
      </c>
      <c r="F247" s="62">
        <f t="shared" si="65"/>
        <v>67.207173512942148</v>
      </c>
      <c r="G247" s="62">
        <f t="shared" si="65"/>
        <v>62.606102539661677</v>
      </c>
      <c r="H247" s="62">
        <f t="shared" si="65"/>
        <v>39.331421175303163</v>
      </c>
      <c r="I247" s="62">
        <f t="shared" si="65"/>
        <v>52.359765255651183</v>
      </c>
      <c r="J247" s="62">
        <f t="shared" si="65"/>
        <v>46.472173054335272</v>
      </c>
      <c r="K247" s="62">
        <f t="shared" si="65"/>
        <v>80.888308657986499</v>
      </c>
      <c r="L247" s="62">
        <f t="shared" si="65"/>
        <v>79.536711913248311</v>
      </c>
      <c r="M247" s="62">
        <f t="shared" si="65"/>
        <v>79.45646583506759</v>
      </c>
      <c r="N247" s="62">
        <f t="shared" si="65"/>
        <v>83.807616496719461</v>
      </c>
      <c r="O247" s="62">
        <f t="shared" si="65"/>
        <v>94.523961100042428</v>
      </c>
      <c r="P247" s="62">
        <f t="shared" si="65"/>
        <v>76.175310074404351</v>
      </c>
      <c r="Q247" s="62">
        <f t="shared" si="65"/>
        <v>66.949319195099065</v>
      </c>
      <c r="R247" s="62">
        <f t="shared" si="65"/>
        <v>72.081549268988113</v>
      </c>
      <c r="S247" s="62">
        <f t="shared" si="65"/>
        <v>63.916490507191646</v>
      </c>
      <c r="T247" s="62">
        <f t="shared" si="65"/>
        <v>66.254142194130594</v>
      </c>
      <c r="U247" s="62">
        <f t="shared" si="65"/>
        <v>69.124640990805403</v>
      </c>
      <c r="V247" s="62">
        <f t="shared" si="65"/>
        <v>76.945092983467205</v>
      </c>
    </row>
    <row r="248" spans="3:22" x14ac:dyDescent="0.2">
      <c r="C248" s="87" t="s">
        <v>125</v>
      </c>
      <c r="D248" s="60">
        <f t="shared" ref="D248:V248" si="66">+IFERROR(IF(D209&gt;0,+((D209/D16)*100)," "),"")</f>
        <v>66.15653595535953</v>
      </c>
      <c r="E248" s="60">
        <f t="shared" si="66"/>
        <v>51.967734163153523</v>
      </c>
      <c r="F248" s="60">
        <f t="shared" si="66"/>
        <v>34.234644661719003</v>
      </c>
      <c r="G248" s="60">
        <f t="shared" si="66"/>
        <v>24.513710702207771</v>
      </c>
      <c r="H248" s="60">
        <f t="shared" si="66"/>
        <v>44.584197100288236</v>
      </c>
      <c r="I248" s="60">
        <f t="shared" si="66"/>
        <v>43.731029775810413</v>
      </c>
      <c r="J248" s="60">
        <f t="shared" si="66"/>
        <v>34.136821742501958</v>
      </c>
      <c r="K248" s="60">
        <f t="shared" si="66"/>
        <v>57.681431676382388</v>
      </c>
      <c r="L248" s="60">
        <f t="shared" si="66"/>
        <v>53.911193872455208</v>
      </c>
      <c r="M248" s="60">
        <f t="shared" si="66"/>
        <v>50.45890796012187</v>
      </c>
      <c r="N248" s="60">
        <f t="shared" si="66"/>
        <v>61.838903263282553</v>
      </c>
      <c r="O248" s="60">
        <f t="shared" si="66"/>
        <v>61.729374805515512</v>
      </c>
      <c r="P248" s="60">
        <f t="shared" si="66"/>
        <v>73.926304972042956</v>
      </c>
      <c r="Q248" s="60">
        <f t="shared" si="66"/>
        <v>86.366437864929892</v>
      </c>
      <c r="R248" s="60">
        <f t="shared" si="66"/>
        <v>79.652372022858003</v>
      </c>
      <c r="S248" s="60">
        <f t="shared" si="66"/>
        <v>50.229519732575987</v>
      </c>
      <c r="T248" s="60">
        <f t="shared" si="66"/>
        <v>79.500286032561164</v>
      </c>
      <c r="U248" s="60">
        <f t="shared" si="66"/>
        <v>88.303703006560724</v>
      </c>
      <c r="V248" s="60">
        <f t="shared" si="66"/>
        <v>62.015615686145033</v>
      </c>
    </row>
    <row r="249" spans="3:22" x14ac:dyDescent="0.2">
      <c r="C249" s="88" t="s">
        <v>126</v>
      </c>
      <c r="D249" s="62">
        <f t="shared" ref="D249:V249" si="67">+IFERROR(IF(D210&gt;0,+((D210/D17)*100)," "),"")</f>
        <v>53.894567124573896</v>
      </c>
      <c r="E249" s="62">
        <f t="shared" si="67"/>
        <v>61.595914097054141</v>
      </c>
      <c r="F249" s="62">
        <f t="shared" si="67"/>
        <v>55.634209006598198</v>
      </c>
      <c r="G249" s="62">
        <f t="shared" si="67"/>
        <v>74.416736956690301</v>
      </c>
      <c r="H249" s="62">
        <f t="shared" si="67"/>
        <v>76.753227939196407</v>
      </c>
      <c r="I249" s="62">
        <f t="shared" si="67"/>
        <v>79.216855395944492</v>
      </c>
      <c r="J249" s="62">
        <f t="shared" si="67"/>
        <v>71.254012706817022</v>
      </c>
      <c r="K249" s="62">
        <f t="shared" si="67"/>
        <v>85.738396172064384</v>
      </c>
      <c r="L249" s="62">
        <f t="shared" si="67"/>
        <v>85.878736434639308</v>
      </c>
      <c r="M249" s="62">
        <f t="shared" si="67"/>
        <v>79.625200828640686</v>
      </c>
      <c r="N249" s="62">
        <f t="shared" si="67"/>
        <v>77.961835220248545</v>
      </c>
      <c r="O249" s="62">
        <f t="shared" si="67"/>
        <v>87.667011227931766</v>
      </c>
      <c r="P249" s="62">
        <f t="shared" si="67"/>
        <v>87.592718558949088</v>
      </c>
      <c r="Q249" s="62">
        <f t="shared" si="67"/>
        <v>71.692557772592821</v>
      </c>
      <c r="R249" s="62">
        <f t="shared" si="67"/>
        <v>76.85758909760159</v>
      </c>
      <c r="S249" s="62">
        <f t="shared" si="67"/>
        <v>78.970285199691176</v>
      </c>
      <c r="T249" s="62">
        <f t="shared" si="67"/>
        <v>79.813608723563476</v>
      </c>
      <c r="U249" s="62">
        <f t="shared" si="67"/>
        <v>77.879657331022685</v>
      </c>
      <c r="V249" s="62">
        <f t="shared" si="67"/>
        <v>86.253885642717606</v>
      </c>
    </row>
    <row r="250" spans="3:22" x14ac:dyDescent="0.2">
      <c r="C250" s="87" t="s">
        <v>127</v>
      </c>
      <c r="D250" s="60">
        <f t="shared" ref="D250:V250" si="68">+IFERROR(IF(D211&gt;0,+((D211/D18)*100)," "),"")</f>
        <v>83.645771919463229</v>
      </c>
      <c r="E250" s="60">
        <f t="shared" si="68"/>
        <v>79.068846529736561</v>
      </c>
      <c r="F250" s="60">
        <f t="shared" si="68"/>
        <v>93.294313025223659</v>
      </c>
      <c r="G250" s="60">
        <f t="shared" si="68"/>
        <v>87.723321854074712</v>
      </c>
      <c r="H250" s="60">
        <f t="shared" si="68"/>
        <v>92.166551913861099</v>
      </c>
      <c r="I250" s="60">
        <f t="shared" si="68"/>
        <v>93.607985295995604</v>
      </c>
      <c r="J250" s="60">
        <f t="shared" si="68"/>
        <v>91.06355261593248</v>
      </c>
      <c r="K250" s="60">
        <f t="shared" si="68"/>
        <v>97.002818481250415</v>
      </c>
      <c r="L250" s="60">
        <f t="shared" si="68"/>
        <v>92.736766616361919</v>
      </c>
      <c r="M250" s="60">
        <f t="shared" si="68"/>
        <v>93.293641117560426</v>
      </c>
      <c r="N250" s="60">
        <f t="shared" si="68"/>
        <v>93.620951287597237</v>
      </c>
      <c r="O250" s="60">
        <f t="shared" si="68"/>
        <v>85.84881792754507</v>
      </c>
      <c r="P250" s="60">
        <f t="shared" si="68"/>
        <v>86.72192889044922</v>
      </c>
      <c r="Q250" s="60">
        <f t="shared" si="68"/>
        <v>88.006353443457584</v>
      </c>
      <c r="R250" s="60">
        <f t="shared" si="68"/>
        <v>93.139272443582485</v>
      </c>
      <c r="S250" s="60">
        <f t="shared" si="68"/>
        <v>94.495492583143104</v>
      </c>
      <c r="T250" s="60">
        <f t="shared" si="68"/>
        <v>95.81251351996994</v>
      </c>
      <c r="U250" s="60">
        <f t="shared" si="68"/>
        <v>94.480314855932889</v>
      </c>
      <c r="V250" s="60">
        <f t="shared" si="68"/>
        <v>92.267871381005762</v>
      </c>
    </row>
    <row r="251" spans="3:22" x14ac:dyDescent="0.2">
      <c r="C251" s="88" t="s">
        <v>128</v>
      </c>
      <c r="D251" s="62">
        <f t="shared" ref="D251:V251" si="69">+IFERROR(IF(D212&gt;0,+((D212/D19)*100)," "),"")</f>
        <v>57.459853877271726</v>
      </c>
      <c r="E251" s="62">
        <f t="shared" si="69"/>
        <v>76.299479469873233</v>
      </c>
      <c r="F251" s="62">
        <f t="shared" si="69"/>
        <v>66.486609816939236</v>
      </c>
      <c r="G251" s="62">
        <f t="shared" si="69"/>
        <v>75.872376385727804</v>
      </c>
      <c r="H251" s="62">
        <f t="shared" si="69"/>
        <v>70.880399960301617</v>
      </c>
      <c r="I251" s="62">
        <f t="shared" si="69"/>
        <v>81.814083279858167</v>
      </c>
      <c r="J251" s="62">
        <f t="shared" si="69"/>
        <v>79.955628056143667</v>
      </c>
      <c r="K251" s="62">
        <f t="shared" si="69"/>
        <v>77.696282787522748</v>
      </c>
      <c r="L251" s="62">
        <f t="shared" si="69"/>
        <v>80.643191113421423</v>
      </c>
      <c r="M251" s="62">
        <f t="shared" si="69"/>
        <v>79.227511522348834</v>
      </c>
      <c r="N251" s="62">
        <f t="shared" si="69"/>
        <v>85.811560883073682</v>
      </c>
      <c r="O251" s="62">
        <f t="shared" si="69"/>
        <v>84.233986169695413</v>
      </c>
      <c r="P251" s="62">
        <f t="shared" si="69"/>
        <v>79.823170259099172</v>
      </c>
      <c r="Q251" s="62">
        <f t="shared" si="69"/>
        <v>84.519709363883109</v>
      </c>
      <c r="R251" s="62">
        <f t="shared" si="69"/>
        <v>87.460111941343371</v>
      </c>
      <c r="S251" s="62">
        <f t="shared" si="69"/>
        <v>83.457786050510251</v>
      </c>
      <c r="T251" s="62">
        <f t="shared" si="69"/>
        <v>81.46141510422747</v>
      </c>
      <c r="U251" s="62">
        <f t="shared" si="69"/>
        <v>79.567329083938063</v>
      </c>
      <c r="V251" s="62">
        <f t="shared" si="69"/>
        <v>89.968851395940121</v>
      </c>
    </row>
    <row r="252" spans="3:22" x14ac:dyDescent="0.2">
      <c r="C252" s="87" t="s">
        <v>129</v>
      </c>
      <c r="D252" s="60">
        <f t="shared" ref="D252:V252" si="70">+IFERROR(IF(D213&gt;0,+((D213/D20)*100)," "),"")</f>
        <v>83.176108106447018</v>
      </c>
      <c r="E252" s="60">
        <f t="shared" si="70"/>
        <v>86.08677590133307</v>
      </c>
      <c r="F252" s="60">
        <f t="shared" si="70"/>
        <v>83.423415567017457</v>
      </c>
      <c r="G252" s="60">
        <f t="shared" si="70"/>
        <v>83.956352670498688</v>
      </c>
      <c r="H252" s="60">
        <f t="shared" si="70"/>
        <v>82.000830463631985</v>
      </c>
      <c r="I252" s="60">
        <f t="shared" si="70"/>
        <v>84.88423349220642</v>
      </c>
      <c r="J252" s="60">
        <f t="shared" si="70"/>
        <v>87.012611585637572</v>
      </c>
      <c r="K252" s="60">
        <f t="shared" si="70"/>
        <v>93.141956655042449</v>
      </c>
      <c r="L252" s="60">
        <f t="shared" si="70"/>
        <v>93.535704968460607</v>
      </c>
      <c r="M252" s="60">
        <f t="shared" si="70"/>
        <v>89.734533221832052</v>
      </c>
      <c r="N252" s="60">
        <f t="shared" si="70"/>
        <v>90.670125810725807</v>
      </c>
      <c r="O252" s="60">
        <f t="shared" si="70"/>
        <v>91.086224058882564</v>
      </c>
      <c r="P252" s="60">
        <f t="shared" si="70"/>
        <v>91.856170094936289</v>
      </c>
      <c r="Q252" s="60">
        <f t="shared" si="70"/>
        <v>91.965992427263046</v>
      </c>
      <c r="R252" s="60">
        <f t="shared" si="70"/>
        <v>91.579898185920257</v>
      </c>
      <c r="S252" s="60">
        <f t="shared" si="70"/>
        <v>91.887866095829224</v>
      </c>
      <c r="T252" s="60">
        <f t="shared" si="70"/>
        <v>92.053046874476991</v>
      </c>
      <c r="U252" s="60">
        <f t="shared" si="70"/>
        <v>93.337417398980264</v>
      </c>
      <c r="V252" s="60">
        <f t="shared" si="70"/>
        <v>94.618423299175518</v>
      </c>
    </row>
    <row r="253" spans="3:22" x14ac:dyDescent="0.2">
      <c r="C253" s="88" t="s">
        <v>130</v>
      </c>
      <c r="D253" s="62">
        <f t="shared" ref="D253:V253" si="71">+IFERROR(IF(D214&gt;0,+((D214/D21)*100)," "),"")</f>
        <v>55.182677979638072</v>
      </c>
      <c r="E253" s="62">
        <f t="shared" si="71"/>
        <v>63.41253872857159</v>
      </c>
      <c r="F253" s="62">
        <f t="shared" si="71"/>
        <v>43.961162747306822</v>
      </c>
      <c r="G253" s="62">
        <f t="shared" si="71"/>
        <v>59.831265919166029</v>
      </c>
      <c r="H253" s="62">
        <f t="shared" si="71"/>
        <v>78.816182715645226</v>
      </c>
      <c r="I253" s="62">
        <f t="shared" si="71"/>
        <v>86.494795132591165</v>
      </c>
      <c r="J253" s="62">
        <f t="shared" si="71"/>
        <v>90.095301017071478</v>
      </c>
      <c r="K253" s="62">
        <f t="shared" si="71"/>
        <v>86.030954552977946</v>
      </c>
      <c r="L253" s="62">
        <f t="shared" si="71"/>
        <v>90.8638714680242</v>
      </c>
      <c r="M253" s="62">
        <f t="shared" si="71"/>
        <v>81.051418283908703</v>
      </c>
      <c r="N253" s="62">
        <f t="shared" si="71"/>
        <v>86.894850029311897</v>
      </c>
      <c r="O253" s="62">
        <f t="shared" si="71"/>
        <v>81.034827926966216</v>
      </c>
      <c r="P253" s="62">
        <f t="shared" si="71"/>
        <v>62.891495082619151</v>
      </c>
      <c r="Q253" s="62">
        <f t="shared" si="71"/>
        <v>71.506263902798068</v>
      </c>
      <c r="R253" s="62">
        <f t="shared" si="71"/>
        <v>70.965776838655188</v>
      </c>
      <c r="S253" s="62">
        <f t="shared" si="71"/>
        <v>80.725902740907074</v>
      </c>
      <c r="T253" s="62">
        <f t="shared" si="71"/>
        <v>54.997377208670905</v>
      </c>
      <c r="U253" s="62">
        <f t="shared" si="71"/>
        <v>60.760628225669144</v>
      </c>
      <c r="V253" s="62">
        <f t="shared" si="71"/>
        <v>70.786797847004763</v>
      </c>
    </row>
    <row r="254" spans="3:22" x14ac:dyDescent="0.2">
      <c r="C254" s="87" t="s">
        <v>131</v>
      </c>
      <c r="D254" s="60">
        <f t="shared" ref="D254:V254" si="72">+IFERROR(IF(D215&gt;0,+((D215/D22)*100)," "),"")</f>
        <v>88.383644031752127</v>
      </c>
      <c r="E254" s="60">
        <f t="shared" si="72"/>
        <v>95.180570255367812</v>
      </c>
      <c r="F254" s="60">
        <f t="shared" si="72"/>
        <v>94.206384661213391</v>
      </c>
      <c r="G254" s="60">
        <f t="shared" si="72"/>
        <v>95.242720797206431</v>
      </c>
      <c r="H254" s="60">
        <f t="shared" si="72"/>
        <v>95.828685634298253</v>
      </c>
      <c r="I254" s="60">
        <f t="shared" si="72"/>
        <v>96.986123173673008</v>
      </c>
      <c r="J254" s="60">
        <f t="shared" si="72"/>
        <v>96.315343250201295</v>
      </c>
      <c r="K254" s="60">
        <f t="shared" si="72"/>
        <v>98.386371027577411</v>
      </c>
      <c r="L254" s="60">
        <f t="shared" si="72"/>
        <v>95.750499609971371</v>
      </c>
      <c r="M254" s="60">
        <f t="shared" si="72"/>
        <v>96.83865832592744</v>
      </c>
      <c r="N254" s="60">
        <f t="shared" si="72"/>
        <v>95.264882434300461</v>
      </c>
      <c r="O254" s="60">
        <f t="shared" si="72"/>
        <v>97.571183828190001</v>
      </c>
      <c r="P254" s="60">
        <f t="shared" si="72"/>
        <v>95.498822309255331</v>
      </c>
      <c r="Q254" s="60">
        <f t="shared" si="72"/>
        <v>96.97770552850551</v>
      </c>
      <c r="R254" s="60">
        <f t="shared" si="72"/>
        <v>96.825232022415946</v>
      </c>
      <c r="S254" s="60">
        <f t="shared" si="72"/>
        <v>98.793335012974609</v>
      </c>
      <c r="T254" s="60">
        <f t="shared" si="72"/>
        <v>98.219339096210675</v>
      </c>
      <c r="U254" s="60">
        <f t="shared" si="72"/>
        <v>99.320043232732374</v>
      </c>
      <c r="V254" s="60">
        <f t="shared" si="72"/>
        <v>99.055361868544551</v>
      </c>
    </row>
    <row r="255" spans="3:22" x14ac:dyDescent="0.2">
      <c r="C255" s="88" t="s">
        <v>132</v>
      </c>
      <c r="D255" s="62">
        <f t="shared" ref="D255:V255" si="73">+IFERROR(IF(D216&gt;0,+((D216/D23)*100)," "),"")</f>
        <v>86.845425437732715</v>
      </c>
      <c r="E255" s="62">
        <f t="shared" si="73"/>
        <v>67.572281858513065</v>
      </c>
      <c r="F255" s="62">
        <f t="shared" si="73"/>
        <v>77.867020615999749</v>
      </c>
      <c r="G255" s="62">
        <f t="shared" si="73"/>
        <v>85.825875086626326</v>
      </c>
      <c r="H255" s="62">
        <f t="shared" si="73"/>
        <v>74.331006326322068</v>
      </c>
      <c r="I255" s="62">
        <f t="shared" si="73"/>
        <v>76.037665559315613</v>
      </c>
      <c r="J255" s="62">
        <f t="shared" si="73"/>
        <v>71.205098610412975</v>
      </c>
      <c r="K255" s="62">
        <f t="shared" si="73"/>
        <v>47.652865310998934</v>
      </c>
      <c r="L255" s="62">
        <f t="shared" si="73"/>
        <v>59.12008457286575</v>
      </c>
      <c r="M255" s="62">
        <f t="shared" si="73"/>
        <v>58.456179632783389</v>
      </c>
      <c r="N255" s="62">
        <f t="shared" si="73"/>
        <v>61.605866056254946</v>
      </c>
      <c r="O255" s="62">
        <f t="shared" si="73"/>
        <v>51.2863178783062</v>
      </c>
      <c r="P255" s="62">
        <f t="shared" si="73"/>
        <v>67.00893543795668</v>
      </c>
      <c r="Q255" s="62">
        <f t="shared" si="73"/>
        <v>66.333813272700397</v>
      </c>
      <c r="R255" s="62">
        <f t="shared" si="73"/>
        <v>62.839139910687145</v>
      </c>
      <c r="S255" s="62">
        <f t="shared" si="73"/>
        <v>69.280405186405034</v>
      </c>
      <c r="T255" s="62">
        <f t="shared" si="73"/>
        <v>83.532140027735906</v>
      </c>
      <c r="U255" s="62">
        <f t="shared" si="73"/>
        <v>84.507186107358393</v>
      </c>
      <c r="V255" s="62">
        <f t="shared" si="73"/>
        <v>85.261639544492894</v>
      </c>
    </row>
    <row r="256" spans="3:22" x14ac:dyDescent="0.2">
      <c r="C256" s="87" t="s">
        <v>133</v>
      </c>
      <c r="D256" s="60">
        <f t="shared" ref="D256:V256" si="74">+IFERROR(IF(D217&gt;0,+((D217/D24)*100)," "),"")</f>
        <v>86.188198267021903</v>
      </c>
      <c r="E256" s="60">
        <f t="shared" si="74"/>
        <v>93.895132610523959</v>
      </c>
      <c r="F256" s="60">
        <f t="shared" si="74"/>
        <v>90.043013328075403</v>
      </c>
      <c r="G256" s="60">
        <f t="shared" si="74"/>
        <v>89.690971252228607</v>
      </c>
      <c r="H256" s="60">
        <f t="shared" si="74"/>
        <v>92.311971830210624</v>
      </c>
      <c r="I256" s="60">
        <f t="shared" si="74"/>
        <v>94.9942700815878</v>
      </c>
      <c r="J256" s="60">
        <f t="shared" si="74"/>
        <v>92.788145193670644</v>
      </c>
      <c r="K256" s="60">
        <f t="shared" si="74"/>
        <v>92.052254636428785</v>
      </c>
      <c r="L256" s="60">
        <f t="shared" si="74"/>
        <v>91.341435659598176</v>
      </c>
      <c r="M256" s="60">
        <f t="shared" si="74"/>
        <v>91.679148450160255</v>
      </c>
      <c r="N256" s="60">
        <f t="shared" si="74"/>
        <v>87.027504963049324</v>
      </c>
      <c r="O256" s="60">
        <f t="shared" si="74"/>
        <v>87.449422053298633</v>
      </c>
      <c r="P256" s="60">
        <f t="shared" si="74"/>
        <v>87.229069278208812</v>
      </c>
      <c r="Q256" s="60">
        <f t="shared" si="74"/>
        <v>89.602954493534526</v>
      </c>
      <c r="R256" s="60">
        <f t="shared" si="74"/>
        <v>86.799071409105153</v>
      </c>
      <c r="S256" s="60">
        <f t="shared" si="74"/>
        <v>84.844148689961955</v>
      </c>
      <c r="T256" s="60">
        <f t="shared" si="74"/>
        <v>88.940472080846703</v>
      </c>
      <c r="U256" s="60">
        <f t="shared" si="74"/>
        <v>90.384693785100779</v>
      </c>
      <c r="V256" s="60">
        <f t="shared" si="74"/>
        <v>91.6189177504898</v>
      </c>
    </row>
    <row r="257" spans="3:22" x14ac:dyDescent="0.2">
      <c r="C257" s="88" t="s">
        <v>134</v>
      </c>
      <c r="D257" s="62">
        <f t="shared" ref="D257:V257" si="75">+IFERROR(IF(D218&gt;0,+((D218/D25)*100)," "),"")</f>
        <v>69.19656731397879</v>
      </c>
      <c r="E257" s="62">
        <f t="shared" si="75"/>
        <v>83.259521737372665</v>
      </c>
      <c r="F257" s="62">
        <f t="shared" si="75"/>
        <v>79.156589299109953</v>
      </c>
      <c r="G257" s="62">
        <f t="shared" si="75"/>
        <v>85.068214743877405</v>
      </c>
      <c r="H257" s="62">
        <f t="shared" si="75"/>
        <v>78.461419210210821</v>
      </c>
      <c r="I257" s="62">
        <f t="shared" si="75"/>
        <v>82.122482329802565</v>
      </c>
      <c r="J257" s="62">
        <f t="shared" si="75"/>
        <v>83.22490873524346</v>
      </c>
      <c r="K257" s="62">
        <f t="shared" si="75"/>
        <v>79.324522046342736</v>
      </c>
      <c r="L257" s="62">
        <f t="shared" si="75"/>
        <v>75.688206965025913</v>
      </c>
      <c r="M257" s="62">
        <f t="shared" si="75"/>
        <v>70.637533492831864</v>
      </c>
      <c r="N257" s="62">
        <f t="shared" si="75"/>
        <v>71.222845889476531</v>
      </c>
      <c r="O257" s="62">
        <f t="shared" si="75"/>
        <v>80.80013552616829</v>
      </c>
      <c r="P257" s="62">
        <f t="shared" si="75"/>
        <v>71.117899554350288</v>
      </c>
      <c r="Q257" s="62">
        <f t="shared" si="75"/>
        <v>53.827006867143353</v>
      </c>
      <c r="R257" s="62">
        <f t="shared" si="75"/>
        <v>60.828649959248459</v>
      </c>
      <c r="S257" s="62">
        <f t="shared" si="75"/>
        <v>75.923064625278897</v>
      </c>
      <c r="T257" s="62">
        <f t="shared" si="75"/>
        <v>83.57837228506186</v>
      </c>
      <c r="U257" s="62">
        <f t="shared" si="75"/>
        <v>87.855050736416118</v>
      </c>
      <c r="V257" s="62">
        <f t="shared" si="75"/>
        <v>82.481112215358536</v>
      </c>
    </row>
    <row r="258" spans="3:22" x14ac:dyDescent="0.2">
      <c r="C258" s="87" t="s">
        <v>135</v>
      </c>
      <c r="D258" s="60" t="str">
        <f t="shared" ref="D258:V258" si="76">+IFERROR(IF(D219&gt;0,+((D219/D26)*100),"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+IFERROR(IF(D220&gt;0,+((D220/D27)*100)," "),"")</f>
        <v>70.823919082808345</v>
      </c>
      <c r="E259" s="62">
        <f t="shared" si="77"/>
        <v>76.435920228256336</v>
      </c>
      <c r="F259" s="62">
        <f t="shared" si="77"/>
        <v>78.509510539175892</v>
      </c>
      <c r="G259" s="62">
        <f t="shared" si="77"/>
        <v>80.859468725356848</v>
      </c>
      <c r="H259" s="62">
        <f t="shared" si="77"/>
        <v>81.49519141190531</v>
      </c>
      <c r="I259" s="62">
        <f t="shared" si="77"/>
        <v>82.08182727075048</v>
      </c>
      <c r="J259" s="62">
        <f t="shared" si="77"/>
        <v>75.946336212851207</v>
      </c>
      <c r="K259" s="62">
        <f t="shared" si="77"/>
        <v>75.663382912438934</v>
      </c>
      <c r="L259" s="62">
        <f t="shared" si="77"/>
        <v>81.190397957042464</v>
      </c>
      <c r="M259" s="62">
        <f t="shared" si="77"/>
        <v>84.301035060552934</v>
      </c>
      <c r="N259" s="62">
        <f t="shared" si="77"/>
        <v>83.594325420931014</v>
      </c>
      <c r="O259" s="62">
        <f t="shared" si="77"/>
        <v>74.616393627827165</v>
      </c>
      <c r="P259" s="62">
        <f t="shared" si="77"/>
        <v>79.096671414464097</v>
      </c>
      <c r="Q259" s="62">
        <f t="shared" si="77"/>
        <v>84.878761175449355</v>
      </c>
      <c r="R259" s="62">
        <f t="shared" si="77"/>
        <v>88.666651497356767</v>
      </c>
      <c r="S259" s="62">
        <f t="shared" si="77"/>
        <v>91.393128597457292</v>
      </c>
      <c r="T259" s="62">
        <f t="shared" si="77"/>
        <v>83.237614238253968</v>
      </c>
      <c r="U259" s="62">
        <f t="shared" si="77"/>
        <v>88.631843804006749</v>
      </c>
      <c r="V259" s="62">
        <f t="shared" si="77"/>
        <v>91.774102125249726</v>
      </c>
    </row>
    <row r="260" spans="3:22" x14ac:dyDescent="0.2">
      <c r="C260" s="87" t="s">
        <v>137</v>
      </c>
      <c r="D260" s="60">
        <f t="shared" ref="D260:V260" si="78">+IFERROR(IF(D221&gt;0,+((D221/D28)*100)," "),"")</f>
        <v>65.108540128720534</v>
      </c>
      <c r="E260" s="60">
        <f t="shared" si="78"/>
        <v>79.204210748625016</v>
      </c>
      <c r="F260" s="60">
        <f t="shared" si="78"/>
        <v>70.086519302459649</v>
      </c>
      <c r="G260" s="60">
        <f t="shared" si="78"/>
        <v>73.588009334190033</v>
      </c>
      <c r="H260" s="60">
        <f t="shared" si="78"/>
        <v>71.199222422538938</v>
      </c>
      <c r="I260" s="60">
        <f t="shared" si="78"/>
        <v>67.831692086686388</v>
      </c>
      <c r="J260" s="60">
        <f t="shared" si="78"/>
        <v>84.299213468857133</v>
      </c>
      <c r="K260" s="60">
        <f t="shared" si="78"/>
        <v>77.914233819233246</v>
      </c>
      <c r="L260" s="60">
        <f t="shared" si="78"/>
        <v>81.894576195250863</v>
      </c>
      <c r="M260" s="60">
        <f t="shared" si="78"/>
        <v>78.824361116994041</v>
      </c>
      <c r="N260" s="60">
        <f t="shared" si="78"/>
        <v>74.218631786509576</v>
      </c>
      <c r="O260" s="60">
        <f t="shared" si="78"/>
        <v>81.907762635337519</v>
      </c>
      <c r="P260" s="60">
        <f t="shared" si="78"/>
        <v>78.37991019013316</v>
      </c>
      <c r="Q260" s="60">
        <f t="shared" si="78"/>
        <v>72.946220337149043</v>
      </c>
      <c r="R260" s="60">
        <f t="shared" si="78"/>
        <v>82.397969811399022</v>
      </c>
      <c r="S260" s="60">
        <f t="shared" si="78"/>
        <v>80.381280633953637</v>
      </c>
      <c r="T260" s="60">
        <f t="shared" si="78"/>
        <v>86.373992422522292</v>
      </c>
      <c r="U260" s="60">
        <f t="shared" si="78"/>
        <v>77.702531536312719</v>
      </c>
      <c r="V260" s="60">
        <f t="shared" si="78"/>
        <v>91.020282477897936</v>
      </c>
    </row>
    <row r="261" spans="3:22" x14ac:dyDescent="0.2">
      <c r="C261" s="88" t="s">
        <v>138</v>
      </c>
      <c r="D261" s="62">
        <f t="shared" ref="D261:V261" si="79">+IFERROR(IF(D222&gt;0,+((D222/D29)*100)," "),"")</f>
        <v>89.369768205448878</v>
      </c>
      <c r="E261" s="62">
        <f t="shared" si="79"/>
        <v>91.694958779137124</v>
      </c>
      <c r="F261" s="62">
        <f t="shared" si="79"/>
        <v>89.427088838435807</v>
      </c>
      <c r="G261" s="62">
        <f t="shared" si="79"/>
        <v>75.067858989003469</v>
      </c>
      <c r="H261" s="62">
        <f t="shared" si="79"/>
        <v>82.604842405010402</v>
      </c>
      <c r="I261" s="62">
        <f t="shared" si="79"/>
        <v>83.097921718472833</v>
      </c>
      <c r="J261" s="62">
        <f t="shared" si="79"/>
        <v>73.995084037201664</v>
      </c>
      <c r="K261" s="62">
        <f t="shared" si="79"/>
        <v>86.714986116228516</v>
      </c>
      <c r="L261" s="62">
        <f t="shared" si="79"/>
        <v>81.349681723846615</v>
      </c>
      <c r="M261" s="62">
        <f t="shared" si="79"/>
        <v>71.553306450998889</v>
      </c>
      <c r="N261" s="62">
        <f t="shared" si="79"/>
        <v>70.605143855550708</v>
      </c>
      <c r="O261" s="62">
        <f t="shared" si="79"/>
        <v>78.756144201173328</v>
      </c>
      <c r="P261" s="62">
        <f t="shared" si="79"/>
        <v>73.293693836751743</v>
      </c>
      <c r="Q261" s="62">
        <f t="shared" si="79"/>
        <v>74.046420410376783</v>
      </c>
      <c r="R261" s="62">
        <f t="shared" si="79"/>
        <v>80.04832543029562</v>
      </c>
      <c r="S261" s="62">
        <f t="shared" si="79"/>
        <v>89.364249351673166</v>
      </c>
      <c r="T261" s="62">
        <f t="shared" si="79"/>
        <v>92.526466874703829</v>
      </c>
      <c r="U261" s="62">
        <f t="shared" si="79"/>
        <v>93.270341973557649</v>
      </c>
      <c r="V261" s="62">
        <f t="shared" si="79"/>
        <v>95.855719219842769</v>
      </c>
    </row>
    <row r="262" spans="3:22" x14ac:dyDescent="0.2">
      <c r="C262" s="87" t="s">
        <v>139</v>
      </c>
      <c r="D262" s="60">
        <f t="shared" ref="D262:V262" si="80">+IFERROR(IF(D223&gt;0,+((D223/D30)*100)," "),"")</f>
        <v>76.189722053102543</v>
      </c>
      <c r="E262" s="60">
        <f t="shared" si="80"/>
        <v>75.253762156992934</v>
      </c>
      <c r="F262" s="60">
        <f t="shared" si="80"/>
        <v>75.529599315393128</v>
      </c>
      <c r="G262" s="60">
        <f t="shared" si="80"/>
        <v>80.08668676101712</v>
      </c>
      <c r="H262" s="60">
        <f t="shared" si="80"/>
        <v>73.882131678472902</v>
      </c>
      <c r="I262" s="60">
        <f t="shared" si="80"/>
        <v>85.041748895855278</v>
      </c>
      <c r="J262" s="60">
        <f t="shared" si="80"/>
        <v>76.256025390458888</v>
      </c>
      <c r="K262" s="60">
        <f t="shared" si="80"/>
        <v>77.497630726749179</v>
      </c>
      <c r="L262" s="60">
        <f t="shared" si="80"/>
        <v>70.248125567812409</v>
      </c>
      <c r="M262" s="60">
        <f t="shared" si="80"/>
        <v>76.125394866676587</v>
      </c>
      <c r="N262" s="60">
        <f t="shared" si="80"/>
        <v>61.643466134688637</v>
      </c>
      <c r="O262" s="60">
        <f t="shared" si="80"/>
        <v>56.846053258321561</v>
      </c>
      <c r="P262" s="60">
        <f t="shared" si="80"/>
        <v>78.610853272417742</v>
      </c>
      <c r="Q262" s="60">
        <f t="shared" si="80"/>
        <v>80.403297646720944</v>
      </c>
      <c r="R262" s="60">
        <f t="shared" si="80"/>
        <v>78.19736078816922</v>
      </c>
      <c r="S262" s="60">
        <f t="shared" si="80"/>
        <v>78.58928625116954</v>
      </c>
      <c r="T262" s="60">
        <f t="shared" si="80"/>
        <v>74.026840455577016</v>
      </c>
      <c r="U262" s="60">
        <f t="shared" si="80"/>
        <v>67.819259707775743</v>
      </c>
      <c r="V262" s="60">
        <f t="shared" si="80"/>
        <v>80.836524814465776</v>
      </c>
    </row>
    <row r="263" spans="3:22" x14ac:dyDescent="0.2">
      <c r="C263" s="88" t="s">
        <v>140</v>
      </c>
      <c r="D263" s="62">
        <f t="shared" ref="D263:V263" si="81">+IFERROR(IF(D224&gt;0,+((D224/D31)*100)," "),"")</f>
        <v>72.185139526650474</v>
      </c>
      <c r="E263" s="62">
        <f t="shared" si="81"/>
        <v>69.047975489323562</v>
      </c>
      <c r="F263" s="62">
        <f t="shared" si="81"/>
        <v>68.796677831529792</v>
      </c>
      <c r="G263" s="62">
        <f t="shared" si="81"/>
        <v>81.659717814491501</v>
      </c>
      <c r="H263" s="62">
        <f t="shared" si="81"/>
        <v>81.701032771702089</v>
      </c>
      <c r="I263" s="62">
        <f t="shared" si="81"/>
        <v>86.572081320338128</v>
      </c>
      <c r="J263" s="62">
        <f t="shared" si="81"/>
        <v>64.339916990326955</v>
      </c>
      <c r="K263" s="62">
        <f t="shared" si="81"/>
        <v>57.905893047153057</v>
      </c>
      <c r="L263" s="62">
        <f t="shared" si="81"/>
        <v>88.953326890061817</v>
      </c>
      <c r="M263" s="62">
        <f t="shared" si="81"/>
        <v>87.140463443630196</v>
      </c>
      <c r="N263" s="62">
        <f t="shared" si="81"/>
        <v>88.481472221780962</v>
      </c>
      <c r="O263" s="62">
        <f t="shared" si="81"/>
        <v>89.357530726157535</v>
      </c>
      <c r="P263" s="62">
        <f t="shared" si="81"/>
        <v>85.209917979091571</v>
      </c>
      <c r="Q263" s="62">
        <f t="shared" si="81"/>
        <v>82.059598532973681</v>
      </c>
      <c r="R263" s="62">
        <f t="shared" si="81"/>
        <v>85.03428648713772</v>
      </c>
      <c r="S263" s="62">
        <f t="shared" si="81"/>
        <v>89.677386310614409</v>
      </c>
      <c r="T263" s="62">
        <f t="shared" si="81"/>
        <v>88.459922901350424</v>
      </c>
      <c r="U263" s="62">
        <f t="shared" si="81"/>
        <v>83.273524623918547</v>
      </c>
      <c r="V263" s="62">
        <f t="shared" si="81"/>
        <v>90.854693017743372</v>
      </c>
    </row>
    <row r="264" spans="3:22" x14ac:dyDescent="0.2">
      <c r="C264" s="87" t="s">
        <v>141</v>
      </c>
      <c r="D264" s="60">
        <f t="shared" ref="D264:V264" si="82">+IFERROR(IF(D225&gt;0,+((D225/D32)*100)," "),"")</f>
        <v>86.934112384420374</v>
      </c>
      <c r="E264" s="60">
        <f t="shared" si="82"/>
        <v>84.445394825185375</v>
      </c>
      <c r="F264" s="60">
        <f t="shared" si="82"/>
        <v>84.323402956969858</v>
      </c>
      <c r="G264" s="60">
        <f t="shared" si="82"/>
        <v>84.006900007356506</v>
      </c>
      <c r="H264" s="60">
        <f t="shared" si="82"/>
        <v>78.532846368336507</v>
      </c>
      <c r="I264" s="60">
        <f t="shared" si="82"/>
        <v>85.177510228768142</v>
      </c>
      <c r="J264" s="60">
        <f t="shared" si="82"/>
        <v>87.565376910302177</v>
      </c>
      <c r="K264" s="60">
        <f t="shared" si="82"/>
        <v>87.849000415831355</v>
      </c>
      <c r="L264" s="60">
        <f t="shared" si="82"/>
        <v>88.754582133674845</v>
      </c>
      <c r="M264" s="60">
        <f t="shared" si="82"/>
        <v>87.997367639410527</v>
      </c>
      <c r="N264" s="60">
        <f t="shared" si="82"/>
        <v>83.365511432688351</v>
      </c>
      <c r="O264" s="60">
        <f t="shared" si="82"/>
        <v>85.996581627097484</v>
      </c>
      <c r="P264" s="60">
        <f t="shared" si="82"/>
        <v>83.216377687869596</v>
      </c>
      <c r="Q264" s="60">
        <f t="shared" si="82"/>
        <v>83.83000483399492</v>
      </c>
      <c r="R264" s="60">
        <f t="shared" si="82"/>
        <v>87.599451252465258</v>
      </c>
      <c r="S264" s="60">
        <f t="shared" si="82"/>
        <v>83.507262516581577</v>
      </c>
      <c r="T264" s="60">
        <f t="shared" si="82"/>
        <v>90.354768174903882</v>
      </c>
      <c r="U264" s="60">
        <f t="shared" si="82"/>
        <v>89.693182125744514</v>
      </c>
      <c r="V264" s="60">
        <f t="shared" si="82"/>
        <v>91.832445316183097</v>
      </c>
    </row>
    <row r="265" spans="3:22" x14ac:dyDescent="0.2">
      <c r="C265" s="88" t="s">
        <v>142</v>
      </c>
      <c r="D265" s="62">
        <f t="shared" ref="D265:V265" si="83">+IFERROR(IF(D226&gt;0,+((D226/D33)*100)," "),"")</f>
        <v>20.593018036864724</v>
      </c>
      <c r="E265" s="62">
        <f t="shared" si="83"/>
        <v>24.955026358725675</v>
      </c>
      <c r="F265" s="62">
        <f t="shared" si="83"/>
        <v>12.958665335317407</v>
      </c>
      <c r="G265" s="62">
        <f t="shared" si="83"/>
        <v>25.355516621883321</v>
      </c>
      <c r="H265" s="62">
        <f t="shared" si="83"/>
        <v>58.809622593098496</v>
      </c>
      <c r="I265" s="62">
        <f t="shared" si="83"/>
        <v>29.174497564191189</v>
      </c>
      <c r="J265" s="62">
        <f t="shared" si="83"/>
        <v>30.179151243463949</v>
      </c>
      <c r="K265" s="62">
        <f t="shared" si="83"/>
        <v>46.473836248213487</v>
      </c>
      <c r="L265" s="62">
        <f t="shared" si="83"/>
        <v>35.540731679800764</v>
      </c>
      <c r="M265" s="62">
        <f t="shared" si="83"/>
        <v>32.695264996542143</v>
      </c>
      <c r="N265" s="62">
        <f t="shared" si="83"/>
        <v>37.931166931075978</v>
      </c>
      <c r="O265" s="62">
        <f t="shared" si="83"/>
        <v>37.462152210553846</v>
      </c>
      <c r="P265" s="62">
        <f t="shared" si="83"/>
        <v>51.84342111078324</v>
      </c>
      <c r="Q265" s="62">
        <f t="shared" si="83"/>
        <v>56.364212720323117</v>
      </c>
      <c r="R265" s="62">
        <f t="shared" si="83"/>
        <v>78.319367052894208</v>
      </c>
      <c r="S265" s="62">
        <f t="shared" si="83"/>
        <v>73.782183410297677</v>
      </c>
      <c r="T265" s="62">
        <f t="shared" si="83"/>
        <v>64.332606358253969</v>
      </c>
      <c r="U265" s="62">
        <f t="shared" si="83"/>
        <v>71.463296731925155</v>
      </c>
      <c r="V265" s="62">
        <f t="shared" si="83"/>
        <v>70.063513364392776</v>
      </c>
    </row>
    <row r="266" spans="3:22" x14ac:dyDescent="0.2">
      <c r="C266" s="87" t="s">
        <v>143</v>
      </c>
      <c r="D266" s="60">
        <f t="shared" ref="D266:V266" si="84">+IFERROR(IF(D227&gt;0,+((D227/D34)*100)," "),"")</f>
        <v>65.848029805363737</v>
      </c>
      <c r="E266" s="60">
        <f t="shared" si="84"/>
        <v>52.787824426604089</v>
      </c>
      <c r="F266" s="60">
        <f t="shared" si="84"/>
        <v>49.912137427667851</v>
      </c>
      <c r="G266" s="60">
        <f t="shared" si="84"/>
        <v>61.133984684031596</v>
      </c>
      <c r="H266" s="60">
        <f t="shared" si="84"/>
        <v>64.998096840070232</v>
      </c>
      <c r="I266" s="60">
        <f t="shared" si="84"/>
        <v>78.296560101361024</v>
      </c>
      <c r="J266" s="60">
        <f t="shared" si="84"/>
        <v>89.253749106967618</v>
      </c>
      <c r="K266" s="60">
        <f t="shared" si="84"/>
        <v>89.273883695587642</v>
      </c>
      <c r="L266" s="60">
        <f t="shared" si="84"/>
        <v>78.50178551893751</v>
      </c>
      <c r="M266" s="60">
        <f t="shared" si="84"/>
        <v>84.111484157846533</v>
      </c>
      <c r="N266" s="60">
        <f t="shared" si="84"/>
        <v>82.965561728983388</v>
      </c>
      <c r="O266" s="60">
        <f t="shared" si="84"/>
        <v>77.047071786745448</v>
      </c>
      <c r="P266" s="60">
        <f t="shared" si="84"/>
        <v>34.576144898199814</v>
      </c>
      <c r="Q266" s="60">
        <f t="shared" si="84"/>
        <v>65.139735564451513</v>
      </c>
      <c r="R266" s="60">
        <f t="shared" si="84"/>
        <v>56.626234676831388</v>
      </c>
      <c r="S266" s="60">
        <f t="shared" si="84"/>
        <v>65.976629506009402</v>
      </c>
      <c r="T266" s="60">
        <f t="shared" si="84"/>
        <v>61.862590254340944</v>
      </c>
      <c r="U266" s="60">
        <f t="shared" si="84"/>
        <v>51.908076838708197</v>
      </c>
      <c r="V266" s="60">
        <f t="shared" si="84"/>
        <v>37.578864825330356</v>
      </c>
    </row>
    <row r="267" spans="3:22" x14ac:dyDescent="0.2">
      <c r="C267" s="88" t="s">
        <v>144</v>
      </c>
      <c r="D267" s="62">
        <f t="shared" ref="D267:V267" si="85">+IFERROR(IF(D228&gt;0,+((D228/D35)*100)," "),"")</f>
        <v>92.145222137340014</v>
      </c>
      <c r="E267" s="62">
        <f t="shared" si="85"/>
        <v>95.214732292553748</v>
      </c>
      <c r="F267" s="62">
        <f t="shared" si="85"/>
        <v>91.064721097594997</v>
      </c>
      <c r="G267" s="62">
        <f t="shared" si="85"/>
        <v>92.814060848517883</v>
      </c>
      <c r="H267" s="62">
        <f t="shared" si="85"/>
        <v>82.6506422325415</v>
      </c>
      <c r="I267" s="62">
        <f t="shared" si="85"/>
        <v>93.088778627890065</v>
      </c>
      <c r="J267" s="62">
        <f t="shared" si="85"/>
        <v>93.450483186222868</v>
      </c>
      <c r="K267" s="62">
        <f t="shared" si="85"/>
        <v>94.886122283009414</v>
      </c>
      <c r="L267" s="62">
        <f t="shared" si="85"/>
        <v>94.040223967395306</v>
      </c>
      <c r="M267" s="62">
        <f t="shared" si="85"/>
        <v>94.348739213793166</v>
      </c>
      <c r="N267" s="62">
        <f t="shared" si="85"/>
        <v>91.648085050716219</v>
      </c>
      <c r="O267" s="62">
        <f t="shared" si="85"/>
        <v>86.265884155757291</v>
      </c>
      <c r="P267" s="62">
        <f t="shared" si="85"/>
        <v>86.724505576347482</v>
      </c>
      <c r="Q267" s="62">
        <f t="shared" si="85"/>
        <v>90.857444292584617</v>
      </c>
      <c r="R267" s="62">
        <f t="shared" si="85"/>
        <v>93.069177049633268</v>
      </c>
      <c r="S267" s="62">
        <f t="shared" si="85"/>
        <v>90.36711648907027</v>
      </c>
      <c r="T267" s="62">
        <f t="shared" si="85"/>
        <v>90.395255307324589</v>
      </c>
      <c r="U267" s="62">
        <f t="shared" si="85"/>
        <v>90.767394920157344</v>
      </c>
      <c r="V267" s="62">
        <f t="shared" si="85"/>
        <v>95.93692882631774</v>
      </c>
    </row>
    <row r="268" spans="3:22" x14ac:dyDescent="0.2">
      <c r="C268" s="87" t="s">
        <v>145</v>
      </c>
      <c r="D268" s="60">
        <f t="shared" ref="D268:V268" si="86">+IFERROR(IF(D229&gt;0,+((D229/D36)*100)," "),"")</f>
        <v>71.936588445693005</v>
      </c>
      <c r="E268" s="60">
        <f t="shared" si="86"/>
        <v>64.402597030484657</v>
      </c>
      <c r="F268" s="60">
        <f t="shared" si="86"/>
        <v>72.175261319960555</v>
      </c>
      <c r="G268" s="60">
        <f t="shared" si="86"/>
        <v>69.182859020457727</v>
      </c>
      <c r="H268" s="60">
        <f t="shared" si="86"/>
        <v>79.084360297730342</v>
      </c>
      <c r="I268" s="60">
        <f t="shared" si="86"/>
        <v>92.63694459594636</v>
      </c>
      <c r="J268" s="60">
        <f t="shared" si="86"/>
        <v>84.089219619591702</v>
      </c>
      <c r="K268" s="60">
        <f t="shared" si="86"/>
        <v>69.549470223305988</v>
      </c>
      <c r="L268" s="60">
        <f t="shared" si="86"/>
        <v>82.46182186175794</v>
      </c>
      <c r="M268" s="60">
        <f t="shared" si="86"/>
        <v>77.058157005526098</v>
      </c>
      <c r="N268" s="60">
        <f t="shared" si="86"/>
        <v>90.961314760538528</v>
      </c>
      <c r="O268" s="60">
        <f t="shared" si="86"/>
        <v>80.418557352370215</v>
      </c>
      <c r="P268" s="60">
        <f t="shared" si="86"/>
        <v>83.572450857873221</v>
      </c>
      <c r="Q268" s="60">
        <f t="shared" si="86"/>
        <v>81.211398256474325</v>
      </c>
      <c r="R268" s="60">
        <f t="shared" si="86"/>
        <v>90.303802573605523</v>
      </c>
      <c r="S268" s="60">
        <f t="shared" si="86"/>
        <v>87.078835712770768</v>
      </c>
      <c r="T268" s="60">
        <f t="shared" si="86"/>
        <v>88.842795555353533</v>
      </c>
      <c r="U268" s="60">
        <f t="shared" si="86"/>
        <v>89.281005830577769</v>
      </c>
      <c r="V268" s="60">
        <f t="shared" si="86"/>
        <v>95.461851849174778</v>
      </c>
    </row>
    <row r="269" spans="3:22" x14ac:dyDescent="0.2">
      <c r="C269" s="88" t="s">
        <v>146</v>
      </c>
      <c r="D269" s="62">
        <f t="shared" ref="D269:V269" si="87">+IFERROR(IF(D230&gt;0,+((D230/D37)*100)," "),"")</f>
        <v>90.060204679367445</v>
      </c>
      <c r="E269" s="62">
        <f t="shared" si="87"/>
        <v>91.625136542882117</v>
      </c>
      <c r="F269" s="62">
        <f t="shared" si="87"/>
        <v>82.670830534979117</v>
      </c>
      <c r="G269" s="62">
        <f t="shared" si="87"/>
        <v>95.30175420802513</v>
      </c>
      <c r="H269" s="62">
        <f t="shared" si="87"/>
        <v>87.633182390137947</v>
      </c>
      <c r="I269" s="62">
        <f t="shared" si="87"/>
        <v>86.047709004973669</v>
      </c>
      <c r="J269" s="62">
        <f t="shared" si="87"/>
        <v>86.044264760271176</v>
      </c>
      <c r="K269" s="62">
        <f t="shared" si="87"/>
        <v>82.965750943570427</v>
      </c>
      <c r="L269" s="62">
        <f t="shared" si="87"/>
        <v>87.568105863036877</v>
      </c>
      <c r="M269" s="62">
        <f t="shared" si="87"/>
        <v>90.598582909516097</v>
      </c>
      <c r="N269" s="62">
        <f t="shared" si="87"/>
        <v>83.844685847950345</v>
      </c>
      <c r="O269" s="62">
        <f t="shared" si="87"/>
        <v>93.153285724711537</v>
      </c>
      <c r="P269" s="62">
        <f t="shared" si="87"/>
        <v>91.724314857558582</v>
      </c>
      <c r="Q269" s="62">
        <f t="shared" si="87"/>
        <v>90.301177036518894</v>
      </c>
      <c r="R269" s="62">
        <f t="shared" si="87"/>
        <v>96.620652060050546</v>
      </c>
      <c r="S269" s="62">
        <f t="shared" si="87"/>
        <v>96.844827330492791</v>
      </c>
      <c r="T269" s="62">
        <f t="shared" si="87"/>
        <v>95.160289797360832</v>
      </c>
      <c r="U269" s="62">
        <f t="shared" si="87"/>
        <v>92.166700258709596</v>
      </c>
      <c r="V269" s="62">
        <f t="shared" si="87"/>
        <v>88.396895954743457</v>
      </c>
    </row>
    <row r="270" spans="3:22" x14ac:dyDescent="0.2">
      <c r="C270" s="90" t="s">
        <v>147</v>
      </c>
      <c r="D270" s="61">
        <f t="shared" ref="D270:V270" si="88">+IFERROR(IF(D231&gt;0,+((D231/D38)*100)," "),"")</f>
        <v>83.79035830101887</v>
      </c>
      <c r="E270" s="61">
        <f t="shared" si="88"/>
        <v>91.456654076735447</v>
      </c>
      <c r="F270" s="61">
        <f t="shared" si="88"/>
        <v>91.902862663995506</v>
      </c>
      <c r="G270" s="61">
        <f t="shared" si="88"/>
        <v>90.966133790529881</v>
      </c>
      <c r="H270" s="61">
        <f t="shared" si="88"/>
        <v>87.936065319598796</v>
      </c>
      <c r="I270" s="61">
        <f t="shared" si="88"/>
        <v>90.898866925580606</v>
      </c>
      <c r="J270" s="61">
        <f t="shared" si="88"/>
        <v>87.8585846630681</v>
      </c>
      <c r="K270" s="61">
        <f t="shared" si="88"/>
        <v>90.480302825830279</v>
      </c>
      <c r="L270" s="61">
        <f t="shared" si="88"/>
        <v>94.04005297077893</v>
      </c>
      <c r="M270" s="61">
        <f t="shared" si="88"/>
        <v>84.091319969033151</v>
      </c>
      <c r="N270" s="61">
        <f t="shared" si="88"/>
        <v>73.551830596966255</v>
      </c>
      <c r="O270" s="61">
        <f t="shared" si="88"/>
        <v>77.944614305994008</v>
      </c>
      <c r="P270" s="61">
        <f t="shared" si="88"/>
        <v>78.825280865433399</v>
      </c>
      <c r="Q270" s="61">
        <f t="shared" si="88"/>
        <v>90.980261379595845</v>
      </c>
      <c r="R270" s="61">
        <f t="shared" si="88"/>
        <v>85.991382022001204</v>
      </c>
      <c r="S270" s="61">
        <f t="shared" si="88"/>
        <v>87.365786420373325</v>
      </c>
      <c r="T270" s="61">
        <f t="shared" si="88"/>
        <v>89.939218374955303</v>
      </c>
      <c r="U270" s="61">
        <f t="shared" si="88"/>
        <v>91.520405378455251</v>
      </c>
      <c r="V270" s="61">
        <f t="shared" si="88"/>
        <v>90.668390397995609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+IFERROR(IF(D232&gt;0,+((D232/D39)*100),"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74.776759865949245</v>
      </c>
    </row>
    <row r="272" spans="3:22" x14ac:dyDescent="0.2">
      <c r="C272" s="87" t="s">
        <v>149</v>
      </c>
      <c r="D272" s="60">
        <f t="shared" ref="D272:V272" si="90">+IFERROR(IF(D233&gt;0,+((D233/D40)*100)," "),"")</f>
        <v>50.677427092372398</v>
      </c>
      <c r="E272" s="60">
        <f t="shared" si="90"/>
        <v>45.628065984643705</v>
      </c>
      <c r="F272" s="60">
        <f t="shared" si="90"/>
        <v>36.917901449928422</v>
      </c>
      <c r="G272" s="60">
        <f t="shared" si="90"/>
        <v>46.589072018313459</v>
      </c>
      <c r="H272" s="60">
        <f t="shared" si="90"/>
        <v>68.246972014158658</v>
      </c>
      <c r="I272" s="60">
        <f t="shared" si="90"/>
        <v>31.425672867248682</v>
      </c>
      <c r="J272" s="60">
        <f t="shared" si="90"/>
        <v>58.71269542851492</v>
      </c>
      <c r="K272" s="60">
        <f t="shared" si="90"/>
        <v>70.194098365211701</v>
      </c>
      <c r="L272" s="60">
        <f t="shared" si="90"/>
        <v>61.699266023532282</v>
      </c>
      <c r="M272" s="60">
        <f t="shared" si="90"/>
        <v>58.170269578933706</v>
      </c>
      <c r="N272" s="60">
        <f t="shared" si="90"/>
        <v>58.139535047028211</v>
      </c>
      <c r="O272" s="60">
        <f t="shared" si="90"/>
        <v>70.178147341679974</v>
      </c>
      <c r="P272" s="60">
        <f t="shared" si="90"/>
        <v>60.286875717244591</v>
      </c>
      <c r="Q272" s="60">
        <f t="shared" si="90"/>
        <v>71.436351998361147</v>
      </c>
      <c r="R272" s="60">
        <f t="shared" si="90"/>
        <v>76.359734323910956</v>
      </c>
      <c r="S272" s="60">
        <f t="shared" si="90"/>
        <v>78.464781735800671</v>
      </c>
      <c r="T272" s="60">
        <f t="shared" si="90"/>
        <v>85.049944680990649</v>
      </c>
      <c r="U272" s="60">
        <f t="shared" si="90"/>
        <v>78.872314147129458</v>
      </c>
      <c r="V272" s="60">
        <f t="shared" si="90"/>
        <v>85.646050911875463</v>
      </c>
    </row>
    <row r="273" spans="3:22" x14ac:dyDescent="0.2">
      <c r="C273" s="88" t="s">
        <v>150</v>
      </c>
      <c r="D273" s="62">
        <f t="shared" ref="D273:V273" si="91">+IFERROR(IF(D234&gt;0,+((D234/D41)*100)," "),"")</f>
        <v>55.842420493236425</v>
      </c>
      <c r="E273" s="62">
        <f t="shared" si="91"/>
        <v>69.533235739447235</v>
      </c>
      <c r="F273" s="62">
        <f t="shared" si="91"/>
        <v>42.106719615506002</v>
      </c>
      <c r="G273" s="62">
        <f t="shared" si="91"/>
        <v>68.853709447701021</v>
      </c>
      <c r="H273" s="62">
        <f t="shared" si="91"/>
        <v>68.046859212119998</v>
      </c>
      <c r="I273" s="62">
        <f t="shared" si="91"/>
        <v>72.568465755153838</v>
      </c>
      <c r="J273" s="62">
        <f t="shared" si="91"/>
        <v>57.341550547583594</v>
      </c>
      <c r="K273" s="62">
        <f t="shared" si="91"/>
        <v>71.6776614523624</v>
      </c>
      <c r="L273" s="62">
        <f t="shared" si="91"/>
        <v>74.89315647405661</v>
      </c>
      <c r="M273" s="62">
        <f t="shared" si="91"/>
        <v>70.570742351461618</v>
      </c>
      <c r="N273" s="62">
        <f t="shared" si="91"/>
        <v>66.29835116452233</v>
      </c>
      <c r="O273" s="62">
        <f t="shared" si="91"/>
        <v>68.251893961938364</v>
      </c>
      <c r="P273" s="62">
        <f t="shared" si="91"/>
        <v>70.823352664050134</v>
      </c>
      <c r="Q273" s="62">
        <f t="shared" si="91"/>
        <v>69.32868056973183</v>
      </c>
      <c r="R273" s="62">
        <f t="shared" si="91"/>
        <v>77.337944095443603</v>
      </c>
      <c r="S273" s="62">
        <f t="shared" si="91"/>
        <v>72.262847350766378</v>
      </c>
      <c r="T273" s="62">
        <f t="shared" si="91"/>
        <v>66.75212936468273</v>
      </c>
      <c r="U273" s="62">
        <f t="shared" si="91"/>
        <v>62.819656486324249</v>
      </c>
      <c r="V273" s="62">
        <f t="shared" si="91"/>
        <v>72.406321516523349</v>
      </c>
    </row>
    <row r="274" spans="3:22" x14ac:dyDescent="0.2">
      <c r="C274" s="87" t="s">
        <v>151</v>
      </c>
      <c r="D274" s="60">
        <f t="shared" ref="D274:V274" si="92">+IFERROR(IF(D235&gt;0,+((D235/D42)*100)," "),"")</f>
        <v>51.176585022704678</v>
      </c>
      <c r="E274" s="60">
        <f t="shared" si="92"/>
        <v>24.018877695354334</v>
      </c>
      <c r="F274" s="60">
        <f t="shared" si="92"/>
        <v>41.382043547503137</v>
      </c>
      <c r="G274" s="60">
        <f t="shared" si="92"/>
        <v>25.476252934758424</v>
      </c>
      <c r="H274" s="60">
        <f t="shared" si="92"/>
        <v>11.094667839161545</v>
      </c>
      <c r="I274" s="60">
        <f t="shared" si="92"/>
        <v>13.870886398340001</v>
      </c>
      <c r="J274" s="60">
        <f t="shared" si="92"/>
        <v>49.872442994093952</v>
      </c>
      <c r="K274" s="60">
        <f t="shared" si="92"/>
        <v>74.060694007984665</v>
      </c>
      <c r="L274" s="60">
        <f t="shared" si="92"/>
        <v>47.685598927717677</v>
      </c>
      <c r="M274" s="60">
        <f t="shared" si="92"/>
        <v>34.220245691438585</v>
      </c>
      <c r="N274" s="60">
        <f t="shared" si="92"/>
        <v>29.026405123128836</v>
      </c>
      <c r="O274" s="60">
        <f t="shared" si="92"/>
        <v>68.991385617817585</v>
      </c>
      <c r="P274" s="60">
        <f t="shared" si="92"/>
        <v>67.669579693836795</v>
      </c>
      <c r="Q274" s="60">
        <f t="shared" si="92"/>
        <v>55.961330195240734</v>
      </c>
      <c r="R274" s="60">
        <f t="shared" si="92"/>
        <v>59.952103368201705</v>
      </c>
      <c r="S274" s="60">
        <f t="shared" si="92"/>
        <v>54.766628728115364</v>
      </c>
      <c r="T274" s="60">
        <f t="shared" si="92"/>
        <v>63.732317865196542</v>
      </c>
      <c r="U274" s="60">
        <f t="shared" si="92"/>
        <v>59.64231689257786</v>
      </c>
      <c r="V274" s="60">
        <f t="shared" si="92"/>
        <v>60.531093047790641</v>
      </c>
    </row>
    <row r="275" spans="3:22" x14ac:dyDescent="0.2">
      <c r="C275" s="91" t="s">
        <v>154</v>
      </c>
      <c r="D275" s="74">
        <f t="shared" ref="D275:V275" si="93">+IFERROR(IF(D236&gt;0,+((D236/D43)*100)," "),"")</f>
        <v>76.980492672240501</v>
      </c>
      <c r="E275" s="74">
        <f t="shared" si="93"/>
        <v>83.13683103084702</v>
      </c>
      <c r="F275" s="74">
        <f t="shared" si="93"/>
        <v>80.695977001490206</v>
      </c>
      <c r="G275" s="74">
        <f t="shared" si="93"/>
        <v>85.656141514985478</v>
      </c>
      <c r="H275" s="74">
        <f t="shared" si="93"/>
        <v>83.983732609946671</v>
      </c>
      <c r="I275" s="74">
        <f t="shared" si="93"/>
        <v>87.078815643830183</v>
      </c>
      <c r="J275" s="74">
        <f t="shared" si="93"/>
        <v>85.184537452834689</v>
      </c>
      <c r="K275" s="74">
        <f t="shared" si="93"/>
        <v>86.971079184774894</v>
      </c>
      <c r="L275" s="74">
        <f t="shared" si="93"/>
        <v>88.763594875752787</v>
      </c>
      <c r="M275" s="74">
        <f t="shared" si="93"/>
        <v>84.630429440872135</v>
      </c>
      <c r="N275" s="74">
        <f t="shared" si="93"/>
        <v>81.352733132518026</v>
      </c>
      <c r="O275" s="74">
        <f t="shared" si="93"/>
        <v>82.889935854213007</v>
      </c>
      <c r="P275" s="74">
        <f t="shared" si="93"/>
        <v>82.36830485308829</v>
      </c>
      <c r="Q275" s="74">
        <f t="shared" si="93"/>
        <v>83.804028903198585</v>
      </c>
      <c r="R275" s="74">
        <f t="shared" si="93"/>
        <v>84.072032361739531</v>
      </c>
      <c r="S275" s="74">
        <f t="shared" si="93"/>
        <v>86.401420650570287</v>
      </c>
      <c r="T275" s="74">
        <f t="shared" si="93"/>
        <v>87.836783580324123</v>
      </c>
      <c r="U275" s="74">
        <f t="shared" si="93"/>
        <v>88.827593133626408</v>
      </c>
      <c r="V275" s="74">
        <f t="shared" si="93"/>
        <v>90.23529575528967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D2:V2"/>
    <mergeCell ref="Q128:Q129"/>
    <mergeCell ref="D51:D52"/>
    <mergeCell ref="A5:C6"/>
    <mergeCell ref="N51:N52"/>
    <mergeCell ref="K205:K206"/>
    <mergeCell ref="V244:V245"/>
    <mergeCell ref="D126:V126"/>
    <mergeCell ref="L165:Q165"/>
    <mergeCell ref="O6:O7"/>
    <mergeCell ref="K167:K168"/>
    <mergeCell ref="D4:V4"/>
    <mergeCell ref="K51:K52"/>
    <mergeCell ref="F12:F13"/>
    <mergeCell ref="C89:C90"/>
    <mergeCell ref="H6:H7"/>
    <mergeCell ref="M51:M52"/>
    <mergeCell ref="H89:H90"/>
    <mergeCell ref="J6:J7"/>
    <mergeCell ref="K244:K245"/>
    <mergeCell ref="F205:F206"/>
    <mergeCell ref="C205:C206"/>
    <mergeCell ref="V6:V7"/>
    <mergeCell ref="H167:H168"/>
    <mergeCell ref="I244:I245"/>
    <mergeCell ref="V205:V206"/>
    <mergeCell ref="D167:D168"/>
    <mergeCell ref="P167:P168"/>
    <mergeCell ref="J51:J52"/>
    <mergeCell ref="E12:E13"/>
    <mergeCell ref="G12:G13"/>
    <mergeCell ref="Q12:Q13"/>
    <mergeCell ref="N89:N90"/>
    <mergeCell ref="D12:D13"/>
    <mergeCell ref="D6:D7"/>
    <mergeCell ref="F6:F7"/>
    <mergeCell ref="D128:D129"/>
    <mergeCell ref="I89:I90"/>
    <mergeCell ref="F128:F129"/>
    <mergeCell ref="I205:I206"/>
    <mergeCell ref="R89:R90"/>
    <mergeCell ref="E6:E7"/>
    <mergeCell ref="U12:U13"/>
    <mergeCell ref="T89:T90"/>
    <mergeCell ref="E205:E206"/>
    <mergeCell ref="L205:L206"/>
    <mergeCell ref="Q51:Q52"/>
    <mergeCell ref="T167:T168"/>
    <mergeCell ref="E167:E168"/>
    <mergeCell ref="I12:I13"/>
    <mergeCell ref="K12:K13"/>
    <mergeCell ref="N167:N168"/>
    <mergeCell ref="S12:S13"/>
    <mergeCell ref="P89:P90"/>
    <mergeCell ref="E244:E245"/>
    <mergeCell ref="N244:N245"/>
    <mergeCell ref="L128:L129"/>
    <mergeCell ref="D10:V10"/>
    <mergeCell ref="N128:N129"/>
    <mergeCell ref="D203:V203"/>
    <mergeCell ref="T51:T52"/>
    <mergeCell ref="V51:V52"/>
    <mergeCell ref="L51:L52"/>
    <mergeCell ref="C11:V11"/>
    <mergeCell ref="V89:V90"/>
    <mergeCell ref="L242:Q242"/>
    <mergeCell ref="O167:O168"/>
    <mergeCell ref="Q167:Q168"/>
    <mergeCell ref="S205:S206"/>
    <mergeCell ref="U205:U206"/>
    <mergeCell ref="P12:P13"/>
    <mergeCell ref="U167:U168"/>
    <mergeCell ref="U128:U129"/>
    <mergeCell ref="D48:V48"/>
    <mergeCell ref="H205:H206"/>
    <mergeCell ref="V167:V168"/>
    <mergeCell ref="L244:L245"/>
    <mergeCell ref="D241:V241"/>
    <mergeCell ref="U89:U90"/>
    <mergeCell ref="L167:L168"/>
    <mergeCell ref="N205:N206"/>
    <mergeCell ref="S51:S52"/>
    <mergeCell ref="P205:P206"/>
    <mergeCell ref="U51:U52"/>
    <mergeCell ref="P244:P245"/>
    <mergeCell ref="A7:C7"/>
    <mergeCell ref="R167:R168"/>
    <mergeCell ref="D87:V87"/>
    <mergeCell ref="C12:C13"/>
    <mergeCell ref="D244:D245"/>
    <mergeCell ref="F244:F245"/>
    <mergeCell ref="G6:G7"/>
    <mergeCell ref="M12:M13"/>
    <mergeCell ref="R51:R52"/>
    <mergeCell ref="L89:L90"/>
    <mergeCell ref="O12:O13"/>
    <mergeCell ref="J89:J90"/>
    <mergeCell ref="Q6:Q7"/>
    <mergeCell ref="C167:C168"/>
    <mergeCell ref="R244:R245"/>
    <mergeCell ref="I128:I129"/>
    <mergeCell ref="K128:K129"/>
    <mergeCell ref="U6:U7"/>
    <mergeCell ref="S167:S168"/>
    <mergeCell ref="P51:P52"/>
    <mergeCell ref="M128:M129"/>
    <mergeCell ref="E128:E129"/>
    <mergeCell ref="O128:O129"/>
    <mergeCell ref="G128:G129"/>
    <mergeCell ref="G205:G206"/>
    <mergeCell ref="J205:J206"/>
    <mergeCell ref="G167:G168"/>
    <mergeCell ref="M89:M90"/>
    <mergeCell ref="I167:I168"/>
    <mergeCell ref="O89:O90"/>
    <mergeCell ref="P128:P129"/>
    <mergeCell ref="R128:R129"/>
    <mergeCell ref="E51:E52"/>
    <mergeCell ref="F89:F90"/>
    <mergeCell ref="O205:O206"/>
    <mergeCell ref="Q205:Q206"/>
    <mergeCell ref="D164:V164"/>
    <mergeCell ref="V128:V129"/>
    <mergeCell ref="L49:Q49"/>
    <mergeCell ref="G51:G52"/>
    <mergeCell ref="I51:I52"/>
    <mergeCell ref="D205:D206"/>
    <mergeCell ref="V12:V13"/>
    <mergeCell ref="F51:F52"/>
    <mergeCell ref="H51:H52"/>
    <mergeCell ref="D89:D90"/>
    <mergeCell ref="M205:M206"/>
    <mergeCell ref="M167:M168"/>
    <mergeCell ref="C128:C129"/>
    <mergeCell ref="G244:G245"/>
    <mergeCell ref="J167:J168"/>
    <mergeCell ref="L12:L13"/>
    <mergeCell ref="K89:K90"/>
    <mergeCell ref="N12:N13"/>
    <mergeCell ref="T205:T206"/>
    <mergeCell ref="E89:E90"/>
    <mergeCell ref="C51:C52"/>
    <mergeCell ref="C244:C245"/>
    <mergeCell ref="H12:H13"/>
    <mergeCell ref="F167:F168"/>
    <mergeCell ref="O51:O52"/>
    <mergeCell ref="J12:J13"/>
    <mergeCell ref="G89:G90"/>
    <mergeCell ref="U244:U245"/>
    <mergeCell ref="M244:M245"/>
    <mergeCell ref="P6:P7"/>
    <mergeCell ref="Q244:Q245"/>
    <mergeCell ref="S244:S245"/>
    <mergeCell ref="R6:R7"/>
    <mergeCell ref="S128:S129"/>
    <mergeCell ref="R205:R206"/>
    <mergeCell ref="R12:R13"/>
    <mergeCell ref="T12:T13"/>
    <mergeCell ref="H128:H129"/>
    <mergeCell ref="J128:J129"/>
    <mergeCell ref="T128:T129"/>
    <mergeCell ref="H244:H245"/>
    <mergeCell ref="I6:I7"/>
    <mergeCell ref="J244:J245"/>
    <mergeCell ref="K6:K7"/>
    <mergeCell ref="L6:L7"/>
    <mergeCell ref="N6:N7"/>
    <mergeCell ref="Q89:Q90"/>
    <mergeCell ref="O244:O245"/>
    <mergeCell ref="S89:S90"/>
    <mergeCell ref="M6:M7"/>
    <mergeCell ref="S6:S7"/>
    <mergeCell ref="T6:T7"/>
    <mergeCell ref="T244:T245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K298"/>
  <sheetViews>
    <sheetView showGridLines="0" zoomScaleNormal="100" workbookViewId="0">
      <pane xSplit="3" ySplit="9" topLeftCell="D1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50.28515625" style="3" customWidth="1"/>
    <col min="4" max="4" width="10.7109375" style="3" customWidth="1"/>
    <col min="5" max="25" width="10.7109375" style="9" customWidth="1"/>
    <col min="26" max="26" width="11.42578125" style="9" customWidth="1"/>
    <col min="27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6.5" customHeight="1" x14ac:dyDescent="0.2">
      <c r="A7" s="165" t="s">
        <v>20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56"/>
      <c r="B8" s="156"/>
      <c r="C8" s="15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ht="16.5" customHeight="1" x14ac:dyDescent="0.2">
      <c r="A9" s="162" t="s">
        <v>227</v>
      </c>
      <c r="B9" s="156"/>
      <c r="C9" s="156"/>
      <c r="D9" s="156"/>
      <c r="E9" s="178"/>
      <c r="F9" s="178"/>
      <c r="G9" s="178"/>
      <c r="H9" s="178"/>
      <c r="I9" s="178"/>
      <c r="J9" s="178"/>
      <c r="K9" s="178"/>
    </row>
    <row r="10" spans="1:11" s="102" customFormat="1" ht="14.25" customHeight="1" x14ac:dyDescent="0.25">
      <c r="B10" s="98"/>
      <c r="C10" s="98"/>
      <c r="D10" s="98"/>
    </row>
    <row r="11" spans="1:11" ht="18" customHeight="1" x14ac:dyDescent="0.2">
      <c r="C11" s="155" t="s">
        <v>119</v>
      </c>
      <c r="D11" s="156"/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2263.008177069*Deflactores!$T$5</f>
        <v>3512.0214453864019</v>
      </c>
      <c r="E15" s="42">
        <f>1848.385352454*Deflactores!$U$5</f>
        <v>2823.1054658809958</v>
      </c>
      <c r="F15" s="42">
        <f>2396.84557186*Deflactores!$V$5</f>
        <v>3465.9993336399366</v>
      </c>
      <c r="G15" s="42">
        <f>2587.244716219*Deflactores!$W$5</f>
        <v>3307.3985651916882</v>
      </c>
      <c r="H15" s="42">
        <f>5380.714478735*Deflactores!$X$5</f>
        <v>6294.3122827248362</v>
      </c>
      <c r="I15" s="42">
        <f>7882.496877194*Deflactores!$Y$5</f>
        <v>8765.0905327054552</v>
      </c>
      <c r="J15" s="42">
        <f>5051.466451465*Deflactores!$Z$5</f>
        <v>5344.4515056499704</v>
      </c>
      <c r="K15" s="42">
        <f>4124.07427549*Deflactores!$AA$5</f>
        <v>4124.0742754900002</v>
      </c>
    </row>
    <row r="16" spans="1:11" x14ac:dyDescent="0.2">
      <c r="C16" s="88" t="s">
        <v>124</v>
      </c>
      <c r="D16" s="50">
        <f>622.602510556*Deflactores!$T$5</f>
        <v>966.23308354816231</v>
      </c>
      <c r="E16" s="50">
        <f>726.872387118*Deflactores!$U$5</f>
        <v>1110.1783545008163</v>
      </c>
      <c r="F16" s="50">
        <f>1170.821132766*Deflactores!$V$5</f>
        <v>1693.0858264804153</v>
      </c>
      <c r="G16" s="50">
        <f>1362.009917729*Deflactores!$W$5</f>
        <v>1741.1223682995585</v>
      </c>
      <c r="H16" s="50">
        <f>2010.636058396*Deflactores!$X$5</f>
        <v>2352.0243061524989</v>
      </c>
      <c r="I16" s="50">
        <f>2043.195590413*Deflactores!$Y$5</f>
        <v>2271.9697330688532</v>
      </c>
      <c r="J16" s="50">
        <f>1763.960678017*Deflactores!$Z$5</f>
        <v>1866.2703973419862</v>
      </c>
      <c r="K16" s="50">
        <f>1796.378366946*Deflactores!$AA$5</f>
        <v>1796.3783669459999</v>
      </c>
    </row>
    <row r="17" spans="3:11" x14ac:dyDescent="0.2">
      <c r="C17" s="87" t="s">
        <v>125</v>
      </c>
      <c r="D17" s="42">
        <f>350.968983876*Deflactores!$T$5</f>
        <v>544.67792495316439</v>
      </c>
      <c r="E17" s="42">
        <f>270.045579608*Deflactores!$U$5</f>
        <v>412.45033175370781</v>
      </c>
      <c r="F17" s="42">
        <f>412.035071887*Deflactores!$V$5</f>
        <v>595.8303285632129</v>
      </c>
      <c r="G17" s="42">
        <f>330.504086272*Deflactores!$W$5</f>
        <v>422.49916827484032</v>
      </c>
      <c r="H17" s="42">
        <f>484.836286945*Deflactores!$X$5</f>
        <v>567.15720711240385</v>
      </c>
      <c r="I17" s="42">
        <f>375.665563998*Deflactores!$Y$5</f>
        <v>417.72838350105013</v>
      </c>
      <c r="J17" s="42">
        <f>281.450237264*Deflactores!$Z$5</f>
        <v>297.774351025312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1001.62005512*Deflactores!$T$5</f>
        <v>1554.4403017874263</v>
      </c>
      <c r="E18" s="50">
        <f>1109.619731815*Deflactores!$U$5</f>
        <v>1694.7621478266883</v>
      </c>
      <c r="F18" s="50">
        <f>1180.478070828*Deflactores!$V$5</f>
        <v>1707.0504061266211</v>
      </c>
      <c r="G18" s="50">
        <f>1166.871493802*Deflactores!$W$5</f>
        <v>1491.6675953265883</v>
      </c>
      <c r="H18" s="50">
        <f>1446.367435627*Deflactores!$X$5</f>
        <v>1691.9478540219002</v>
      </c>
      <c r="I18" s="50">
        <f>1470.119868961*Deflactores!$Y$5</f>
        <v>1634.7274151993438</v>
      </c>
      <c r="J18" s="50">
        <f>1464.940835322*Deflactores!$Z$5</f>
        <v>1549.9074037706762</v>
      </c>
      <c r="K18" s="50">
        <f>1769.598765235*Deflactores!$AA$5</f>
        <v>1769.598765235</v>
      </c>
    </row>
    <row r="19" spans="3:11" x14ac:dyDescent="0.2">
      <c r="C19" s="87" t="s">
        <v>127</v>
      </c>
      <c r="D19" s="42">
        <f>647.367*Deflactores!$T$5</f>
        <v>1004.6657409696743</v>
      </c>
      <c r="E19" s="42">
        <f>690.460829558*Deflactores!$U$5</f>
        <v>1054.5656723117895</v>
      </c>
      <c r="F19" s="42">
        <f>776.347897349*Deflactores!$V$5</f>
        <v>1122.6510904481299</v>
      </c>
      <c r="G19" s="42">
        <f>971.637279727*Deflactores!$W$5</f>
        <v>1242.0903692296176</v>
      </c>
      <c r="H19" s="42">
        <f>1183.665725483*Deflactores!$X$5</f>
        <v>1384.6417132877905</v>
      </c>
      <c r="I19" s="42">
        <f>1371.608*Deflactores!$Y$5</f>
        <v>1525.1852912452703</v>
      </c>
      <c r="J19" s="42">
        <f>1566.670325863*Deflactores!$Z$5</f>
        <v>1657.5372047630542</v>
      </c>
      <c r="K19" s="42">
        <f>1332.772*Deflactores!$AA$5</f>
        <v>1332.7719999999999</v>
      </c>
    </row>
    <row r="20" spans="3:11" x14ac:dyDescent="0.2">
      <c r="C20" s="88" t="s">
        <v>128</v>
      </c>
      <c r="D20" s="50">
        <f>383.014478751*Deflactores!$T$5</f>
        <v>594.41016470794318</v>
      </c>
      <c r="E20" s="50">
        <f>379.718754316*Deflactores!$U$5</f>
        <v>579.95811824834334</v>
      </c>
      <c r="F20" s="50">
        <f>615.051097295*Deflactores!$V$5</f>
        <v>889.40510744907465</v>
      </c>
      <c r="G20" s="50">
        <f>572.673558519*Deflactores!$W$5</f>
        <v>732.07597792950116</v>
      </c>
      <c r="H20" s="50">
        <f>804.18755564*Deflactores!$X$5</f>
        <v>940.73150119449201</v>
      </c>
      <c r="I20" s="50">
        <f>1324.029954937*Deflactores!$Y$5</f>
        <v>1472.2799899373949</v>
      </c>
      <c r="J20" s="50">
        <f>1075.959820342*Deflactores!$Z$5</f>
        <v>1138.3654899218361</v>
      </c>
      <c r="K20" s="50">
        <f>1154.149936919*Deflactores!$AA$5</f>
        <v>1154.1499369190001</v>
      </c>
    </row>
    <row r="21" spans="3:11" x14ac:dyDescent="0.2">
      <c r="C21" s="87" t="s">
        <v>129</v>
      </c>
      <c r="D21" s="42">
        <f>33563.9482759364*Deflactores!$T$5</f>
        <v>52088.767213205901</v>
      </c>
      <c r="E21" s="42">
        <f>35404.205533454*Deflactores!$U$5</f>
        <v>54074.11718772295</v>
      </c>
      <c r="F21" s="42">
        <f>38824.650875343*Deflactores!$V$5</f>
        <v>56143.047196117848</v>
      </c>
      <c r="G21" s="42">
        <f>42390.856385664*Deflactores!$W$5</f>
        <v>54190.257577213415</v>
      </c>
      <c r="H21" s="42">
        <f>47951.8827*Deflactores!$X$5</f>
        <v>56093.68894246719</v>
      </c>
      <c r="I21" s="42">
        <f>55898.946923629*Deflactores!$Y$5</f>
        <v>62157.884500541702</v>
      </c>
      <c r="J21" s="42">
        <f>60056.0795847993*Deflactores!$Z$5</f>
        <v>63539.332200717661</v>
      </c>
      <c r="K21" s="42">
        <f>65749.312324886*Deflactores!$AA$5</f>
        <v>65749.312324886007</v>
      </c>
    </row>
    <row r="22" spans="3:11" x14ac:dyDescent="0.2">
      <c r="C22" s="88" t="s">
        <v>130</v>
      </c>
      <c r="D22" s="50">
        <f>499.630371065*Deflactores!$T$5</f>
        <v>775.38941119484252</v>
      </c>
      <c r="E22" s="50">
        <f>461.981328593*Deflactores!$U$5</f>
        <v>705.60070829078938</v>
      </c>
      <c r="F22" s="50">
        <f>767.722084933*Deflactores!$V$5</f>
        <v>1110.1775875921414</v>
      </c>
      <c r="G22" s="50">
        <f>898.135598597*Deflactores!$W$5</f>
        <v>1148.1296575951169</v>
      </c>
      <c r="H22" s="50">
        <f>948.780870577*Deflactores!$X$5</f>
        <v>1109.8754841738353</v>
      </c>
      <c r="I22" s="50">
        <f>1058.666759556*Deflactores!$Y$5</f>
        <v>1177.2043980533101</v>
      </c>
      <c r="J22" s="50">
        <f>449.600696578*Deflactores!$Z$5</f>
        <v>475.67753697952401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41460.543920518*Deflactores!$T$5</f>
        <v>64343.70006335347</v>
      </c>
      <c r="E23" s="42">
        <f>44611.394364525*Deflactores!$U$5</f>
        <v>68136.588024708151</v>
      </c>
      <c r="F23" s="42">
        <f>48094.75984832*Deflactores!$V$5</f>
        <v>69548.246054288</v>
      </c>
      <c r="G23" s="42">
        <f>49755.57288569*Deflactores!$W$5</f>
        <v>63604.926639066369</v>
      </c>
      <c r="H23" s="42">
        <f>59051.239462706*Deflactores!$X$5</f>
        <v>69077.618470404166</v>
      </c>
      <c r="I23" s="42">
        <f>70125.283359031*Deflactores!$Y$5</f>
        <v>77977.126645222845</v>
      </c>
      <c r="J23" s="42">
        <f>80217.1222003794*Deflactores!$Z$5</f>
        <v>84869.715288001404</v>
      </c>
      <c r="K23" s="42">
        <f>88238.54283574*Deflactores!$AA$5</f>
        <v>88238.542835739994</v>
      </c>
    </row>
    <row r="24" spans="3:11" x14ac:dyDescent="0.2">
      <c r="C24" s="88" t="s">
        <v>132</v>
      </c>
      <c r="D24" s="50">
        <f>412.114986245*Deflactores!$T$5</f>
        <v>639.57200169384612</v>
      </c>
      <c r="E24" s="50">
        <f>350.44393491*Deflactores!$U$5</f>
        <v>535.2456330687603</v>
      </c>
      <c r="F24" s="50">
        <f>501.248972395*Deflactores!$V$5</f>
        <v>724.83960781860947</v>
      </c>
      <c r="G24" s="50">
        <f>510.979842441*Deflactores!$W$5</f>
        <v>653.20995232373116</v>
      </c>
      <c r="H24" s="50">
        <f>575.945132952*Deflactores!$X$5</f>
        <v>673.73553063303177</v>
      </c>
      <c r="I24" s="50">
        <f>584.086269041*Deflactores!$Y$5</f>
        <v>649.48570317442079</v>
      </c>
      <c r="J24" s="50">
        <f>619.316459157*Deflactores!$Z$5</f>
        <v>655.23681378810613</v>
      </c>
      <c r="K24" s="50">
        <f>661.553093049*Deflactores!$AA$5</f>
        <v>661.55309304900004</v>
      </c>
    </row>
    <row r="25" spans="3:11" x14ac:dyDescent="0.2">
      <c r="C25" s="87" t="s">
        <v>133</v>
      </c>
      <c r="D25" s="42">
        <f>3869.485738111*Deflactores!$T$5</f>
        <v>6005.155894957381</v>
      </c>
      <c r="E25" s="42">
        <f>4000.956883406*Deflactores!$U$5</f>
        <v>6110.8054288039866</v>
      </c>
      <c r="F25" s="42">
        <f>4504.999046571*Deflactores!$V$5</f>
        <v>6514.5305466411883</v>
      </c>
      <c r="G25" s="42">
        <f>4774.552489748*Deflactores!$W$5</f>
        <v>6103.5386235525557</v>
      </c>
      <c r="H25" s="42">
        <f>5467.340883494*Deflactores!$X$5</f>
        <v>6395.6470860558347</v>
      </c>
      <c r="I25" s="42">
        <f>6024.475401395*Deflactores!$Y$5</f>
        <v>6699.0286362259476</v>
      </c>
      <c r="J25" s="42">
        <f>6855.714859023*Deflactores!$Z$5</f>
        <v>7253.3463208463345</v>
      </c>
      <c r="K25" s="42">
        <f>7200.196385834*Deflactores!$AA$5</f>
        <v>7200.1963858339996</v>
      </c>
    </row>
    <row r="26" spans="3:11" x14ac:dyDescent="0.2">
      <c r="C26" s="88" t="s">
        <v>134</v>
      </c>
      <c r="D26" s="50">
        <f>10531.627512542*Deflactores!$T$5</f>
        <v>16344.307569747325</v>
      </c>
      <c r="E26" s="50">
        <f>40897.317476684*Deflactores!$U$5</f>
        <v>62463.944736962163</v>
      </c>
      <c r="F26" s="50">
        <f>24164.2715396651*Deflactores!$V$5</f>
        <v>34943.156137247286</v>
      </c>
      <c r="G26" s="50">
        <f>18262.849806368*Deflactores!$W$5</f>
        <v>23346.273689241538</v>
      </c>
      <c r="H26" s="50">
        <f>41677.019984296*Deflactores!$X$5</f>
        <v>48753.409947928667</v>
      </c>
      <c r="I26" s="50">
        <f>32833.826152824*Deflactores!$Y$5</f>
        <v>36510.190013175372</v>
      </c>
      <c r="J26" s="50">
        <f>24934.9563780146*Deflactores!$Z$5</f>
        <v>26381.18384793945</v>
      </c>
      <c r="K26" s="50">
        <f>33628.213474621*Deflactores!$AA$5</f>
        <v>33628.213474620999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584.89558474069247</v>
      </c>
      <c r="I27" s="42">
        <f>12415.915576892*Deflactores!$Y$5</f>
        <v>13806.110649120386</v>
      </c>
      <c r="J27" s="42">
        <f>11248.040868552*Deflactores!$Z$5</f>
        <v>11900.427238928016</v>
      </c>
      <c r="K27" s="42">
        <f>11320.13053325*Deflactores!$AA$5</f>
        <v>11320.13053325</v>
      </c>
    </row>
    <row r="28" spans="3:11" x14ac:dyDescent="0.2">
      <c r="C28" s="88" t="s">
        <v>136</v>
      </c>
      <c r="D28" s="50">
        <f>11486.26077021*Deflactores!$T$5</f>
        <v>17825.827834402946</v>
      </c>
      <c r="E28" s="50">
        <f>18087.206693409*Deflactores!$U$5</f>
        <v>27625.241679658378</v>
      </c>
      <c r="F28" s="50">
        <f>23919.566735447*Deflactores!$V$5</f>
        <v>34589.296590217622</v>
      </c>
      <c r="G28" s="50">
        <f>23402.950660521*Deflactores!$W$5</f>
        <v>29917.110256572723</v>
      </c>
      <c r="H28" s="50">
        <f>21908.204396293*Deflactores!$X$5</f>
        <v>25628.024041976809</v>
      </c>
      <c r="I28" s="50">
        <f>13420.569244508*Deflactores!$Y$5</f>
        <v>14923.25417456172</v>
      </c>
      <c r="J28" s="50">
        <f>10947.78569699*Deflactores!$Z$5</f>
        <v>11582.757267415422</v>
      </c>
      <c r="K28" s="50">
        <f>13222.413521214*Deflactores!$AA$5</f>
        <v>13222.413521214001</v>
      </c>
    </row>
    <row r="29" spans="3:11" x14ac:dyDescent="0.2">
      <c r="C29" s="87" t="s">
        <v>137</v>
      </c>
      <c r="D29" s="42">
        <f>384.671257987*Deflactores!$T$5</f>
        <v>596.98136363955234</v>
      </c>
      <c r="E29" s="42">
        <f>379.77636893*Deflactores!$U$5</f>
        <v>580.04611512165877</v>
      </c>
      <c r="F29" s="42">
        <f>611.503373928*Deflactores!$V$5</f>
        <v>884.27486169176507</v>
      </c>
      <c r="G29" s="42">
        <f>683.047414493*Deflactores!$W$5</f>
        <v>873.17215278866411</v>
      </c>
      <c r="H29" s="42">
        <f>1026.940642159*Deflactores!$X$5</f>
        <v>1201.3060947791409</v>
      </c>
      <c r="I29" s="42">
        <f>1294.248362117*Deflactores!$Y$5</f>
        <v>1439.1637881370848</v>
      </c>
      <c r="J29" s="42">
        <f>1028.649419471*Deflactores!$Z$5</f>
        <v>1088.3110858003181</v>
      </c>
      <c r="K29" s="42">
        <f>831.537001053*Deflactores!$AA$5</f>
        <v>831.53700105300004</v>
      </c>
    </row>
    <row r="30" spans="3:11" x14ac:dyDescent="0.2">
      <c r="C30" s="88" t="s">
        <v>138</v>
      </c>
      <c r="D30" s="50">
        <f>97.627789965*Deflactores!$T$5</f>
        <v>151.511114938541</v>
      </c>
      <c r="E30" s="50">
        <f>99.695353307*Deflactores!$U$5</f>
        <v>152.26830080116267</v>
      </c>
      <c r="F30" s="50">
        <f>117.173050941*Deflactores!$V$5</f>
        <v>169.44008460541153</v>
      </c>
      <c r="G30" s="50">
        <f>111.804*Deflactores!$W$5</f>
        <v>142.92439631419506</v>
      </c>
      <c r="H30" s="50">
        <f>143.794*Deflactores!$X$5</f>
        <v>168.20895142440628</v>
      </c>
      <c r="I30" s="50">
        <f>168.585191002*Deflactores!$Y$5</f>
        <v>187.46147123523986</v>
      </c>
      <c r="J30" s="50">
        <f>175.85005386*Deflactores!$Z$5</f>
        <v>186.04935698388002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1391.776560443*Deflactores!$T$5</f>
        <v>2159.9343639105659</v>
      </c>
      <c r="E31" s="42">
        <f>1792.157702967*Deflactores!$U$5</f>
        <v>2737.2269533783706</v>
      </c>
      <c r="F31" s="42">
        <f>2240.342505493*Deflactores!$V$5</f>
        <v>3239.6854108285956</v>
      </c>
      <c r="G31" s="42">
        <f>3061.302844798*Deflactores!$W$5</f>
        <v>3913.4097261965776</v>
      </c>
      <c r="H31" s="42">
        <f>3386.444020794*Deflactores!$X$5</f>
        <v>3961.4323114678568</v>
      </c>
      <c r="I31" s="42">
        <f>4117.7697776325*Deflactores!$Y$5</f>
        <v>4578.8314865321554</v>
      </c>
      <c r="J31" s="42">
        <f>4475.341877974*Deflactores!$Z$5</f>
        <v>4734.9117068964924</v>
      </c>
      <c r="K31" s="42">
        <f>4302.362797682*Deflactores!$AA$5</f>
        <v>4302.3627976819998</v>
      </c>
    </row>
    <row r="32" spans="3:11" x14ac:dyDescent="0.2">
      <c r="C32" s="88" t="s">
        <v>161</v>
      </c>
      <c r="D32" s="50">
        <f>2745.88053173099*Deflactores!$T$5</f>
        <v>4261.4036536087233</v>
      </c>
      <c r="E32" s="50">
        <f>2969.954584718*Deflactores!$U$5</f>
        <v>4536.1185157651653</v>
      </c>
      <c r="F32" s="50">
        <f>3498.837263849*Deflactores!$V$5</f>
        <v>5059.553175803665</v>
      </c>
      <c r="G32" s="50">
        <f>3949.339071824*Deflactores!$W$5</f>
        <v>5048.6288744634239</v>
      </c>
      <c r="H32" s="50">
        <f>4435.38523878*Deflactores!$X$5</f>
        <v>5188.4744855729277</v>
      </c>
      <c r="I32" s="50">
        <f>4918.380473203*Deflactores!$Y$5</f>
        <v>5469.0855947742857</v>
      </c>
      <c r="J32" s="50">
        <f>5140.475146914*Deflactores!$Z$5</f>
        <v>5438.622705435012</v>
      </c>
      <c r="K32" s="50">
        <f>5651.49653109*Deflactores!$AA$5</f>
        <v>5651.4965310899997</v>
      </c>
    </row>
    <row r="33" spans="1:11" x14ac:dyDescent="0.2">
      <c r="C33" s="87" t="s">
        <v>140</v>
      </c>
      <c r="D33" s="42">
        <f>4012.537771226*Deflactores!$T$5</f>
        <v>6227.1620782300843</v>
      </c>
      <c r="E33" s="42">
        <f>4360.527328086*Deflactores!$U$5</f>
        <v>6659.9903086763943</v>
      </c>
      <c r="F33" s="42">
        <f>6163.481599712*Deflactores!$V$5</f>
        <v>8912.8074700807629</v>
      </c>
      <c r="G33" s="42">
        <f>5782.76013072*Deflactores!$W$5</f>
        <v>7392.37863325956</v>
      </c>
      <c r="H33" s="42">
        <f>9061.18469346*Deflactores!$X$5</f>
        <v>10599.693839449397</v>
      </c>
      <c r="I33" s="42">
        <f>12022.512081509*Deflactores!$Y$5</f>
        <v>13368.658239479562</v>
      </c>
      <c r="J33" s="42">
        <f>10819.91703917*Deflactores!$Z$5</f>
        <v>11447.472227441862</v>
      </c>
      <c r="K33" s="42">
        <f>13385.081165113*Deflactores!$AA$5</f>
        <v>13385.081165113001</v>
      </c>
    </row>
    <row r="34" spans="1:11" x14ac:dyDescent="0.2">
      <c r="C34" s="88" t="s">
        <v>141</v>
      </c>
      <c r="D34" s="50">
        <f>1899.029755191*Deflactores!$T$5</f>
        <v>2947.1538341040327</v>
      </c>
      <c r="E34" s="50">
        <f>2366.107585884*Deflactores!$U$5</f>
        <v>3613.8412640541874</v>
      </c>
      <c r="F34" s="50">
        <f>2863.913840026*Deflactores!$V$5</f>
        <v>4141.4113523506167</v>
      </c>
      <c r="G34" s="50">
        <f>3201.152359704*Deflactores!$W$5</f>
        <v>4092.1860445105294</v>
      </c>
      <c r="H34" s="50">
        <f>4036.230878127*Deflactores!$X$5</f>
        <v>4721.5472392210604</v>
      </c>
      <c r="I34" s="50">
        <f>4284.482677902*Deflactores!$Y$5</f>
        <v>4764.211028902776</v>
      </c>
      <c r="J34" s="50">
        <f>4262.924786703*Deflactores!$Z$5</f>
        <v>4510.1744243317744</v>
      </c>
      <c r="K34" s="50">
        <f>5031.040778705*Deflactores!$AA$5</f>
        <v>5031.0407787049999</v>
      </c>
    </row>
    <row r="35" spans="1:11" x14ac:dyDescent="0.2">
      <c r="C35" s="87" t="s">
        <v>142</v>
      </c>
      <c r="D35" s="42">
        <f>503.671049092*Deflactores!$T$5</f>
        <v>781.66024487035543</v>
      </c>
      <c r="E35" s="42">
        <f>620.581536088*Deflactores!$U$5</f>
        <v>947.83651267787127</v>
      </c>
      <c r="F35" s="42">
        <f>1566.475105583*Deflactores!$V$5</f>
        <v>2265.227987926191</v>
      </c>
      <c r="G35" s="42">
        <f>1844.900140579*Deflactores!$W$5</f>
        <v>2358.4240174969341</v>
      </c>
      <c r="H35" s="42">
        <f>1953.456582176*Deflactores!$X$5</f>
        <v>2285.1362597947723</v>
      </c>
      <c r="I35" s="42">
        <f>1520.357911235*Deflactores!$Y$5</f>
        <v>1690.59055039341</v>
      </c>
      <c r="J35" s="42">
        <f>1145.777446661*Deflactores!$Z$5</f>
        <v>1212.2325385673382</v>
      </c>
      <c r="K35" s="42">
        <f>1626.964606431*Deflactores!$AA$5</f>
        <v>1626.964606431</v>
      </c>
    </row>
    <row r="36" spans="1:11" x14ac:dyDescent="0.2">
      <c r="C36" s="88" t="s">
        <v>143</v>
      </c>
      <c r="D36" s="50">
        <f>1646.80567894*Deflactores!$T$5</f>
        <v>2555.7207081382317</v>
      </c>
      <c r="E36" s="50">
        <f>5350.616438662*Deflactores!$U$5</f>
        <v>8172.1890371858062</v>
      </c>
      <c r="F36" s="50">
        <f>8858.598655641*Deflactores!$V$5</f>
        <v>12810.127359856779</v>
      </c>
      <c r="G36" s="50">
        <f>6111.59828805276*Deflactores!$W$5</f>
        <v>7812.7481649566098</v>
      </c>
      <c r="H36" s="50">
        <f>5605.589759101*Deflactores!$X$5</f>
        <v>6557.3693999316338</v>
      </c>
      <c r="I36" s="50">
        <f>2937.241137996*Deflactores!$Y$5</f>
        <v>3266.1204808604343</v>
      </c>
      <c r="J36" s="50">
        <f>4079.91467449*Deflactores!$Z$5</f>
        <v>4316.54972561042</v>
      </c>
      <c r="K36" s="50">
        <f>9555.734489377*Deflactores!$AA$5</f>
        <v>9555.7344893770005</v>
      </c>
    </row>
    <row r="37" spans="1:11" x14ac:dyDescent="0.2">
      <c r="C37" s="87" t="s">
        <v>144</v>
      </c>
      <c r="D37" s="42">
        <f>4676.900083947*Deflactores!$T$5</f>
        <v>7258.2032885206454</v>
      </c>
      <c r="E37" s="42">
        <f>4875.879900141*Deflactores!$U$5</f>
        <v>7447.1068377555257</v>
      </c>
      <c r="F37" s="42">
        <f>5437.736589865*Deflactores!$V$5</f>
        <v>7863.3315463690033</v>
      </c>
      <c r="G37" s="42">
        <f>6036.03122774*Deflactores!$W$5</f>
        <v>7716.1471804082967</v>
      </c>
      <c r="H37" s="42">
        <f>7903.13935*Deflactores!$X$5</f>
        <v>9245.0226228108531</v>
      </c>
      <c r="I37" s="42">
        <f>9329.619831189*Deflactores!$Y$5</f>
        <v>10374.246096143828</v>
      </c>
      <c r="J37" s="42">
        <f>10674.585282309*Deflactores!$Z$5</f>
        <v>11293.711228682923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1558.548428152*Deflactores!$T$5</f>
        <v>2418.7519774817847</v>
      </c>
      <c r="E38" s="50">
        <f>721.992260303*Deflactores!$U$5</f>
        <v>1102.7247611971645</v>
      </c>
      <c r="F38" s="50">
        <f>1462.382560913*Deflactores!$V$5</f>
        <v>2114.7031920449404</v>
      </c>
      <c r="G38" s="50">
        <f>3356.375904579*Deflactores!$W$5</f>
        <v>4290.6157200588887</v>
      </c>
      <c r="H38" s="50">
        <f>3461.449960849*Deflactores!$X$5</f>
        <v>4049.173597802846</v>
      </c>
      <c r="I38" s="50">
        <f>1654.364619915*Deflactores!$Y$5</f>
        <v>1839.6018284020874</v>
      </c>
      <c r="J38" s="50">
        <f>3167.017816813*Deflactores!$Z$5</f>
        <v>3350.7048501881541</v>
      </c>
      <c r="K38" s="50">
        <f>6959.731874583*Deflactores!$AA$5</f>
        <v>6959.7318745829998</v>
      </c>
    </row>
    <row r="39" spans="1:11" x14ac:dyDescent="0.2">
      <c r="C39" s="87" t="s">
        <v>146</v>
      </c>
      <c r="D39" s="42">
        <f>959.16501762*Deflactores!$T$5</f>
        <v>1488.5532211858003</v>
      </c>
      <c r="E39" s="42">
        <f>1003.22924393699*Deflactores!$U$5</f>
        <v>1532.2681270601877</v>
      </c>
      <c r="F39" s="42">
        <f>1174.83849735899*Deflactores!$V$5</f>
        <v>1698.8952049258889</v>
      </c>
      <c r="G39" s="42">
        <f>1405.86894112*Deflactores!$W$5</f>
        <v>1797.1894539234077</v>
      </c>
      <c r="H39" s="42">
        <f>1516.879293235*Deflactores!$X$5</f>
        <v>1774.4320023954672</v>
      </c>
      <c r="I39" s="42">
        <f>1643.581942235*Deflactores!$Y$5</f>
        <v>1827.6118273246843</v>
      </c>
      <c r="J39" s="42">
        <f>1904.312779417*Deflactores!$Z$5</f>
        <v>2014.7629206231861</v>
      </c>
      <c r="K39" s="42">
        <f>1930.051807399*Deflactores!$AA$5</f>
        <v>1930.0518073989999</v>
      </c>
    </row>
    <row r="40" spans="1:11" x14ac:dyDescent="0.2">
      <c r="C40" s="88" t="s">
        <v>162</v>
      </c>
      <c r="D40" s="50">
        <f>29606.450855766*Deflactores!$T$5</f>
        <v>45947.02369211035</v>
      </c>
      <c r="E40" s="50">
        <f>35388.850228688*Deflactores!$U$5</f>
        <v>54050.664478168852</v>
      </c>
      <c r="F40" s="50">
        <f>43768.7643272268*Deflactores!$V$5</f>
        <v>63292.566602314466</v>
      </c>
      <c r="G40" s="50">
        <f>42478.5528507972*Deflactores!$W$5</f>
        <v>54302.364159608063</v>
      </c>
      <c r="H40" s="50">
        <f>53903.555042168*Deflactores!$X$5</f>
        <v>63055.902691981908</v>
      </c>
      <c r="I40" s="50">
        <f>61487.047139711*Deflactores!$Y$5</f>
        <v>68371.677548973021</v>
      </c>
      <c r="J40" s="50">
        <f>66956.211520204*Deflactores!$Z$5</f>
        <v>70839.671788375839</v>
      </c>
      <c r="K40" s="50">
        <f>78729.75986372*Deflactores!$AA$5</f>
        <v>78729.759863719999</v>
      </c>
    </row>
    <row r="41" spans="1:11" x14ac:dyDescent="0.2">
      <c r="C41" s="87" t="s">
        <v>148</v>
      </c>
      <c r="D41" s="42">
        <f>429.800784122*Deflactores!$T$5</f>
        <v>667.0190529472095</v>
      </c>
      <c r="E41" s="42">
        <f>503.025491789*Deflactores!$U$5</f>
        <v>768.28893577933889</v>
      </c>
      <c r="F41" s="42">
        <f>582.429387376*Deflactores!$V$5</f>
        <v>842.23192859729443</v>
      </c>
      <c r="G41" s="42">
        <f>620.080899014*Deflactores!$W$5</f>
        <v>792.67904688150077</v>
      </c>
      <c r="H41" s="42">
        <f>739.291751364*Deflactores!$X$5</f>
        <v>864.81696241603481</v>
      </c>
      <c r="I41" s="42">
        <f>855.471019958*Deflactores!$Y$5</f>
        <v>951.25707689553485</v>
      </c>
      <c r="J41" s="42">
        <f>967.948137067*Deflactores!$Z$5</f>
        <v>1024.0891290168861</v>
      </c>
      <c r="K41" s="42">
        <f>940.950692462*Deflactores!$AA$5</f>
        <v>940.95069246200001</v>
      </c>
    </row>
    <row r="42" spans="1:11" x14ac:dyDescent="0.2">
      <c r="C42" s="88" t="s">
        <v>149</v>
      </c>
      <c r="D42" s="50">
        <f>1645.95750466*Deflactores!$T$5</f>
        <v>2554.4044043391696</v>
      </c>
      <c r="E42" s="50">
        <f>1586.174678535*Deflactores!$U$5</f>
        <v>2422.6216675376036</v>
      </c>
      <c r="F42" s="50">
        <f>2461.979634962*Deflactores!$V$5</f>
        <v>3560.187554174147</v>
      </c>
      <c r="G42" s="50">
        <f>2496.632010958*Deflactores!$W$5</f>
        <v>3191.5640136745287</v>
      </c>
      <c r="H42" s="50">
        <f>2524.151871332*Deflactores!$X$5</f>
        <v>2952.7305695140867</v>
      </c>
      <c r="I42" s="50">
        <f>4053.1163937*Deflactores!$Y$5</f>
        <v>4506.9389412837445</v>
      </c>
      <c r="J42" s="50">
        <f>2718.263578087*Deflactores!$Z$5</f>
        <v>2875.9228656160462</v>
      </c>
      <c r="K42" s="50">
        <f>2282.869134151*Deflactores!$AA$5</f>
        <v>2282.8691341509998</v>
      </c>
    </row>
    <row r="43" spans="1:11" x14ac:dyDescent="0.2">
      <c r="C43" s="87" t="s">
        <v>163</v>
      </c>
      <c r="D43" s="42">
        <f>28041.535374478*Deflactores!$T$5</f>
        <v>43518.390518712375</v>
      </c>
      <c r="E43" s="42">
        <f>32448.046870778*Deflactores!$U$5</f>
        <v>49559.069680160661</v>
      </c>
      <c r="F43" s="42">
        <f>27886.887919046*Deflactores!$V$5</f>
        <v>40326.308911799482</v>
      </c>
      <c r="G43" s="42">
        <f>34591.99877187*Deflactores!$W$5</f>
        <v>44220.605182022977</v>
      </c>
      <c r="H43" s="42">
        <f>34711.54588959*Deflactores!$X$5</f>
        <v>40605.259860690247</v>
      </c>
      <c r="I43" s="42">
        <f>40174.994210283*Deflactores!$Y$5</f>
        <v>44673.339791972292</v>
      </c>
      <c r="J43" s="42">
        <f>51823.195509414*Deflactores!$Z$5</f>
        <v>54828.940848960017</v>
      </c>
      <c r="K43" s="42">
        <f>56790.944892292*Deflactores!$AA$5</f>
        <v>56790.944892291998</v>
      </c>
    </row>
    <row r="44" spans="1:11" x14ac:dyDescent="0.2">
      <c r="C44" s="88" t="s">
        <v>150</v>
      </c>
      <c r="D44" s="50">
        <f>7633.186440715*Deflactores!$T$5</f>
        <v>11846.141232748358</v>
      </c>
      <c r="E44" s="50">
        <f>7933.828892121*Deflactores!$U$5</f>
        <v>12117.622378350226</v>
      </c>
      <c r="F44" s="50">
        <f>11455.697322833*Deflactores!$V$5</f>
        <v>16565.706090320946</v>
      </c>
      <c r="G44" s="50">
        <f>12451.317294153*Deflactores!$W$5</f>
        <v>15917.113945684539</v>
      </c>
      <c r="H44" s="50">
        <f>12924.417737235*Deflactores!$X$5</f>
        <v>15118.869739706086</v>
      </c>
      <c r="I44" s="50">
        <f>14331.46179591*Deflactores!$Y$5</f>
        <v>15936.138264843496</v>
      </c>
      <c r="J44" s="50">
        <f>13656.534542579*Deflactores!$Z$5</f>
        <v>14448.613546048582</v>
      </c>
      <c r="K44" s="50">
        <f>17794.014517034*Deflactores!$AA$5</f>
        <v>17794.014517034</v>
      </c>
    </row>
    <row r="45" spans="1:11" x14ac:dyDescent="0.2">
      <c r="C45" s="87" t="s">
        <v>151</v>
      </c>
      <c r="D45" s="42">
        <f>4150.67212431*Deflactores!$T$5</f>
        <v>6441.5363855310488</v>
      </c>
      <c r="E45" s="42">
        <f>4367.675378358*Deflactores!$U$5</f>
        <v>6670.9077830907436</v>
      </c>
      <c r="F45" s="42">
        <f>5976.574657216*Deflactores!$V$5</f>
        <v>8642.5275047173309</v>
      </c>
      <c r="G45" s="42">
        <f>5824.493172477*Deflactores!$W$5</f>
        <v>7445.7279749599847</v>
      </c>
      <c r="H45" s="42">
        <f>7950.394320144*Deflactores!$X$5</f>
        <v>9300.3010695994108</v>
      </c>
      <c r="I45" s="42">
        <f>9141.143100719*Deflactores!$Y$5</f>
        <v>10164.665853789715</v>
      </c>
      <c r="J45" s="42">
        <f>8343.751804098*Deflactores!$Z$5</f>
        <v>8827.6894087356832</v>
      </c>
      <c r="K45" s="42">
        <f>7276.872469107*Deflactores!$AA$5</f>
        <v>7276.8724691070001</v>
      </c>
    </row>
    <row r="46" spans="1:11" ht="11.25" customHeight="1" x14ac:dyDescent="0.2">
      <c r="C46" s="79" t="s">
        <v>152</v>
      </c>
      <c r="D46" s="44">
        <f t="shared" ref="D46:K46" si="0">SUM(D15:D45)</f>
        <v>308020.71978492534</v>
      </c>
      <c r="E46" s="44">
        <f t="shared" si="0"/>
        <v>390397.35514649848</v>
      </c>
      <c r="F46" s="44">
        <f t="shared" si="0"/>
        <v>395436.30205103743</v>
      </c>
      <c r="G46" s="44">
        <f t="shared" si="0"/>
        <v>359208.17912702588</v>
      </c>
      <c r="H46" s="44">
        <f t="shared" si="0"/>
        <v>403197.38765143231</v>
      </c>
      <c r="I46" s="44">
        <f t="shared" si="0"/>
        <v>423396.86593567638</v>
      </c>
      <c r="J46" s="44">
        <f t="shared" si="0"/>
        <v>420950.41322440311</v>
      </c>
      <c r="K46" s="44">
        <f t="shared" si="0"/>
        <v>455249.44304110494</v>
      </c>
    </row>
    <row r="47" spans="1:11" s="31" customFormat="1" ht="24.75" customHeight="1" x14ac:dyDescent="0.2">
      <c r="A47" s="5"/>
      <c r="B47" s="5"/>
      <c r="C47" s="184" t="s">
        <v>228</v>
      </c>
      <c r="D47" s="123">
        <f>+D46-'C5 Ejecución PGN 2019-2026'!D33</f>
        <v>1.280568540096283E-9</v>
      </c>
      <c r="E47" s="123">
        <f>+E46-'C5 Ejecución PGN 2019-2026'!E33</f>
        <v>7.5669959187507629E-10</v>
      </c>
      <c r="F47" s="123">
        <f>+F46-'C5 Ejecución PGN 2019-2026'!F33</f>
        <v>0</v>
      </c>
      <c r="G47" s="123">
        <f>+G46-'C5 Ejecución PGN 2019-2026'!G33</f>
        <v>0</v>
      </c>
      <c r="H47" s="123">
        <f>+H46-'C5 Ejecución PGN 2019-2026'!H33</f>
        <v>0</v>
      </c>
      <c r="I47" s="123">
        <f>+I46-'C5 Ejecución PGN 2019-2026'!I33</f>
        <v>0</v>
      </c>
      <c r="J47" s="123">
        <f>+J46-'C5 Ejecución PGN 2019-2026'!J33</f>
        <v>8.149072527885437E-10</v>
      </c>
      <c r="K47" s="123">
        <f>+K46-'C5 Ejecución PGN 2019-2026'!K33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C52" s="155" t="s">
        <v>153</v>
      </c>
      <c r="D52" s="156"/>
      <c r="E52" s="178"/>
      <c r="F52" s="178"/>
      <c r="G52" s="178"/>
      <c r="H52" s="178"/>
      <c r="I52" s="178"/>
      <c r="J52" s="178"/>
      <c r="K52" s="178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ht="12" thickBot="1" x14ac:dyDescent="0.25">
      <c r="C55" s="176" t="s">
        <v>120</v>
      </c>
      <c r="D55" s="153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10</v>
      </c>
    </row>
    <row r="56" spans="3:11" ht="12" customHeight="1" thickBot="1" x14ac:dyDescent="0.25">
      <c r="C56" s="160"/>
      <c r="D56" s="154"/>
      <c r="E56" s="154"/>
      <c r="F56" s="154"/>
      <c r="G56" s="154"/>
      <c r="H56" s="154"/>
      <c r="I56" s="154"/>
      <c r="J56" s="154"/>
      <c r="K56" s="154"/>
    </row>
    <row r="57" spans="3:11" x14ac:dyDescent="0.2">
      <c r="C57" s="87" t="s">
        <v>123</v>
      </c>
      <c r="D57" s="42">
        <f>2170.16848813051*Deflactores!$T$5</f>
        <v>3367.9411093810418</v>
      </c>
      <c r="E57" s="42">
        <f>1689.81106689193*Deflactores!$U$5</f>
        <v>2580.9092529949198</v>
      </c>
      <c r="F57" s="42">
        <f>2238.51324990438*Deflactores!$V$5</f>
        <v>3237.0401846506347</v>
      </c>
      <c r="G57" s="42">
        <f>2320.68845109962*Deflactores!$W$5</f>
        <v>2966.6469527632071</v>
      </c>
      <c r="H57" s="42">
        <f>4885.06407646223*Deflactores!$X$5</f>
        <v>5714.5048189962545</v>
      </c>
      <c r="I57" s="42">
        <f>7648.29609229934*Deflactores!$Y$5</f>
        <v>8504.6665687744826</v>
      </c>
      <c r="J57" s="42">
        <f>4803.21542289899*Deflactores!$Z$5</f>
        <v>5081.8019174271321</v>
      </c>
      <c r="K57" s="42">
        <f>1845.36768078195*Deflactores!$AA$5</f>
        <v>1845.36768078195</v>
      </c>
    </row>
    <row r="58" spans="3:11" x14ac:dyDescent="0.2">
      <c r="C58" s="88" t="s">
        <v>124</v>
      </c>
      <c r="D58" s="50">
        <f>600.708108260279*Deflactores!$T$5</f>
        <v>932.25458926977205</v>
      </c>
      <c r="E58" s="50">
        <f>700.37412629753*Deflactores!$U$5</f>
        <v>1069.7066071677768</v>
      </c>
      <c r="F58" s="50">
        <f>971.82085565652*Deflactores!$V$5</f>
        <v>1405.3180887698995</v>
      </c>
      <c r="G58" s="50">
        <f>1175.17090904948*Deflactores!$W$5</f>
        <v>1502.2771344665734</v>
      </c>
      <c r="H58" s="50">
        <f>1734.03008800097*Deflactores!$X$5</f>
        <v>2028.4530845585634</v>
      </c>
      <c r="I58" s="50">
        <f>1989.99632898314*Deflactores!$Y$5</f>
        <v>2212.8138145863609</v>
      </c>
      <c r="J58" s="50">
        <f>1721.70922185792*Deflactores!$Z$5</f>
        <v>1821.5683567256795</v>
      </c>
      <c r="K58" s="50">
        <f>897.82637927006*Deflactores!$AA$5</f>
        <v>897.82637927005999</v>
      </c>
    </row>
    <row r="59" spans="3:11" x14ac:dyDescent="0.2">
      <c r="C59" s="87" t="s">
        <v>125</v>
      </c>
      <c r="D59" s="42">
        <f>350.05227755947*Deflactores!$T$5</f>
        <v>543.2552644982012</v>
      </c>
      <c r="E59" s="42">
        <f>266.59040046537*Deflactores!$U$5</f>
        <v>407.17311230906847</v>
      </c>
      <c r="F59" s="42">
        <f>407.942990848219*Deflactores!$V$5</f>
        <v>589.91290512962496</v>
      </c>
      <c r="G59" s="42">
        <f>327.21257468423*Deflactores!$W$5</f>
        <v>418.29147171082468</v>
      </c>
      <c r="H59" s="42">
        <f>477.96120264284*Deflactores!$X$5</f>
        <v>559.11479420629701</v>
      </c>
      <c r="I59" s="42">
        <f>368.51494771048*Deflactores!$Y$5</f>
        <v>409.77712134373962</v>
      </c>
      <c r="J59" s="42">
        <f>274.46519305375*Deflactores!$Z$5</f>
        <v>290.38417425086749</v>
      </c>
      <c r="K59" s="42">
        <f>222.76506758782*Deflactores!$AA$5</f>
        <v>222.76506758782</v>
      </c>
    </row>
    <row r="60" spans="3:11" x14ac:dyDescent="0.2">
      <c r="C60" s="88" t="s">
        <v>126</v>
      </c>
      <c r="D60" s="50">
        <f>976.4509432795*Deflactores!$T$5</f>
        <v>1515.3797003097723</v>
      </c>
      <c r="E60" s="50">
        <f>1067.5634805982*Deflactores!$U$5</f>
        <v>1630.5281218823784</v>
      </c>
      <c r="F60" s="50">
        <f>1113.35901372511*Deflactores!$V$5</f>
        <v>1609.9917512327104</v>
      </c>
      <c r="G60" s="50">
        <f>1118.1048842095*Deflactores!$W$5</f>
        <v>1429.3269077277714</v>
      </c>
      <c r="H60" s="50">
        <f>1388.5587161213*Deflactores!$X$5</f>
        <v>1624.3237244251059</v>
      </c>
      <c r="I60" s="50">
        <f>1396.33989793693*Deflactores!$Y$5</f>
        <v>1552.686389925057</v>
      </c>
      <c r="J60" s="50">
        <f>1395.89331071355*Deflactores!$Z$5</f>
        <v>1476.8551227349358</v>
      </c>
      <c r="K60" s="50">
        <f>1207.35139756513*Deflactores!$AA$5</f>
        <v>1207.3513975651299</v>
      </c>
    </row>
    <row r="61" spans="3:11" x14ac:dyDescent="0.2">
      <c r="C61" s="87" t="s">
        <v>127</v>
      </c>
      <c r="D61" s="42">
        <f>636.93320394978*Deflactores!$T$5</f>
        <v>988.4732605993114</v>
      </c>
      <c r="E61" s="42">
        <f>684.61391961214*Deflactores!$U$5</f>
        <v>1045.6354763411514</v>
      </c>
      <c r="F61" s="42">
        <f>745.77291119638*Deflactores!$V$5</f>
        <v>1078.4376113340816</v>
      </c>
      <c r="G61" s="42">
        <f>918.75331715076*Deflactores!$W$5</f>
        <v>1174.4862725433488</v>
      </c>
      <c r="H61" s="42">
        <f>1160.37816599849*Deflactores!$X$5</f>
        <v>1357.4001318440382</v>
      </c>
      <c r="I61" s="42">
        <f>1303.64901856052*Deflactores!$Y$5</f>
        <v>1449.6170247292503</v>
      </c>
      <c r="J61" s="42">
        <f>1355.00451363828*Deflactores!$Z$5</f>
        <v>1433.5947754293004</v>
      </c>
      <c r="K61" s="42">
        <f>657.4982312192*Deflactores!$AA$5</f>
        <v>657.49823121919997</v>
      </c>
    </row>
    <row r="62" spans="3:11" x14ac:dyDescent="0.2">
      <c r="C62" s="88" t="s">
        <v>128</v>
      </c>
      <c r="D62" s="50">
        <f>380.6540770864*Deflactores!$T$5</f>
        <v>590.74699576767978</v>
      </c>
      <c r="E62" s="50">
        <f>378.59275478459*Deflactores!$U$5</f>
        <v>578.23833864314213</v>
      </c>
      <c r="F62" s="50">
        <f>596.05614597509*Deflactores!$V$5</f>
        <v>861.93713479773658</v>
      </c>
      <c r="G62" s="50">
        <f>558.826014670762*Deflactores!$W$5</f>
        <v>714.37400085404977</v>
      </c>
      <c r="H62" s="50">
        <f>792.501052349615*Deflactores!$X$5</f>
        <v>927.06073284328431</v>
      </c>
      <c r="I62" s="50">
        <f>1303.89112966278*Deflactores!$Y$5</f>
        <v>1449.8862447192287</v>
      </c>
      <c r="J62" s="50">
        <f>1070.81864848502*Deflactores!$Z$5</f>
        <v>1132.9261300971514</v>
      </c>
      <c r="K62" s="50">
        <f>606.40922671103*Deflactores!$AA$5</f>
        <v>606.40922671102999</v>
      </c>
    </row>
    <row r="63" spans="3:11" x14ac:dyDescent="0.2">
      <c r="C63" s="87" t="s">
        <v>129</v>
      </c>
      <c r="D63" s="42">
        <f>33397.5855028137*Deflactores!$T$5</f>
        <v>51830.584484198887</v>
      </c>
      <c r="E63" s="42">
        <f>35282.1520852691*Deflactores!$U$5</f>
        <v>53887.700564023282</v>
      </c>
      <c r="F63" s="42">
        <f>37771.9378196742*Deflactores!$V$5</f>
        <v>54620.753564730214</v>
      </c>
      <c r="G63" s="42">
        <f>41583.3821665885*Deflactores!$W$5</f>
        <v>53158.024693768792</v>
      </c>
      <c r="H63" s="42">
        <f>47261.6466191519*Deflactores!$X$5</f>
        <v>55286.256870233643</v>
      </c>
      <c r="I63" s="42">
        <f>55176.933678796*Deflactores!$Y$5</f>
        <v>61355.028304672647</v>
      </c>
      <c r="J63" s="42">
        <f>59824.8169667394*Deflactores!$Z$5</f>
        <v>63294.656350810292</v>
      </c>
      <c r="K63" s="42">
        <f>23025.8977831024*Deflactores!$AA$5</f>
        <v>23025.897783102399</v>
      </c>
    </row>
    <row r="64" spans="3:11" x14ac:dyDescent="0.2">
      <c r="C64" s="88" t="s">
        <v>130</v>
      </c>
      <c r="D64" s="50">
        <f>481.20349976978*Deflactores!$T$5</f>
        <v>746.79226876471398</v>
      </c>
      <c r="E64" s="50">
        <f>442.03751439524*Deflactores!$U$5</f>
        <v>675.13980315677054</v>
      </c>
      <c r="F64" s="50">
        <f>733.24381649454*Deflactores!$V$5</f>
        <v>1060.3197006945613</v>
      </c>
      <c r="G64" s="50">
        <f>878.918898690879*Deflactores!$W$5</f>
        <v>1123.5640317388561</v>
      </c>
      <c r="H64" s="50">
        <f>698.67283655832*Deflactores!$X$5</f>
        <v>817.30131456243373</v>
      </c>
      <c r="I64" s="50">
        <f>992.07376549019*Deflactores!$Y$5</f>
        <v>1103.1550668674631</v>
      </c>
      <c r="J64" s="50">
        <f>442.663697727819*Deflactores!$Z$5</f>
        <v>468.33819219603254</v>
      </c>
      <c r="K64" s="50">
        <f>394.289817118629*Deflactores!$AA$5</f>
        <v>394.289817118629</v>
      </c>
    </row>
    <row r="65" spans="3:11" x14ac:dyDescent="0.2">
      <c r="C65" s="87" t="s">
        <v>131</v>
      </c>
      <c r="D65" s="42">
        <f>41451.2824638468*Deflactores!$T$5</f>
        <v>64329.32696705874</v>
      </c>
      <c r="E65" s="42">
        <f>44600.9108912985*Deflactores!$U$5</f>
        <v>68120.576238784924</v>
      </c>
      <c r="F65" s="42">
        <f>48077.6487466862*Deflactores!$V$5</f>
        <v>69523.5022545385</v>
      </c>
      <c r="G65" s="42">
        <f>49718.5270445629*Deflactores!$W$5</f>
        <v>63557.569169932503</v>
      </c>
      <c r="H65" s="42">
        <f>58534.3213381786*Deflactores!$X$5</f>
        <v>68472.932212987129</v>
      </c>
      <c r="I65" s="42">
        <f>70028.265096824*Deflactores!$Y$5</f>
        <v>77869.245365367155</v>
      </c>
      <c r="J65" s="42">
        <f>79897.7332578814*Deflactores!$Z$5</f>
        <v>84531.801786838521</v>
      </c>
      <c r="K65" s="42">
        <f>44022.3683278023*Deflactores!$AA$5</f>
        <v>44022.368327802302</v>
      </c>
    </row>
    <row r="66" spans="3:11" x14ac:dyDescent="0.2">
      <c r="C66" s="88" t="s">
        <v>132</v>
      </c>
      <c r="D66" s="50">
        <f>380.213350965309*Deflactores!$T$5</f>
        <v>590.06302139918319</v>
      </c>
      <c r="E66" s="50">
        <f>265.16960242325*Deflactores!$U$5</f>
        <v>405.00307632966803</v>
      </c>
      <c r="F66" s="50">
        <f>310.19876461531*Deflactores!$V$5</f>
        <v>448.56820317308103</v>
      </c>
      <c r="G66" s="50">
        <f>368.80679494614*Deflactores!$W$5</f>
        <v>471.46335125979556</v>
      </c>
      <c r="H66" s="50">
        <f>463.261279942059*Deflactores!$X$5</f>
        <v>541.91895443886449</v>
      </c>
      <c r="I66" s="50">
        <f>512.60605140363*Deflactores!$Y$5</f>
        <v>570.00193189609092</v>
      </c>
      <c r="J66" s="50">
        <f>555.002396021919*Deflactores!$Z$5</f>
        <v>587.19253499119031</v>
      </c>
      <c r="K66" s="50">
        <f>280.88061393476*Deflactores!$AA$5</f>
        <v>280.88061393475999</v>
      </c>
    </row>
    <row r="67" spans="3:11" x14ac:dyDescent="0.2">
      <c r="C67" s="87" t="s">
        <v>133</v>
      </c>
      <c r="D67" s="42">
        <f>3843.94764242425*Deflactores!$T$5</f>
        <v>5965.5226578197398</v>
      </c>
      <c r="E67" s="42">
        <f>3957.24053004392*Deflactores!$U$5</f>
        <v>6044.0358691117826</v>
      </c>
      <c r="F67" s="42">
        <f>4297.76965795354*Deflactores!$V$5</f>
        <v>6214.8629621745995</v>
      </c>
      <c r="G67" s="42">
        <f>4726.82737806561*Deflactores!$W$5</f>
        <v>6042.5293325054272</v>
      </c>
      <c r="H67" s="42">
        <f>5418.69992342898*Deflactores!$X$5</f>
        <v>6338.7473204966773</v>
      </c>
      <c r="I67" s="42">
        <f>5944.0493685825*Deflactores!$Y$5</f>
        <v>6609.5973976513451</v>
      </c>
      <c r="J67" s="42">
        <f>6831.44200224541*Deflactores!$Z$5</f>
        <v>7227.6656383756435</v>
      </c>
      <c r="K67" s="42">
        <f>2171.91098770682*Deflactores!$AA$5</f>
        <v>2171.9109877068199</v>
      </c>
    </row>
    <row r="68" spans="3:11" x14ac:dyDescent="0.2">
      <c r="C68" s="88" t="s">
        <v>134</v>
      </c>
      <c r="D68" s="50">
        <f>9610.03349175406*Deflactores!$T$5</f>
        <v>14914.061758996797</v>
      </c>
      <c r="E68" s="50">
        <f>20809.1064035911*Deflactores!$U$5</f>
        <v>31782.49705889685</v>
      </c>
      <c r="F68" s="50">
        <f>21610.7171386871*Deflactores!$V$5</f>
        <v>31250.545334067829</v>
      </c>
      <c r="G68" s="50">
        <f>16943.7736764411*Deflactores!$W$5</f>
        <v>21660.035633695516</v>
      </c>
      <c r="H68" s="50">
        <f>37230.5689376635*Deflactores!$X$5</f>
        <v>43551.990778046704</v>
      </c>
      <c r="I68" s="50">
        <f>27912.2780049014*Deflactores!$Y$5</f>
        <v>31037.582062968788</v>
      </c>
      <c r="J68" s="50">
        <f>22962.5846076501*Deflactores!$Z$5</f>
        <v>24294.414514893808</v>
      </c>
      <c r="K68" s="50">
        <f>9397.81547341679*Deflactores!$AA$5</f>
        <v>9397.8154734167892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552.09597420584521</v>
      </c>
      <c r="I69" s="42">
        <f>12132.7832693835*Deflactores!$Y$5</f>
        <v>13491.27635908395</v>
      </c>
      <c r="J69" s="42">
        <f>11214.4998242092*Deflactores!$Z$5</f>
        <v>11864.940814013335</v>
      </c>
      <c r="K69" s="42">
        <f>6558.36306596156*Deflactores!$AA$5</f>
        <v>6558.3630659615601</v>
      </c>
    </row>
    <row r="70" spans="3:11" x14ac:dyDescent="0.2">
      <c r="C70" s="88" t="s">
        <v>136</v>
      </c>
      <c r="D70" s="50">
        <f>11336.7466767539*Deflactores!$T$5</f>
        <v>17593.79301105316</v>
      </c>
      <c r="E70" s="50">
        <f>17890.7288947123*Deflactores!$U$5</f>
        <v>27325.154067143758</v>
      </c>
      <c r="F70" s="50">
        <f>23172.8787451468*Deflactores!$V$5</f>
        <v>33509.535713170764</v>
      </c>
      <c r="G70" s="50">
        <f>23019.7706125691*Deflactores!$W$5</f>
        <v>29427.272889097771</v>
      </c>
      <c r="H70" s="50">
        <f>20201.0559916169*Deflactores!$X$5</f>
        <v>23631.016913192474</v>
      </c>
      <c r="I70" s="50">
        <f>12990.9072253736*Deflactores!$Y$5</f>
        <v>14445.483418055101</v>
      </c>
      <c r="J70" s="50">
        <f>10759.3424544948*Deflactores!$Z$5</f>
        <v>11383.384316855498</v>
      </c>
      <c r="K70" s="50">
        <f>4097.02630565992*Deflactores!$AA$5</f>
        <v>4097.0263056599197</v>
      </c>
    </row>
    <row r="71" spans="3:11" x14ac:dyDescent="0.2">
      <c r="C71" s="87" t="s">
        <v>137</v>
      </c>
      <c r="D71" s="42">
        <f>358.38379065105*Deflactores!$T$5</f>
        <v>556.18515708393818</v>
      </c>
      <c r="E71" s="42">
        <f>345.342216813169*Deflactores!$U$5</f>
        <v>527.45359542605456</v>
      </c>
      <c r="F71" s="42">
        <f>426.95631982085*Deflactores!$V$5</f>
        <v>617.40745309846898</v>
      </c>
      <c r="G71" s="42">
        <f>453.083012164349*Deflactores!$W$5</f>
        <v>579.19766729103321</v>
      </c>
      <c r="H71" s="42">
        <f>857.613594531929*Deflactores!$X$5</f>
        <v>1003.2288097106396</v>
      </c>
      <c r="I71" s="42">
        <f>1224.66662809728*Deflactores!$Y$5</f>
        <v>1361.7910713942417</v>
      </c>
      <c r="J71" s="42">
        <f>985.245143734579*Deflactores!$Z$5</f>
        <v>1042.3893620711847</v>
      </c>
      <c r="K71" s="42">
        <f>395.125231388919*Deflactores!$AA$5</f>
        <v>395.12523138891902</v>
      </c>
    </row>
    <row r="72" spans="3:11" x14ac:dyDescent="0.2">
      <c r="C72" s="88" t="s">
        <v>138</v>
      </c>
      <c r="D72" s="50">
        <f>94.5223990089999*Deflactores!$T$5</f>
        <v>146.69177767573586</v>
      </c>
      <c r="E72" s="50">
        <f>98.9260034643899*Deflactores!$U$5</f>
        <v>151.09324510027014</v>
      </c>
      <c r="F72" s="50">
        <f>113.94134567572*Deflactores!$V$5</f>
        <v>164.7668222027408</v>
      </c>
      <c r="G72" s="50">
        <f>107.24716079672*Deflactores!$W$5</f>
        <v>137.09917098925453</v>
      </c>
      <c r="H72" s="50">
        <f>134.17444472116*Deflactores!$X$5</f>
        <v>156.95608060488121</v>
      </c>
      <c r="I72" s="50">
        <f>163.26377849481*Deflactores!$Y$5</f>
        <v>181.54422659638183</v>
      </c>
      <c r="J72" s="50">
        <f>172.35737484458*Deflactores!$Z$5</f>
        <v>182.35410258556564</v>
      </c>
      <c r="K72" s="50">
        <f>51.55376235525*Deflactores!$AA$5</f>
        <v>51.553762355250001</v>
      </c>
    </row>
    <row r="73" spans="3:11" x14ac:dyDescent="0.2">
      <c r="C73" s="87" t="s">
        <v>160</v>
      </c>
      <c r="D73" s="42">
        <f>1367.89386711711*Deflactores!$T$5</f>
        <v>2122.8701888960736</v>
      </c>
      <c r="E73" s="42">
        <f>1746.07565140095*Deflactores!$U$5</f>
        <v>2666.8441776858417</v>
      </c>
      <c r="F73" s="42">
        <f>2171.37453217763*Deflactores!$V$5</f>
        <v>3139.9530991769666</v>
      </c>
      <c r="G73" s="42">
        <f>2650.92354831416*Deflactores!$W$5</f>
        <v>3388.8022594709068</v>
      </c>
      <c r="H73" s="42">
        <f>3239.91891078508*Deflactores!$X$5</f>
        <v>3790.0285316721333</v>
      </c>
      <c r="I73" s="42">
        <f>3704.19655540427*Deflactores!$Y$5</f>
        <v>4118.9509700905719</v>
      </c>
      <c r="J73" s="42">
        <f>4388.62524446159*Deflactores!$Z$5</f>
        <v>4643.1655086403625</v>
      </c>
      <c r="K73" s="42">
        <f>2791.10770945673*Deflactores!$AA$5</f>
        <v>2791.1077094567299</v>
      </c>
    </row>
    <row r="74" spans="3:11" x14ac:dyDescent="0.2">
      <c r="C74" s="88" t="s">
        <v>161</v>
      </c>
      <c r="D74" s="50">
        <f>2641.48284569572*Deflactores!$T$5</f>
        <v>4099.3861602917268</v>
      </c>
      <c r="E74" s="50">
        <f>2836.67331062726*Deflactores!$U$5</f>
        <v>4332.5532295083776</v>
      </c>
      <c r="F74" s="50">
        <f>3021.13678697405*Deflactores!$V$5</f>
        <v>4368.7662707285945</v>
      </c>
      <c r="G74" s="50">
        <f>3420.63927574594*Deflactores!$W$5</f>
        <v>4372.7666585686911</v>
      </c>
      <c r="H74" s="50">
        <f>4019.17551076429*Deflactores!$X$5</f>
        <v>4701.5960210879011</v>
      </c>
      <c r="I74" s="50">
        <f>4624.87924402088*Deflactores!$Y$5</f>
        <v>5142.7213874271592</v>
      </c>
      <c r="J74" s="50">
        <f>4994.68371336131*Deflactores!$Z$5</f>
        <v>5284.375368736266</v>
      </c>
      <c r="K74" s="50">
        <f>2187.34742747219*Deflactores!$AA$5</f>
        <v>2187.3474274721898</v>
      </c>
    </row>
    <row r="75" spans="3:11" x14ac:dyDescent="0.2">
      <c r="C75" s="87" t="s">
        <v>140</v>
      </c>
      <c r="D75" s="42">
        <f>3881.05113185577*Deflactores!$T$5</f>
        <v>6023.1045313200557</v>
      </c>
      <c r="E75" s="42">
        <f>4237.85861385832*Deflactores!$U$5</f>
        <v>6472.6339670082534</v>
      </c>
      <c r="F75" s="42">
        <f>5858.3965714822*Deflactores!$V$5</f>
        <v>8471.6340724440397</v>
      </c>
      <c r="G75" s="42">
        <f>5339.8827333078*Deflactores!$W$5</f>
        <v>6826.227291032621</v>
      </c>
      <c r="H75" s="42">
        <f>8358.5280043405*Deflactores!$X$5</f>
        <v>9777.7322493403808</v>
      </c>
      <c r="I75" s="42">
        <f>11736.8792140492*Deflactores!$Y$5</f>
        <v>13051.043404814051</v>
      </c>
      <c r="J75" s="42">
        <f>10373.6765253631*Deflactores!$Z$5</f>
        <v>10975.34976383416</v>
      </c>
      <c r="K75" s="42">
        <f>6758.80362958287*Deflactores!$AA$5</f>
        <v>6758.8036295828697</v>
      </c>
    </row>
    <row r="76" spans="3:11" x14ac:dyDescent="0.2">
      <c r="C76" s="88" t="s">
        <v>141</v>
      </c>
      <c r="D76" s="50">
        <f>1817.30651028193*Deflactores!$T$5</f>
        <v>2820.3253976823166</v>
      </c>
      <c r="E76" s="50">
        <f>2048.1713256022*Deflactores!$U$5</f>
        <v>3128.2457722852978</v>
      </c>
      <c r="F76" s="50">
        <f>2548.43823871675*Deflactores!$V$5</f>
        <v>3685.2124896641949</v>
      </c>
      <c r="G76" s="50">
        <f>2903.06821430798*Deflactores!$W$5</f>
        <v>3711.1308360067287</v>
      </c>
      <c r="H76" s="50">
        <f>3731.92070145032*Deflactores!$X$5</f>
        <v>4365.5678817613598</v>
      </c>
      <c r="I76" s="50">
        <f>3906.53116922285*Deflactores!$Y$5</f>
        <v>4343.9407462554018</v>
      </c>
      <c r="J76" s="50">
        <f>4140.06778077655*Deflactores!$Z$5</f>
        <v>4380.1917120615899</v>
      </c>
      <c r="K76" s="50">
        <f>1516.4523367761*Deflactores!$AA$5</f>
        <v>1516.4523367761001</v>
      </c>
    </row>
    <row r="77" spans="3:11" x14ac:dyDescent="0.2">
      <c r="C77" s="87" t="s">
        <v>142</v>
      </c>
      <c r="D77" s="42">
        <f>483.20371860445*Deflactores!$T$5</f>
        <v>749.8964605718885</v>
      </c>
      <c r="E77" s="42">
        <f>575.31848067242*Deflactores!$U$5</f>
        <v>878.70461927883059</v>
      </c>
      <c r="F77" s="42">
        <f>1037.5394048209*Deflactores!$V$5</f>
        <v>1500.3515153226006</v>
      </c>
      <c r="G77" s="42">
        <f>1644.44360009547*Deflactores!$W$5</f>
        <v>2102.170841976912</v>
      </c>
      <c r="H77" s="42">
        <f>1809.38320760855*Deflactores!$X$5</f>
        <v>2116.6004984683855</v>
      </c>
      <c r="I77" s="42">
        <f>1329.08104398902*Deflactores!$Y$5</f>
        <v>1477.8966433302819</v>
      </c>
      <c r="J77" s="42">
        <f>1070.20453441115*Deflactores!$Z$5</f>
        <v>1132.2763974069967</v>
      </c>
      <c r="K77" s="42">
        <f>702.68078667664*Deflactores!$AA$5</f>
        <v>702.68078667663997</v>
      </c>
    </row>
    <row r="78" spans="3:11" x14ac:dyDescent="0.2">
      <c r="C78" s="88" t="s">
        <v>143</v>
      </c>
      <c r="D78" s="50">
        <f>1596.09471715063*Deflactores!$T$5</f>
        <v>2477.0210431855817</v>
      </c>
      <c r="E78" s="50">
        <f>5298.93366909406*Deflactores!$U$5</f>
        <v>8093.2520833382714</v>
      </c>
      <c r="F78" s="50">
        <f>8718.29247644171*Deflactores!$V$5</f>
        <v>12607.235221406268</v>
      </c>
      <c r="G78" s="50">
        <f>5996.6027025171*Deflactores!$W$5</f>
        <v>7665.7438123262782</v>
      </c>
      <c r="H78" s="50">
        <f>5411.67318417801*Deflactores!$X$5</f>
        <v>6330.5275029706445</v>
      </c>
      <c r="I78" s="50">
        <f>2745.07363752201*Deflactores!$Y$5</f>
        <v>3052.4362174423891</v>
      </c>
      <c r="J78" s="50">
        <f>4034.69912512034*Deflactores!$Z$5</f>
        <v>4268.7116743773195</v>
      </c>
      <c r="K78" s="50">
        <f>2468.16819593609*Deflactores!$AA$5</f>
        <v>2468.1681959360899</v>
      </c>
    </row>
    <row r="79" spans="3:11" x14ac:dyDescent="0.2">
      <c r="C79" s="87" t="s">
        <v>144</v>
      </c>
      <c r="D79" s="42">
        <f>4626.32897868672*Deflactores!$T$5</f>
        <v>7179.7206705651824</v>
      </c>
      <c r="E79" s="42">
        <f>4814.99562553242*Deflactores!$U$5</f>
        <v>7354.1160941286716</v>
      </c>
      <c r="F79" s="42">
        <f>5248.11138993475*Deflactores!$V$5</f>
        <v>7589.1207985778756</v>
      </c>
      <c r="G79" s="42">
        <f>5888.869694292*Deflactores!$W$5</f>
        <v>7528.0235593506723</v>
      </c>
      <c r="H79" s="42">
        <f>7248.83290953504*Deflactores!$X$5</f>
        <v>8479.6207266201454</v>
      </c>
      <c r="I79" s="42">
        <f>9048.40157833253*Deflactores!$Y$5</f>
        <v>10061.540175147173</v>
      </c>
      <c r="J79" s="42">
        <f>10484.8778535153*Deflactores!$Z$5</f>
        <v>11093.000769019187</v>
      </c>
      <c r="K79" s="42">
        <f>2787.24479861885*Deflactores!$AA$5</f>
        <v>2787.2447986188499</v>
      </c>
    </row>
    <row r="80" spans="3:11" x14ac:dyDescent="0.2">
      <c r="C80" s="88" t="s">
        <v>145</v>
      </c>
      <c r="D80" s="50">
        <f>1491.7950446276*Deflactores!$T$5</f>
        <v>2315.1556595959883</v>
      </c>
      <c r="E80" s="50">
        <f>699.9745808385*Deflactores!$U$5</f>
        <v>1069.0963670099234</v>
      </c>
      <c r="F80" s="50">
        <f>1372.78324973171*Deflactores!$V$5</f>
        <v>1985.1365831257206</v>
      </c>
      <c r="G80" s="50">
        <f>3252.74357131179*Deflactores!$W$5</f>
        <v>4158.1375558532482</v>
      </c>
      <c r="H80" s="50">
        <f>3276.00081611992*Deflactores!$X$5</f>
        <v>3832.2368259108925</v>
      </c>
      <c r="I80" s="50">
        <f>1134.68002686796*Deflactores!$Y$5</f>
        <v>1261.728779103651</v>
      </c>
      <c r="J80" s="50">
        <f>3017.54100176158*Deflactores!$Z$5</f>
        <v>3192.5583798637517</v>
      </c>
      <c r="K80" s="50">
        <f>3017.91651378351*Deflactores!$AA$5</f>
        <v>3017.9165137835098</v>
      </c>
    </row>
    <row r="81" spans="1:11" x14ac:dyDescent="0.2">
      <c r="C81" s="87" t="s">
        <v>146</v>
      </c>
      <c r="D81" s="42">
        <f>928.802007540394*Deflactores!$T$5</f>
        <v>1441.4320734910661</v>
      </c>
      <c r="E81" s="42">
        <f>931.73255162256*Deflactores!$U$5</f>
        <v>1423.0686559665091</v>
      </c>
      <c r="F81" s="42">
        <f>1077.89928467213*Deflactores!$V$5</f>
        <v>1558.7146065089869</v>
      </c>
      <c r="G81" s="42">
        <f>1352.73614021892*Deflactores!$W$5</f>
        <v>1729.2672553145098</v>
      </c>
      <c r="H81" s="42">
        <f>1419.27231348664*Deflactores!$X$5</f>
        <v>1660.2522194060875</v>
      </c>
      <c r="I81" s="42">
        <f>1571.73505029183*Deflactores!$Y$5</f>
        <v>1747.720325661373</v>
      </c>
      <c r="J81" s="42">
        <f>1816.0922193894*Deflactores!$Z$5</f>
        <v>1921.4255681139853</v>
      </c>
      <c r="K81" s="42">
        <f>935.135831120587*Deflactores!$AA$5</f>
        <v>935.135831120587</v>
      </c>
    </row>
    <row r="82" spans="1:11" x14ac:dyDescent="0.2">
      <c r="C82" s="88" t="s">
        <v>162</v>
      </c>
      <c r="D82" s="50">
        <f>29522.5877151182*Deflactores!$T$5</f>
        <v>45816.874295649039</v>
      </c>
      <c r="E82" s="50">
        <f>34547.2096867806*Deflactores!$U$5</f>
        <v>52765.196590744141</v>
      </c>
      <c r="F82" s="50">
        <f>43558.1064860738*Deflactores!$V$5</f>
        <v>62987.941245706381</v>
      </c>
      <c r="G82" s="50">
        <f>42331.0381272937*Deflactores!$W$5</f>
        <v>54113.789038823539</v>
      </c>
      <c r="H82" s="50">
        <f>53326.1240174841*Deflactores!$X$5</f>
        <v>62380.428978322096</v>
      </c>
      <c r="I82" s="50">
        <f>60650.8259228797*Deflactores!$Y$5</f>
        <v>67441.825652411964</v>
      </c>
      <c r="J82" s="50">
        <f>66314.7511422789*Deflactores!$Z$5</f>
        <v>70161.006708531073</v>
      </c>
      <c r="K82" s="50">
        <f>28914.8063663523*Deflactores!$AA$5</f>
        <v>28914.806366352299</v>
      </c>
    </row>
    <row r="83" spans="1:11" x14ac:dyDescent="0.2">
      <c r="C83" s="87" t="s">
        <v>148</v>
      </c>
      <c r="D83" s="42">
        <f>395.93703267237*Deflactores!$T$5</f>
        <v>614.46501336509391</v>
      </c>
      <c r="E83" s="42">
        <f>487.15641910575*Deflactores!$U$5</f>
        <v>744.05152999646612</v>
      </c>
      <c r="F83" s="42">
        <f>555.2356866964*Deflactores!$V$5</f>
        <v>802.90801489118314</v>
      </c>
      <c r="G83" s="42">
        <f>602.38589612996*Deflactores!$W$5</f>
        <v>770.05867905048069</v>
      </c>
      <c r="H83" s="42">
        <f>684.59175392637*Deflactores!$X$5</f>
        <v>800.82938844284081</v>
      </c>
      <c r="I83" s="42">
        <f>840.28836694924*Deflactores!$Y$5</f>
        <v>934.37444056573679</v>
      </c>
      <c r="J83" s="42">
        <f>962.078059180699*Deflactores!$Z$5</f>
        <v>1017.8785866131797</v>
      </c>
      <c r="K83" s="42">
        <f>453.01014961913*Deflactores!$AA$5</f>
        <v>453.01014961913</v>
      </c>
    </row>
    <row r="84" spans="1:11" x14ac:dyDescent="0.2">
      <c r="C84" s="88" t="s">
        <v>149</v>
      </c>
      <c r="D84" s="50">
        <f>1532.92402718177*Deflactores!$T$5</f>
        <v>2378.9848009224911</v>
      </c>
      <c r="E84" s="50">
        <f>1575.28321621238*Deflactores!$U$5</f>
        <v>2405.9867451857231</v>
      </c>
      <c r="F84" s="50">
        <f>2118.93509394522*Deflactores!$V$5</f>
        <v>3064.1221569986851</v>
      </c>
      <c r="G84" s="50">
        <f>2169.8884766851*Deflactores!$W$5</f>
        <v>2773.8721387369528</v>
      </c>
      <c r="H84" s="50">
        <f>2450.39779073857*Deflactores!$X$5</f>
        <v>2866.4536973226741</v>
      </c>
      <c r="I84" s="50">
        <f>3834.37421188761*Deflactores!$Y$5</f>
        <v>4263.704461552541</v>
      </c>
      <c r="J84" s="50">
        <f>2615.45392955878*Deflactores!$Z$5</f>
        <v>2767.1502574731894</v>
      </c>
      <c r="K84" s="50">
        <f>1638.10811639078*Deflactores!$AA$5</f>
        <v>1638.10811639078</v>
      </c>
    </row>
    <row r="85" spans="1:11" x14ac:dyDescent="0.2">
      <c r="C85" s="87" t="s">
        <v>163</v>
      </c>
      <c r="D85" s="42">
        <f>27833.5754382902*Deflactores!$T$5</f>
        <v>43195.652066826318</v>
      </c>
      <c r="E85" s="42">
        <f>32084.8373116915*Deflactores!$U$5</f>
        <v>49004.326649895906</v>
      </c>
      <c r="F85" s="42">
        <f>27350.5364825239*Deflactores!$V$5</f>
        <v>39550.70878828389</v>
      </c>
      <c r="G85" s="42">
        <f>29898.9606906844*Deflactores!$W$5</f>
        <v>38221.270322510078</v>
      </c>
      <c r="H85" s="42">
        <f>34022.8457670308*Deflactores!$X$5</f>
        <v>39799.624538899741</v>
      </c>
      <c r="I85" s="42">
        <f>36868.9236451839*Deflactores!$Y$5</f>
        <v>40997.09249849771</v>
      </c>
      <c r="J85" s="42">
        <f>51371.5093054384*Deflactores!$Z$5</f>
        <v>54351.056845153827</v>
      </c>
      <c r="K85" s="42">
        <f>11166.8645046965*Deflactores!$AA$5</f>
        <v>11166.864504696499</v>
      </c>
    </row>
    <row r="86" spans="1:11" x14ac:dyDescent="0.2">
      <c r="C86" s="88" t="s">
        <v>150</v>
      </c>
      <c r="D86" s="50">
        <f>7500.51571094942*Deflactores!$T$5</f>
        <v>11640.2460650538</v>
      </c>
      <c r="E86" s="50">
        <f>7759.00542948993*Deflactores!$U$5</f>
        <v>11850.608212574263</v>
      </c>
      <c r="F86" s="50">
        <f>10962.4797053835*Deflactores!$V$5</f>
        <v>15852.480360015405</v>
      </c>
      <c r="G86" s="50">
        <f>11906.1371365512*Deflactores!$W$5</f>
        <v>15220.184096057381</v>
      </c>
      <c r="H86" s="50">
        <f>11819.054423578*Deflactores!$X$5</f>
        <v>13825.825496321444</v>
      </c>
      <c r="I86" s="50">
        <f>13723.4205552127*Deflactores!$Y$5</f>
        <v>15260.015380767254</v>
      </c>
      <c r="J86" s="50">
        <f>13336.8906207521*Deflactores!$Z$5</f>
        <v>14110.430276755722</v>
      </c>
      <c r="K86" s="50">
        <f>10765.54729831*Deflactores!$AA$5</f>
        <v>10765.547298310001</v>
      </c>
    </row>
    <row r="87" spans="1:11" x14ac:dyDescent="0.2">
      <c r="C87" s="87" t="s">
        <v>151</v>
      </c>
      <c r="D87" s="42">
        <f>4116.00261322804*Deflactores!$T$5</f>
        <v>6387.7318665484408</v>
      </c>
      <c r="E87" s="42">
        <f>4322.03503306087*Deflactores!$U$5</f>
        <v>6601.1996412782373</v>
      </c>
      <c r="F87" s="42">
        <f>5949.62559731739*Deflactores!$V$5</f>
        <v>8603.5573579763713</v>
      </c>
      <c r="G87" s="42">
        <f>5755.35965229809*Deflactores!$W$5</f>
        <v>7357.3512922237142</v>
      </c>
      <c r="H87" s="42">
        <f>7851.71537372369*Deflactores!$X$5</f>
        <v>9184.8673094632049</v>
      </c>
      <c r="I87" s="42">
        <f>9078.12873302914*Deflactores!$Y$5</f>
        <v>10094.595843453162</v>
      </c>
      <c r="J87" s="42">
        <f>8330.75467886576*Deflactores!$Z$5</f>
        <v>8813.9384502399753</v>
      </c>
      <c r="K87" s="42">
        <f>3147.42735260165*Deflactores!$AA$5</f>
        <v>3147.42735260165</v>
      </c>
    </row>
    <row r="88" spans="1:11" x14ac:dyDescent="0.2">
      <c r="C88" s="79" t="s">
        <v>154</v>
      </c>
      <c r="D88" s="44">
        <f t="shared" ref="D88:K88" si="1">SUM(D57:D87)</f>
        <v>303873.93831784168</v>
      </c>
      <c r="E88" s="44">
        <f t="shared" si="1"/>
        <v>355020.72876319656</v>
      </c>
      <c r="F88" s="44">
        <f t="shared" si="1"/>
        <v>381960.74226459267</v>
      </c>
      <c r="G88" s="44">
        <f t="shared" si="1"/>
        <v>344300.95431764744</v>
      </c>
      <c r="H88" s="44">
        <f t="shared" si="1"/>
        <v>386475.49438136275</v>
      </c>
      <c r="I88" s="44">
        <f t="shared" si="1"/>
        <v>406853.73929515167</v>
      </c>
      <c r="J88" s="44">
        <f t="shared" si="1"/>
        <v>414226.78435711656</v>
      </c>
      <c r="K88" s="44">
        <f t="shared" si="1"/>
        <v>175083.07036897648</v>
      </c>
    </row>
    <row r="89" spans="1:11" s="31" customFormat="1" x14ac:dyDescent="0.2">
      <c r="A89" s="5"/>
      <c r="B89" s="5"/>
      <c r="C89" s="72" t="str">
        <f>+'C1 Aprop Resumen 2000-2026'!B20</f>
        <v>* Información con corte a 30 de abril</v>
      </c>
      <c r="D89" s="124">
        <f>+D88-'C5 Ejecución PGN 2019-2026'!D66</f>
        <v>0</v>
      </c>
      <c r="E89" s="124">
        <f>+E88-'C5 Ejecución PGN 2019-2026'!E66</f>
        <v>1.280568540096283E-9</v>
      </c>
      <c r="F89" s="124">
        <f>+F88-'C5 Ejecución PGN 2019-2026'!F66</f>
        <v>0</v>
      </c>
      <c r="G89" s="124">
        <f>+G88-'C5 Ejecución PGN 2019-2026'!G66</f>
        <v>0</v>
      </c>
      <c r="H89" s="124">
        <f>+H88-'C5 Ejecución PGN 2019-2026'!H66</f>
        <v>0</v>
      </c>
      <c r="I89" s="124">
        <f>+I88-'C5 Ejecución PGN 2019-2026'!I66</f>
        <v>0</v>
      </c>
      <c r="J89" s="124">
        <f>+J88-'C5 Ejecución PGN 2019-2026'!J66</f>
        <v>0</v>
      </c>
      <c r="K89" s="124">
        <f>+K88-'C5 Ejecución PGN 2019-2026'!K66</f>
        <v>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C94" s="155" t="s">
        <v>155</v>
      </c>
      <c r="D94" s="156"/>
      <c r="E94" s="178"/>
      <c r="F94" s="178"/>
      <c r="G94" s="178"/>
      <c r="H94" s="178"/>
      <c r="I94" s="178"/>
      <c r="J94" s="178"/>
      <c r="K94" s="178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76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10</v>
      </c>
    </row>
    <row r="97" spans="3:11" ht="12" customHeight="1" thickBot="1" x14ac:dyDescent="0.25">
      <c r="C97" s="160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I107" si="2">+IFERROR(IF(D57&gt;0,+((D57/D15)*100)," "),"0")</f>
        <v>95.897509788995379</v>
      </c>
      <c r="E98" s="47">
        <f t="shared" si="2"/>
        <v>91.42092933426791</v>
      </c>
      <c r="F98" s="47">
        <f t="shared" si="2"/>
        <v>93.394137535830041</v>
      </c>
      <c r="G98" s="47">
        <f t="shared" si="2"/>
        <v>89.697292125156011</v>
      </c>
      <c r="H98" s="47">
        <f t="shared" si="2"/>
        <v>90.788390570961937</v>
      </c>
      <c r="I98" s="47">
        <f t="shared" si="2"/>
        <v>97.028850267327599</v>
      </c>
      <c r="J98" s="47">
        <f t="shared" ref="J98:K129" si="3">+IFERROR(IF(J57&gt;0,+((J57/J15)*100)," "),"")</f>
        <v>95.085565133387888</v>
      </c>
      <c r="K98" s="47">
        <f t="shared" si="3"/>
        <v>44.746228062604267</v>
      </c>
    </row>
    <row r="99" spans="3:11" x14ac:dyDescent="0.2">
      <c r="C99" s="88" t="s">
        <v>124</v>
      </c>
      <c r="D99" s="116">
        <f t="shared" si="2"/>
        <v>96.483406037638886</v>
      </c>
      <c r="E99" s="116">
        <f t="shared" si="2"/>
        <v>96.354482397448891</v>
      </c>
      <c r="F99" s="116">
        <f t="shared" si="2"/>
        <v>83.003357939111282</v>
      </c>
      <c r="G99" s="116">
        <f t="shared" si="2"/>
        <v>86.282111000259576</v>
      </c>
      <c r="H99" s="116">
        <f t="shared" si="2"/>
        <v>86.24286234000526</v>
      </c>
      <c r="I99" s="116">
        <f t="shared" si="2"/>
        <v>97.396271718699893</v>
      </c>
      <c r="J99" s="116">
        <f t="shared" si="3"/>
        <v>97.604739341095851</v>
      </c>
      <c r="K99" s="116">
        <f t="shared" si="3"/>
        <v>49.979803575370553</v>
      </c>
    </row>
    <row r="100" spans="3:11" x14ac:dyDescent="0.2">
      <c r="C100" s="87" t="s">
        <v>125</v>
      </c>
      <c r="D100" s="47">
        <f t="shared" si="2"/>
        <v>99.738807028927141</v>
      </c>
      <c r="E100" s="47">
        <f t="shared" si="2"/>
        <v>98.720520014567327</v>
      </c>
      <c r="F100" s="47">
        <f t="shared" si="2"/>
        <v>99.006860988789001</v>
      </c>
      <c r="G100" s="47">
        <f t="shared" si="2"/>
        <v>99.004093527285136</v>
      </c>
      <c r="H100" s="47">
        <f t="shared" si="2"/>
        <v>98.581978187837265</v>
      </c>
      <c r="I100" s="47">
        <f t="shared" si="2"/>
        <v>98.096547308882947</v>
      </c>
      <c r="J100" s="47">
        <f t="shared" si="3"/>
        <v>97.518195657551345</v>
      </c>
      <c r="K100" s="47">
        <f t="shared" si="3"/>
        <v>58.644645677536126</v>
      </c>
    </row>
    <row r="101" spans="3:11" x14ac:dyDescent="0.2">
      <c r="C101" s="88" t="s">
        <v>126</v>
      </c>
      <c r="D101" s="116">
        <f t="shared" si="2"/>
        <v>97.487159755653607</v>
      </c>
      <c r="E101" s="116">
        <f t="shared" si="2"/>
        <v>96.2098500944996</v>
      </c>
      <c r="F101" s="116">
        <f t="shared" si="2"/>
        <v>94.314247866052099</v>
      </c>
      <c r="G101" s="116">
        <f t="shared" si="2"/>
        <v>95.820738628758107</v>
      </c>
      <c r="H101" s="116">
        <f t="shared" si="2"/>
        <v>96.003178854711962</v>
      </c>
      <c r="I101" s="116">
        <f t="shared" si="2"/>
        <v>94.981363589336851</v>
      </c>
      <c r="J101" s="116">
        <f t="shared" si="3"/>
        <v>95.286668038489523</v>
      </c>
      <c r="K101" s="116">
        <f t="shared" si="3"/>
        <v>68.227409584838611</v>
      </c>
    </row>
    <row r="102" spans="3:11" x14ac:dyDescent="0.2">
      <c r="C102" s="87" t="s">
        <v>127</v>
      </c>
      <c r="D102" s="47">
        <f t="shared" si="2"/>
        <v>98.388271868936798</v>
      </c>
      <c r="E102" s="47">
        <f t="shared" si="2"/>
        <v>99.153187306859564</v>
      </c>
      <c r="F102" s="47">
        <f t="shared" si="2"/>
        <v>96.06169009318829</v>
      </c>
      <c r="G102" s="47">
        <f t="shared" si="2"/>
        <v>94.557232037134384</v>
      </c>
      <c r="H102" s="47">
        <f t="shared" si="2"/>
        <v>98.032589861887971</v>
      </c>
      <c r="I102" s="47">
        <f t="shared" si="2"/>
        <v>95.045305842523518</v>
      </c>
      <c r="J102" s="47">
        <f t="shared" si="3"/>
        <v>86.489447796994313</v>
      </c>
      <c r="K102" s="47">
        <f t="shared" si="3"/>
        <v>49.333136591945213</v>
      </c>
    </row>
    <row r="103" spans="3:11" x14ac:dyDescent="0.2">
      <c r="C103" s="88" t="s">
        <v>128</v>
      </c>
      <c r="D103" s="116">
        <f t="shared" si="2"/>
        <v>99.383730434343548</v>
      </c>
      <c r="E103" s="116">
        <f t="shared" si="2"/>
        <v>99.703464862187715</v>
      </c>
      <c r="F103" s="116">
        <f t="shared" si="2"/>
        <v>96.911646625223497</v>
      </c>
      <c r="G103" s="116">
        <f t="shared" si="2"/>
        <v>97.581948102501997</v>
      </c>
      <c r="H103" s="116">
        <f t="shared" si="2"/>
        <v>98.546793815892286</v>
      </c>
      <c r="I103" s="116">
        <f t="shared" si="2"/>
        <v>98.478975101799861</v>
      </c>
      <c r="J103" s="116">
        <f t="shared" si="3"/>
        <v>99.522178081394728</v>
      </c>
      <c r="K103" s="116">
        <f t="shared" si="3"/>
        <v>52.54163322400187</v>
      </c>
    </row>
    <row r="104" spans="3:11" x14ac:dyDescent="0.2">
      <c r="C104" s="87" t="s">
        <v>129</v>
      </c>
      <c r="D104" s="47">
        <f t="shared" si="2"/>
        <v>99.504340872667925</v>
      </c>
      <c r="E104" s="47">
        <f t="shared" si="2"/>
        <v>99.655257203640502</v>
      </c>
      <c r="F104" s="47">
        <f t="shared" si="2"/>
        <v>97.288544695356521</v>
      </c>
      <c r="G104" s="47">
        <f t="shared" si="2"/>
        <v>98.095168892722384</v>
      </c>
      <c r="H104" s="47">
        <f t="shared" si="2"/>
        <v>98.560565212493529</v>
      </c>
      <c r="I104" s="47">
        <f t="shared" si="2"/>
        <v>98.708359844740116</v>
      </c>
      <c r="J104" s="47">
        <f t="shared" si="3"/>
        <v>99.61492221993386</v>
      </c>
      <c r="K104" s="47">
        <f t="shared" si="3"/>
        <v>35.020743136178986</v>
      </c>
    </row>
    <row r="105" spans="3:11" x14ac:dyDescent="0.2">
      <c r="C105" s="88" t="s">
        <v>130</v>
      </c>
      <c r="D105" s="116">
        <f t="shared" si="2"/>
        <v>96.311899283475952</v>
      </c>
      <c r="E105" s="116">
        <f t="shared" si="2"/>
        <v>95.682982630813157</v>
      </c>
      <c r="F105" s="116">
        <f t="shared" si="2"/>
        <v>95.509016984776579</v>
      </c>
      <c r="G105" s="116">
        <f t="shared" si="2"/>
        <v>97.860378773969117</v>
      </c>
      <c r="H105" s="116">
        <f t="shared" si="2"/>
        <v>73.639009620147917</v>
      </c>
      <c r="I105" s="116">
        <f t="shared" si="2"/>
        <v>93.709730331597555</v>
      </c>
      <c r="J105" s="116">
        <f t="shared" si="3"/>
        <v>98.457075599975738</v>
      </c>
      <c r="K105" s="116">
        <f t="shared" si="3"/>
        <v>79.479942253380059</v>
      </c>
    </row>
    <row r="106" spans="3:11" x14ac:dyDescent="0.2">
      <c r="C106" s="87" t="s">
        <v>131</v>
      </c>
      <c r="D106" s="47">
        <f t="shared" si="2"/>
        <v>99.977661999107013</v>
      </c>
      <c r="E106" s="47">
        <f t="shared" si="2"/>
        <v>99.976500458289124</v>
      </c>
      <c r="F106" s="47">
        <f t="shared" si="2"/>
        <v>99.964422108171945</v>
      </c>
      <c r="G106" s="47">
        <f t="shared" si="2"/>
        <v>99.925544338094113</v>
      </c>
      <c r="H106" s="47">
        <f t="shared" si="2"/>
        <v>99.124627816061562</v>
      </c>
      <c r="I106" s="47">
        <f t="shared" si="2"/>
        <v>99.86165009599992</v>
      </c>
      <c r="J106" s="47">
        <f t="shared" si="3"/>
        <v>99.601844427053649</v>
      </c>
      <c r="K106" s="47">
        <f t="shared" si="3"/>
        <v>49.89018054134452</v>
      </c>
    </row>
    <row r="107" spans="3:11" x14ac:dyDescent="0.2">
      <c r="C107" s="88" t="s">
        <v>132</v>
      </c>
      <c r="D107" s="116">
        <f t="shared" si="2"/>
        <v>92.259045085847561</v>
      </c>
      <c r="E107" s="116">
        <f t="shared" si="2"/>
        <v>75.666768920212618</v>
      </c>
      <c r="F107" s="116">
        <f t="shared" si="2"/>
        <v>61.885167192096226</v>
      </c>
      <c r="G107" s="116">
        <f t="shared" si="2"/>
        <v>72.176388247394314</v>
      </c>
      <c r="H107" s="116">
        <f t="shared" si="2"/>
        <v>80.434967401776419</v>
      </c>
      <c r="I107" s="116">
        <f t="shared" si="2"/>
        <v>87.762044508470979</v>
      </c>
      <c r="J107" s="116">
        <f t="shared" si="3"/>
        <v>89.615315048687066</v>
      </c>
      <c r="K107" s="116">
        <f t="shared" si="3"/>
        <v>42.457758400043588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99.340013184821359</v>
      </c>
      <c r="E108" s="47">
        <f t="shared" si="4"/>
        <v>98.907352550001377</v>
      </c>
      <c r="F108" s="47">
        <f t="shared" si="4"/>
        <v>95.400012597667626</v>
      </c>
      <c r="G108" s="47">
        <f t="shared" si="4"/>
        <v>99.000427541955688</v>
      </c>
      <c r="H108" s="47">
        <f t="shared" si="4"/>
        <v>99.110336064614728</v>
      </c>
      <c r="I108" s="47">
        <f t="shared" si="4"/>
        <v>98.665011848270197</v>
      </c>
      <c r="J108" s="47">
        <f t="shared" si="3"/>
        <v>99.645947107242293</v>
      </c>
      <c r="K108" s="47">
        <f t="shared" si="3"/>
        <v>30.164607620702377</v>
      </c>
    </row>
    <row r="109" spans="3:11" x14ac:dyDescent="0.2">
      <c r="C109" s="88" t="s">
        <v>134</v>
      </c>
      <c r="D109" s="116">
        <f t="shared" si="4"/>
        <v>91.249272539401687</v>
      </c>
      <c r="E109" s="116">
        <f t="shared" si="4"/>
        <v>50.881347940374319</v>
      </c>
      <c r="F109" s="116">
        <f t="shared" si="4"/>
        <v>89.432520666776981</v>
      </c>
      <c r="G109" s="116">
        <f t="shared" si="4"/>
        <v>92.777271105482342</v>
      </c>
      <c r="H109" s="116">
        <f t="shared" si="4"/>
        <v>89.331168475318208</v>
      </c>
      <c r="I109" s="116">
        <f t="shared" si="4"/>
        <v>85.010738239840194</v>
      </c>
      <c r="J109" s="116">
        <f t="shared" si="3"/>
        <v>92.089932942078207</v>
      </c>
      <c r="K109" s="116">
        <f t="shared" si="3"/>
        <v>27.946222836099398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</v>
      </c>
      <c r="I110" s="47">
        <f t="shared" si="4"/>
        <v>97.719601862987417</v>
      </c>
      <c r="J110" s="47">
        <f t="shared" si="3"/>
        <v>99.7018054545252</v>
      </c>
      <c r="K110" s="47">
        <f t="shared" si="3"/>
        <v>57.935401422254273</v>
      </c>
    </row>
    <row r="111" spans="3:11" x14ac:dyDescent="0.2">
      <c r="C111" s="88" t="s">
        <v>136</v>
      </c>
      <c r="D111" s="116">
        <f t="shared" si="4"/>
        <v>98.698322313525495</v>
      </c>
      <c r="E111" s="116">
        <f t="shared" si="4"/>
        <v>98.913719503364248</v>
      </c>
      <c r="F111" s="116">
        <f t="shared" si="4"/>
        <v>96.878338146511396</v>
      </c>
      <c r="G111" s="116">
        <f t="shared" si="4"/>
        <v>98.362684887430476</v>
      </c>
      <c r="H111" s="116">
        <f t="shared" si="4"/>
        <v>92.207721026352303</v>
      </c>
      <c r="I111" s="116">
        <f t="shared" si="4"/>
        <v>96.798481410837127</v>
      </c>
      <c r="J111" s="116">
        <f t="shared" si="3"/>
        <v>98.278709067651803</v>
      </c>
      <c r="K111" s="116">
        <f t="shared" si="3"/>
        <v>30.985464938656342</v>
      </c>
    </row>
    <row r="112" spans="3:11" x14ac:dyDescent="0.2">
      <c r="C112" s="87" t="s">
        <v>137</v>
      </c>
      <c r="D112" s="47">
        <f t="shared" si="4"/>
        <v>93.166251236571895</v>
      </c>
      <c r="E112" s="47">
        <f t="shared" si="4"/>
        <v>90.933045093393389</v>
      </c>
      <c r="F112" s="47">
        <f t="shared" si="4"/>
        <v>69.820762734028847</v>
      </c>
      <c r="G112" s="47">
        <f t="shared" si="4"/>
        <v>66.332585784056462</v>
      </c>
      <c r="H112" s="47">
        <f t="shared" si="4"/>
        <v>83.51150585772082</v>
      </c>
      <c r="I112" s="47">
        <f t="shared" si="4"/>
        <v>94.623772681009598</v>
      </c>
      <c r="J112" s="47">
        <f t="shared" si="3"/>
        <v>95.78045980342435</v>
      </c>
      <c r="K112" s="47">
        <f t="shared" si="3"/>
        <v>47.517456335504029</v>
      </c>
    </row>
    <row r="113" spans="3:11" x14ac:dyDescent="0.2">
      <c r="C113" s="88" t="s">
        <v>138</v>
      </c>
      <c r="D113" s="116">
        <f t="shared" si="4"/>
        <v>96.819152664304497</v>
      </c>
      <c r="E113" s="116">
        <f t="shared" si="4"/>
        <v>99.228299196411896</v>
      </c>
      <c r="F113" s="116">
        <f t="shared" si="4"/>
        <v>97.24193810835628</v>
      </c>
      <c r="G113" s="116">
        <f t="shared" si="4"/>
        <v>95.924261025294271</v>
      </c>
      <c r="H113" s="116">
        <f t="shared" si="4"/>
        <v>93.310183123885565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29.018487637126533</v>
      </c>
    </row>
    <row r="114" spans="3:11" x14ac:dyDescent="0.2">
      <c r="C114" s="87" t="s">
        <v>160</v>
      </c>
      <c r="D114" s="47">
        <f t="shared" si="4"/>
        <v>98.284013827744872</v>
      </c>
      <c r="E114" s="47">
        <f t="shared" si="4"/>
        <v>97.428683229731448</v>
      </c>
      <c r="F114" s="47">
        <f t="shared" si="4"/>
        <v>96.921543328920905</v>
      </c>
      <c r="G114" s="47">
        <f t="shared" si="4"/>
        <v>86.594619438544356</v>
      </c>
      <c r="H114" s="47">
        <f t="shared" si="4"/>
        <v>95.673186708263813</v>
      </c>
      <c r="I114" s="47">
        <f t="shared" si="4"/>
        <v>89.956378220202183</v>
      </c>
      <c r="J114" s="47">
        <f t="shared" si="3"/>
        <v>98.062346165346653</v>
      </c>
      <c r="K114" s="47">
        <f t="shared" si="3"/>
        <v>64.873834232680366</v>
      </c>
    </row>
    <row r="115" spans="3:11" x14ac:dyDescent="0.2">
      <c r="C115" s="88" t="s">
        <v>161</v>
      </c>
      <c r="D115" s="116">
        <f t="shared" si="4"/>
        <v>96.198025193417351</v>
      </c>
      <c r="E115" s="116">
        <f t="shared" si="4"/>
        <v>95.512346391539339</v>
      </c>
      <c r="F115" s="116">
        <f t="shared" si="4"/>
        <v>86.346879238691955</v>
      </c>
      <c r="G115" s="116">
        <f t="shared" si="4"/>
        <v>86.612955067596161</v>
      </c>
      <c r="H115" s="116">
        <f t="shared" si="4"/>
        <v>90.61615382635415</v>
      </c>
      <c r="I115" s="116">
        <f t="shared" si="4"/>
        <v>94.032563548484816</v>
      </c>
      <c r="J115" s="116">
        <f t="shared" si="3"/>
        <v>97.163852963276881</v>
      </c>
      <c r="K115" s="116">
        <f t="shared" si="3"/>
        <v>38.703862161803677</v>
      </c>
    </row>
    <row r="116" spans="3:11" x14ac:dyDescent="0.2">
      <c r="C116" s="87" t="s">
        <v>140</v>
      </c>
      <c r="D116" s="47">
        <f t="shared" si="4"/>
        <v>96.723105254905676</v>
      </c>
      <c r="E116" s="47">
        <f t="shared" si="4"/>
        <v>97.186837623110961</v>
      </c>
      <c r="F116" s="47">
        <f t="shared" si="4"/>
        <v>95.050118617307845</v>
      </c>
      <c r="G116" s="47">
        <f t="shared" si="4"/>
        <v>92.341418502567919</v>
      </c>
      <c r="H116" s="47">
        <f t="shared" si="4"/>
        <v>92.245421400287213</v>
      </c>
      <c r="I116" s="47">
        <f t="shared" si="4"/>
        <v>97.624183153044115</v>
      </c>
      <c r="J116" s="47">
        <f t="shared" si="3"/>
        <v>95.875749211464083</v>
      </c>
      <c r="K116" s="47">
        <f t="shared" si="3"/>
        <v>50.495051514510635</v>
      </c>
    </row>
    <row r="117" spans="3:11" x14ac:dyDescent="0.2">
      <c r="C117" s="88" t="s">
        <v>141</v>
      </c>
      <c r="D117" s="116">
        <f t="shared" si="4"/>
        <v>95.696579019592534</v>
      </c>
      <c r="E117" s="116">
        <f t="shared" si="4"/>
        <v>86.562899245216869</v>
      </c>
      <c r="F117" s="116">
        <f t="shared" si="4"/>
        <v>88.984459067861295</v>
      </c>
      <c r="G117" s="116">
        <f t="shared" si="4"/>
        <v>90.688223742540544</v>
      </c>
      <c r="H117" s="116">
        <f t="shared" si="4"/>
        <v>92.460535934012427</v>
      </c>
      <c r="I117" s="116">
        <f t="shared" si="4"/>
        <v>91.178596411919116</v>
      </c>
      <c r="J117" s="116">
        <f t="shared" si="3"/>
        <v>97.118011410624263</v>
      </c>
      <c r="K117" s="116">
        <f t="shared" si="3"/>
        <v>30.141920995648103</v>
      </c>
    </row>
    <row r="118" spans="3:11" x14ac:dyDescent="0.2">
      <c r="C118" s="87" t="s">
        <v>142</v>
      </c>
      <c r="D118" s="47">
        <f t="shared" ref="D118:I127" si="5">+IFERROR(IF(D77&gt;0,+((D77/D35)*100)," "),"0")</f>
        <v>95.936369476775013</v>
      </c>
      <c r="E118" s="47">
        <f t="shared" si="5"/>
        <v>92.706348354978857</v>
      </c>
      <c r="F118" s="47">
        <f t="shared" si="5"/>
        <v>66.234018090875153</v>
      </c>
      <c r="G118" s="47">
        <f t="shared" si="5"/>
        <v>89.134558772345301</v>
      </c>
      <c r="H118" s="47">
        <f t="shared" si="5"/>
        <v>92.624695328167306</v>
      </c>
      <c r="I118" s="47">
        <f t="shared" si="5"/>
        <v>87.418958007683585</v>
      </c>
      <c r="J118" s="47">
        <f t="shared" si="3"/>
        <v>93.404224138807834</v>
      </c>
      <c r="K118" s="47">
        <f t="shared" si="3"/>
        <v>43.189678736655466</v>
      </c>
    </row>
    <row r="119" spans="3:11" x14ac:dyDescent="0.2">
      <c r="C119" s="88" t="s">
        <v>143</v>
      </c>
      <c r="D119" s="116">
        <f t="shared" si="5"/>
        <v>96.920646896116423</v>
      </c>
      <c r="E119" s="116">
        <f t="shared" si="5"/>
        <v>99.034078219576799</v>
      </c>
      <c r="F119" s="116">
        <f t="shared" si="5"/>
        <v>98.416158303887642</v>
      </c>
      <c r="G119" s="116">
        <f t="shared" si="5"/>
        <v>98.118404055442284</v>
      </c>
      <c r="H119" s="116">
        <f t="shared" si="5"/>
        <v>96.540657035985276</v>
      </c>
      <c r="I119" s="116">
        <f t="shared" si="5"/>
        <v>93.457551101674255</v>
      </c>
      <c r="J119" s="116">
        <f t="shared" si="3"/>
        <v>98.891752573837536</v>
      </c>
      <c r="K119" s="116">
        <f t="shared" si="3"/>
        <v>25.829183498975656</v>
      </c>
    </row>
    <row r="120" spans="3:11" x14ac:dyDescent="0.2">
      <c r="C120" s="87" t="s">
        <v>144</v>
      </c>
      <c r="D120" s="47">
        <f t="shared" si="5"/>
        <v>98.918704604490912</v>
      </c>
      <c r="E120" s="47">
        <f t="shared" si="5"/>
        <v>98.751317180580685</v>
      </c>
      <c r="F120" s="47">
        <f t="shared" si="5"/>
        <v>96.512791732433712</v>
      </c>
      <c r="G120" s="47">
        <f t="shared" si="5"/>
        <v>97.561948772370741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25.549737661753291</v>
      </c>
    </row>
    <row r="121" spans="3:11" x14ac:dyDescent="0.2">
      <c r="C121" s="88" t="s">
        <v>145</v>
      </c>
      <c r="D121" s="116">
        <f t="shared" si="5"/>
        <v>95.716951599409015</v>
      </c>
      <c r="E121" s="116">
        <f t="shared" si="5"/>
        <v>96.950427217147748</v>
      </c>
      <c r="F121" s="116">
        <f t="shared" si="5"/>
        <v>93.873059377475684</v>
      </c>
      <c r="G121" s="116">
        <f t="shared" si="5"/>
        <v>96.912374054234292</v>
      </c>
      <c r="H121" s="116">
        <f t="shared" si="5"/>
        <v>94.642443287448401</v>
      </c>
      <c r="I121" s="116">
        <f t="shared" si="5"/>
        <v>68.587058330965689</v>
      </c>
      <c r="J121" s="116">
        <f t="shared" si="3"/>
        <v>95.280202900726337</v>
      </c>
      <c r="K121" s="116">
        <f t="shared" si="3"/>
        <v>43.362539939289427</v>
      </c>
    </row>
    <row r="122" spans="3:11" x14ac:dyDescent="0.2">
      <c r="C122" s="87" t="s">
        <v>146</v>
      </c>
      <c r="D122" s="47">
        <f t="shared" si="5"/>
        <v>96.834433124453767</v>
      </c>
      <c r="E122" s="47">
        <f t="shared" si="5"/>
        <v>92.873344477693422</v>
      </c>
      <c r="F122" s="47">
        <f t="shared" si="5"/>
        <v>91.748720108782862</v>
      </c>
      <c r="G122" s="47">
        <f t="shared" si="5"/>
        <v>96.220643379549216</v>
      </c>
      <c r="H122" s="47">
        <f t="shared" si="5"/>
        <v>93.565277066957876</v>
      </c>
      <c r="I122" s="47">
        <f t="shared" si="5"/>
        <v>95.628639491775502</v>
      </c>
      <c r="J122" s="47">
        <f t="shared" si="3"/>
        <v>95.367328257146468</v>
      </c>
      <c r="K122" s="47">
        <f t="shared" si="3"/>
        <v>48.451333147414637</v>
      </c>
    </row>
    <row r="123" spans="3:11" x14ac:dyDescent="0.2">
      <c r="C123" s="88" t="s">
        <v>162</v>
      </c>
      <c r="D123" s="116">
        <f t="shared" si="5"/>
        <v>99.716740310899269</v>
      </c>
      <c r="E123" s="116">
        <f t="shared" si="5"/>
        <v>97.621735274052156</v>
      </c>
      <c r="F123" s="116">
        <f t="shared" si="5"/>
        <v>99.518702790926255</v>
      </c>
      <c r="G123" s="116">
        <f t="shared" si="5"/>
        <v>99.65273128766502</v>
      </c>
      <c r="H123" s="116">
        <f t="shared" si="5"/>
        <v>98.92877005193408</v>
      </c>
      <c r="I123" s="116">
        <f t="shared" si="5"/>
        <v>98.640004268002599</v>
      </c>
      <c r="J123" s="116">
        <f t="shared" si="3"/>
        <v>99.041970321556278</v>
      </c>
      <c r="K123" s="116">
        <f t="shared" si="3"/>
        <v>36.726653830017241</v>
      </c>
    </row>
    <row r="124" spans="3:11" x14ac:dyDescent="0.2">
      <c r="C124" s="87" t="s">
        <v>148</v>
      </c>
      <c r="D124" s="47">
        <f t="shared" si="5"/>
        <v>92.121058708906929</v>
      </c>
      <c r="E124" s="47">
        <f t="shared" si="5"/>
        <v>96.845274654608062</v>
      </c>
      <c r="F124" s="47">
        <f t="shared" si="5"/>
        <v>95.330987537885932</v>
      </c>
      <c r="G124" s="47">
        <f t="shared" si="5"/>
        <v>97.146339628881137</v>
      </c>
      <c r="H124" s="47">
        <f t="shared" si="5"/>
        <v>92.601026950901584</v>
      </c>
      <c r="I124" s="47">
        <f t="shared" si="5"/>
        <v>98.22522883247342</v>
      </c>
      <c r="J124" s="47">
        <f t="shared" si="3"/>
        <v>99.393554503437755</v>
      </c>
      <c r="K124" s="47">
        <f t="shared" si="3"/>
        <v>48.143877596160515</v>
      </c>
    </row>
    <row r="125" spans="3:11" x14ac:dyDescent="0.2">
      <c r="C125" s="88" t="s">
        <v>149</v>
      </c>
      <c r="D125" s="116">
        <f t="shared" si="5"/>
        <v>93.132661252905251</v>
      </c>
      <c r="E125" s="116">
        <f t="shared" si="5"/>
        <v>99.313350385048409</v>
      </c>
      <c r="F125" s="116">
        <f t="shared" si="5"/>
        <v>86.066312810013358</v>
      </c>
      <c r="G125" s="116">
        <f t="shared" si="5"/>
        <v>86.912627378052292</v>
      </c>
      <c r="H125" s="116">
        <f t="shared" si="5"/>
        <v>97.07806485690935</v>
      </c>
      <c r="I125" s="116">
        <f t="shared" si="5"/>
        <v>94.603111271307327</v>
      </c>
      <c r="J125" s="116">
        <f t="shared" si="3"/>
        <v>96.217819001916908</v>
      </c>
      <c r="K125" s="116">
        <f t="shared" si="3"/>
        <v>71.756549330191604</v>
      </c>
    </row>
    <row r="126" spans="3:11" x14ac:dyDescent="0.2">
      <c r="C126" s="87" t="s">
        <v>163</v>
      </c>
      <c r="D126" s="47">
        <f t="shared" si="5"/>
        <v>99.258386056930846</v>
      </c>
      <c r="E126" s="47">
        <f t="shared" si="5"/>
        <v>98.880642768629627</v>
      </c>
      <c r="F126" s="47">
        <f t="shared" si="5"/>
        <v>98.076689524915452</v>
      </c>
      <c r="G126" s="47">
        <f t="shared" si="5"/>
        <v>86.433168802601983</v>
      </c>
      <c r="H126" s="47">
        <f t="shared" si="5"/>
        <v>98.015933589504158</v>
      </c>
      <c r="I126" s="47">
        <f t="shared" si="5"/>
        <v>91.770825036602261</v>
      </c>
      <c r="J126" s="47">
        <f t="shared" si="3"/>
        <v>99.128409200676259</v>
      </c>
      <c r="K126" s="47">
        <f t="shared" si="3"/>
        <v>19.663107430022936</v>
      </c>
    </row>
    <row r="127" spans="3:11" x14ac:dyDescent="0.2">
      <c r="C127" s="88" t="s">
        <v>150</v>
      </c>
      <c r="D127" s="116">
        <f t="shared" si="5"/>
        <v>98.261922058422144</v>
      </c>
      <c r="E127" s="116">
        <f t="shared" si="5"/>
        <v>97.796480551720933</v>
      </c>
      <c r="F127" s="116">
        <f t="shared" si="5"/>
        <v>95.694564865410314</v>
      </c>
      <c r="G127" s="116">
        <f t="shared" si="5"/>
        <v>95.62150618506999</v>
      </c>
      <c r="H127" s="116">
        <f t="shared" si="5"/>
        <v>91.447480759829745</v>
      </c>
      <c r="I127" s="116">
        <f t="shared" si="5"/>
        <v>95.75729782937546</v>
      </c>
      <c r="J127" s="116">
        <f t="shared" si="3"/>
        <v>97.659406778269414</v>
      </c>
      <c r="K127" s="116">
        <f t="shared" si="3"/>
        <v>60.500947034769858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99.164725373538772</v>
      </c>
      <c r="E128" s="47">
        <f t="shared" si="6"/>
        <v>98.955042640685264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98.758816953641073</v>
      </c>
      <c r="I128" s="47">
        <f t="shared" si="6"/>
        <v>99.31065111884196</v>
      </c>
      <c r="J128" s="47">
        <f t="shared" si="3"/>
        <v>99.844229244380756</v>
      </c>
      <c r="K128" s="47">
        <f t="shared" si="3"/>
        <v>43.252473723617349</v>
      </c>
    </row>
    <row r="129" spans="1:11" x14ac:dyDescent="0.2">
      <c r="C129" s="91" t="s">
        <v>154</v>
      </c>
      <c r="D129" s="74">
        <f t="shared" ref="D129:I129" si="7">+IFERROR(IF(D88&gt;0,+((D88/D46)*100)," "),"")</f>
        <v>98.653732946933189</v>
      </c>
      <c r="E129" s="74">
        <f t="shared" si="7"/>
        <v>90.938302753094561</v>
      </c>
      <c r="F129" s="74">
        <f t="shared" si="7"/>
        <v>96.592229970655168</v>
      </c>
      <c r="G129" s="74">
        <f t="shared" si="7"/>
        <v>95.849976232276475</v>
      </c>
      <c r="H129" s="74">
        <f t="shared" si="7"/>
        <v>95.852678171485124</v>
      </c>
      <c r="I129" s="74">
        <f t="shared" si="7"/>
        <v>96.09276119605525</v>
      </c>
      <c r="J129" s="74">
        <f t="shared" si="3"/>
        <v>98.402750381978535</v>
      </c>
      <c r="K129" s="74">
        <f t="shared" si="3"/>
        <v>38.458711602019036</v>
      </c>
    </row>
    <row r="130" spans="1:11" s="31" customFormat="1" x14ac:dyDescent="0.2">
      <c r="A130" s="5"/>
      <c r="B130" s="5"/>
      <c r="C130" s="72" t="str">
        <f>+'C1 Aprop Resumen 2000-2026'!B20</f>
        <v>* Información con corte a 30 de abril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C136" s="155" t="s">
        <v>156</v>
      </c>
      <c r="D136" s="156"/>
      <c r="E136" s="178"/>
      <c r="F136" s="178"/>
      <c r="G136" s="178"/>
      <c r="H136" s="178"/>
      <c r="I136" s="178"/>
      <c r="J136" s="178"/>
      <c r="K136" s="178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76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10</v>
      </c>
    </row>
    <row r="139" spans="1:11" ht="12" customHeight="1" thickBot="1" x14ac:dyDescent="0.25">
      <c r="C139" s="160"/>
      <c r="D139" s="154"/>
      <c r="E139" s="154"/>
      <c r="F139" s="154"/>
      <c r="G139" s="154"/>
      <c r="H139" s="154"/>
      <c r="I139" s="154"/>
      <c r="J139" s="154"/>
      <c r="K139" s="154"/>
    </row>
    <row r="140" spans="1:11" x14ac:dyDescent="0.2">
      <c r="C140" s="87" t="s">
        <v>123</v>
      </c>
      <c r="D140" s="42">
        <f>1427.39016331352*Deflactores!$T$5</f>
        <v>2215.2040435768304</v>
      </c>
      <c r="E140" s="42">
        <f>1439.68168910376*Deflactores!$U$5</f>
        <v>2198.8776529967431</v>
      </c>
      <c r="F140" s="42">
        <f>1913.3237407324*Deflactores!$V$5</f>
        <v>2766.7943601680322</v>
      </c>
      <c r="G140" s="42">
        <f>1926.38510411994*Deflactores!$W$5</f>
        <v>2462.5901405584796</v>
      </c>
      <c r="H140" s="42">
        <f>3995.59216300816*Deflactores!$X$5</f>
        <v>4674.0084291359717</v>
      </c>
      <c r="I140" s="42">
        <f>3041.33736576284*Deflactores!$Y$5</f>
        <v>3381.8722375315106</v>
      </c>
      <c r="J140" s="42">
        <f>3004.54220337808*Deflactores!$Z$5</f>
        <v>3178.8056511740087</v>
      </c>
      <c r="K140" s="42">
        <f>552.87447945774*Deflactores!$AA$5</f>
        <v>552.87447945773999</v>
      </c>
    </row>
    <row r="141" spans="1:11" x14ac:dyDescent="0.2">
      <c r="C141" s="88" t="s">
        <v>124</v>
      </c>
      <c r="D141" s="50">
        <f>553.92163483501*Deflactores!$T$5</f>
        <v>859.64544022270002</v>
      </c>
      <c r="E141" s="50">
        <f>592.98317804759*Deflactores!$U$5</f>
        <v>905.68454727207461</v>
      </c>
      <c r="F141" s="50">
        <f>792.38339647713*Deflactores!$V$5</f>
        <v>1145.839496887495</v>
      </c>
      <c r="G141" s="50">
        <f>863.964767359409*Deflactores!$W$5</f>
        <v>1104.4474509997633</v>
      </c>
      <c r="H141" s="50">
        <f>999.052547272*Deflactores!$X$5</f>
        <v>1168.6828476466694</v>
      </c>
      <c r="I141" s="50">
        <f>1117.95325194925*Deflactores!$Y$5</f>
        <v>1243.1291273985089</v>
      </c>
      <c r="J141" s="50">
        <f>1423.88177474573*Deflactores!$Z$5</f>
        <v>1506.4669176809823</v>
      </c>
      <c r="K141" s="50">
        <f>395.0611820863*Deflactores!$AA$5</f>
        <v>395.06118208629999</v>
      </c>
    </row>
    <row r="142" spans="1:11" x14ac:dyDescent="0.2">
      <c r="C142" s="87" t="s">
        <v>125</v>
      </c>
      <c r="D142" s="42">
        <f>156.9631704478*Deflactores!$T$5</f>
        <v>243.59524032409479</v>
      </c>
      <c r="E142" s="42">
        <f>182.164232197009*Deflactores!$U$5</f>
        <v>278.22598730325603</v>
      </c>
      <c r="F142" s="42">
        <f>360.28363559592*Deflactores!$V$5</f>
        <v>520.99428330202477</v>
      </c>
      <c r="G142" s="42">
        <f>289.96073695917*Deflactores!$W$5</f>
        <v>370.67066728121068</v>
      </c>
      <c r="H142" s="42">
        <f>319.52175787501*Deflactores!$X$5</f>
        <v>373.77373081935588</v>
      </c>
      <c r="I142" s="42">
        <f>328.486339277249*Deflactores!$Y$5</f>
        <v>365.26655796748321</v>
      </c>
      <c r="J142" s="42">
        <f>268.60777290051*Deflactores!$Z$5</f>
        <v>284.18702372873958</v>
      </c>
      <c r="K142" s="42">
        <f>19.61798285421*Deflactores!$AA$5</f>
        <v>19.617982854209998</v>
      </c>
    </row>
    <row r="143" spans="1:11" x14ac:dyDescent="0.2">
      <c r="C143" s="88" t="s">
        <v>126</v>
      </c>
      <c r="D143" s="50">
        <f>862.23771745356*Deflactores!$T$5</f>
        <v>1338.1292146456053</v>
      </c>
      <c r="E143" s="50">
        <f>926.53039038484*Deflactores!$U$5</f>
        <v>1415.1232079001179</v>
      </c>
      <c r="F143" s="50">
        <f>881.750204977329*Deflactores!$V$5</f>
        <v>1275.0698913475139</v>
      </c>
      <c r="G143" s="50">
        <f>951.67379521335*Deflactores!$W$5</f>
        <v>1216.5700929207092</v>
      </c>
      <c r="H143" s="50">
        <f>1080.51842096097*Deflactores!$X$5</f>
        <v>1263.9809073021124</v>
      </c>
      <c r="I143" s="50">
        <f>1041.44880616576*Deflactores!$Y$5</f>
        <v>1158.0585712163854</v>
      </c>
      <c r="J143" s="50">
        <f>1257.57553686961*Deflactores!$Z$5</f>
        <v>1330.5149180080475</v>
      </c>
      <c r="K143" s="50">
        <f>382.80116618153*Deflactores!$AA$5</f>
        <v>382.80116618152999</v>
      </c>
    </row>
    <row r="144" spans="1:11" x14ac:dyDescent="0.2">
      <c r="C144" s="87" t="s">
        <v>127</v>
      </c>
      <c r="D144" s="42">
        <f>590.74732759686*Deflactores!$T$5</f>
        <v>916.79619382198098</v>
      </c>
      <c r="E144" s="42">
        <f>641.05703782282*Deflactores!$U$5</f>
        <v>979.10948332086105</v>
      </c>
      <c r="F144" s="42">
        <f>722.891786365659*Deflactores!$V$5</f>
        <v>1045.3499713345348</v>
      </c>
      <c r="G144" s="42">
        <f>860.374365491189*Deflactores!$W$5</f>
        <v>1099.8576687062789</v>
      </c>
      <c r="H144" s="42">
        <f>1029.84790740124*Deflactores!$X$5</f>
        <v>1204.7069879868536</v>
      </c>
      <c r="I144" s="42">
        <f>1105.41480856526*Deflactores!$Y$5</f>
        <v>1229.1867696517088</v>
      </c>
      <c r="J144" s="42">
        <f>1241.12687203137*Deflactores!$Z$5</f>
        <v>1313.1122306091897</v>
      </c>
      <c r="K144" s="42">
        <f>424.56943903953*Deflactores!$AA$5</f>
        <v>424.56943903952998</v>
      </c>
    </row>
    <row r="145" spans="3:11" x14ac:dyDescent="0.2">
      <c r="C145" s="88" t="s">
        <v>128</v>
      </c>
      <c r="D145" s="50">
        <f>363.63161473374*Deflactores!$T$5</f>
        <v>564.32939222492348</v>
      </c>
      <c r="E145" s="50">
        <f>361.402256784319*Deflactores!$U$5</f>
        <v>551.98267241999758</v>
      </c>
      <c r="F145" s="50">
        <f>507.491207840489*Deflactores!$V$5</f>
        <v>733.86629862777113</v>
      </c>
      <c r="G145" s="50">
        <f>450.435169529809*Deflactores!$W$5</f>
        <v>575.81280351087673</v>
      </c>
      <c r="H145" s="50">
        <f>605.68737496236*Deflactores!$X$5</f>
        <v>708.52774269732913</v>
      </c>
      <c r="I145" s="50">
        <f>854.5531835272*Deflactores!$Y$5</f>
        <v>950.23647142806499</v>
      </c>
      <c r="J145" s="50">
        <f>714.17228777889*Deflactores!$Z$5</f>
        <v>755.59428047006566</v>
      </c>
      <c r="K145" s="50">
        <f>234.245063521159*Deflactores!$AA$5</f>
        <v>234.24506352115901</v>
      </c>
    </row>
    <row r="146" spans="3:11" x14ac:dyDescent="0.2">
      <c r="C146" s="87" t="s">
        <v>129</v>
      </c>
      <c r="D146" s="42">
        <f>32273.5575669714*Deflactores!$T$5</f>
        <v>50086.176197966168</v>
      </c>
      <c r="E146" s="42">
        <f>34268.7510221385*Deflactores!$U$5</f>
        <v>52339.896651459647</v>
      </c>
      <c r="F146" s="42">
        <f>36526.1412894302*Deflactores!$V$5</f>
        <v>52819.24828864108</v>
      </c>
      <c r="G146" s="42">
        <f>40165.5010109871*Deflactores!$W$5</f>
        <v>51345.479452009975</v>
      </c>
      <c r="H146" s="42">
        <f>45222.3535883825*Deflactores!$X$5</f>
        <v>52900.709890854676</v>
      </c>
      <c r="I146" s="42">
        <f>50164.5798986244*Deflactores!$Y$5</f>
        <v>55781.447325241679</v>
      </c>
      <c r="J146" s="42">
        <f>55459.9014381672*Deflactores!$Z$5</f>
        <v>58676.575721580906</v>
      </c>
      <c r="K146" s="42">
        <f>17301.848568223*Deflactores!$AA$5</f>
        <v>17301.848568222998</v>
      </c>
    </row>
    <row r="147" spans="3:11" x14ac:dyDescent="0.2">
      <c r="C147" s="88" t="s">
        <v>130</v>
      </c>
      <c r="D147" s="50">
        <f>265.50080154778*Deflactores!$T$5</f>
        <v>412.03762242289588</v>
      </c>
      <c r="E147" s="50">
        <f>241.73299196914*Deflactores!$U$5</f>
        <v>369.2074977795138</v>
      </c>
      <c r="F147" s="50">
        <f>671.605856234279*Deflactores!$V$5</f>
        <v>971.18707917852316</v>
      </c>
      <c r="G147" s="50">
        <f>556.1626767964*Deflactores!$W$5</f>
        <v>710.96932876831113</v>
      </c>
      <c r="H147" s="50">
        <f>560.386603394199*Deflactores!$X$5</f>
        <v>655.53530014620117</v>
      </c>
      <c r="I147" s="50">
        <f>381.37251859876*Deflactores!$Y$5</f>
        <v>424.07433891606934</v>
      </c>
      <c r="J147" s="50">
        <f>303.56938040264*Deflactores!$Z$5</f>
        <v>321.17640446599313</v>
      </c>
      <c r="K147" s="50">
        <f>138.89876457491*Deflactores!$AA$5</f>
        <v>138.89876457490999</v>
      </c>
    </row>
    <row r="148" spans="3:11" x14ac:dyDescent="0.2">
      <c r="C148" s="87" t="s">
        <v>131</v>
      </c>
      <c r="D148" s="42">
        <f>41301.5020213789*Deflactores!$T$5</f>
        <v>64096.878789726907</v>
      </c>
      <c r="E148" s="42">
        <f>44559.2266310879*Deflactores!$U$5</f>
        <v>68056.910368091063</v>
      </c>
      <c r="F148" s="42">
        <f>48030.2840783423*Deflactores!$V$5</f>
        <v>69455.009769730372</v>
      </c>
      <c r="G148" s="42">
        <f>49639.3302599511*Deflactores!$W$5</f>
        <v>63456.328135348173</v>
      </c>
      <c r="H148" s="42">
        <f>57885.4014038318*Deflactores!$X$5</f>
        <v>67713.831404087803</v>
      </c>
      <c r="I148" s="42">
        <f>67589.1345819209*Deflactores!$Y$5</f>
        <v>75157.008352490506</v>
      </c>
      <c r="J148" s="42">
        <f>78036.505969929*Deflactores!$Z$5</f>
        <v>82562.62331618488</v>
      </c>
      <c r="K148" s="42">
        <f>26740.562416016*Deflactores!$AA$5</f>
        <v>26740.562416016</v>
      </c>
    </row>
    <row r="149" spans="3:11" x14ac:dyDescent="0.2">
      <c r="C149" s="88" t="s">
        <v>132</v>
      </c>
      <c r="D149" s="50">
        <f>352.34872515736*Deflactores!$T$5</f>
        <v>546.81918145339387</v>
      </c>
      <c r="E149" s="50">
        <f>246.13729524877*Deflactores!$U$5</f>
        <v>375.93434867433035</v>
      </c>
      <c r="F149" s="50">
        <f>296.538243579559*Deflactores!$V$5</f>
        <v>428.81417422646649</v>
      </c>
      <c r="G149" s="50">
        <f>346.0662886939*Deflactores!$W$5</f>
        <v>442.39307534855288</v>
      </c>
      <c r="H149" s="50">
        <f>409.48866905198*Deflactores!$X$5</f>
        <v>479.01622905969151</v>
      </c>
      <c r="I149" s="50">
        <f>495.58572267546*Deflactores!$Y$5</f>
        <v>551.07585751597333</v>
      </c>
      <c r="J149" s="50">
        <f>521.25009868281*Deflactores!$Z$5</f>
        <v>551.48260440641297</v>
      </c>
      <c r="K149" s="50">
        <f>106.418175598849*Deflactores!$AA$5</f>
        <v>106.418175598849</v>
      </c>
    </row>
    <row r="150" spans="3:11" x14ac:dyDescent="0.2">
      <c r="C150" s="87" t="s">
        <v>133</v>
      </c>
      <c r="D150" s="42">
        <f>3650.65686514901*Deflactores!$T$5</f>
        <v>5665.5496564560117</v>
      </c>
      <c r="E150" s="42">
        <f>3771.89104399122*Deflactores!$U$5</f>
        <v>5760.9449289683189</v>
      </c>
      <c r="F150" s="42">
        <f>4148.41512375744*Deflactores!$V$5</f>
        <v>5998.8862959774224</v>
      </c>
      <c r="G150" s="42">
        <f>4515.40158356137*Deflactores!$W$5</f>
        <v>5772.2536353499809</v>
      </c>
      <c r="H150" s="42">
        <f>5163.98332446343*Deflactores!$X$5</f>
        <v>6040.7820923064464</v>
      </c>
      <c r="I150" s="42">
        <f>5592.34199938575*Deflactores!$Y$5</f>
        <v>6218.509779088713</v>
      </c>
      <c r="J150" s="42">
        <f>6324.24086103931*Deflactores!$Z$5</f>
        <v>6691.0468309795906</v>
      </c>
      <c r="K150" s="42">
        <f>1757.68796112256*Deflactores!$AA$5</f>
        <v>1757.68796112256</v>
      </c>
    </row>
    <row r="151" spans="3:11" x14ac:dyDescent="0.2">
      <c r="C151" s="88" t="s">
        <v>134</v>
      </c>
      <c r="D151" s="50">
        <f>8507.91077187468*Deflactores!$T$5</f>
        <v>13203.648749054786</v>
      </c>
      <c r="E151" s="50">
        <f>16925.5132998668*Deflactores!$U$5</f>
        <v>25850.945554322447</v>
      </c>
      <c r="F151" s="50">
        <f>18737.0321461757*Deflactores!$V$5</f>
        <v>27095.004240360115</v>
      </c>
      <c r="G151" s="50">
        <f>14118.9291838058*Deflactores!$W$5</f>
        <v>18048.901919415359</v>
      </c>
      <c r="H151" s="50">
        <f>34080.3437016472*Deflactores!$X$5</f>
        <v>39866.885115077435</v>
      </c>
      <c r="I151" s="50">
        <f>22906.2762915399*Deflactores!$Y$5</f>
        <v>25471.064383597146</v>
      </c>
      <c r="J151" s="50">
        <f>17232.5089101619*Deflactores!$Z$5</f>
        <v>18231.994426951293</v>
      </c>
      <c r="K151" s="50">
        <f>4944.66680210355*Deflactores!$AA$5</f>
        <v>4944.6668021035503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3.4089355341100349</v>
      </c>
      <c r="I152" s="42">
        <f>9980.51107063877*Deflactores!$Y$5</f>
        <v>11098.01684158217</v>
      </c>
      <c r="J152" s="42">
        <f>10601.4795202732*Deflactores!$Z$5</f>
        <v>11216.365332449046</v>
      </c>
      <c r="K152" s="42">
        <f>3029.91361751218*Deflactores!$AA$5</f>
        <v>3029.9136175121798</v>
      </c>
    </row>
    <row r="153" spans="3:11" x14ac:dyDescent="0.2">
      <c r="C153" s="88" t="s">
        <v>136</v>
      </c>
      <c r="D153" s="50">
        <f>10243.1559765353*Deflactores!$T$5</f>
        <v>15896.621065074038</v>
      </c>
      <c r="E153" s="50">
        <f>17476.4537684412*Deflactores!$U$5</f>
        <v>26692.416758442545</v>
      </c>
      <c r="F153" s="50">
        <f>21997.3889437599*Deflactores!$V$5</f>
        <v>31809.698678970079</v>
      </c>
      <c r="G153" s="50">
        <f>22513.4279871354*Deflactores!$W$5</f>
        <v>28779.990912887115</v>
      </c>
      <c r="H153" s="50">
        <f>19422.4595347473*Deflactores!$X$5</f>
        <v>22720.221653356919</v>
      </c>
      <c r="I153" s="50">
        <f>9671.93411688228*Deflactores!$Y$5</f>
        <v>10754.888898987296</v>
      </c>
      <c r="J153" s="50">
        <f>8005.92522097939*Deflactores!$Z$5</f>
        <v>8470.268883796196</v>
      </c>
      <c r="K153" s="50">
        <f>2836.02553125985*Deflactores!$AA$5</f>
        <v>2836.0255312598501</v>
      </c>
    </row>
    <row r="154" spans="3:11" x14ac:dyDescent="0.2">
      <c r="C154" s="87" t="s">
        <v>137</v>
      </c>
      <c r="D154" s="42">
        <f>324.17422811267*Deflactores!$T$5</f>
        <v>503.09444424891575</v>
      </c>
      <c r="E154" s="42">
        <f>322.22993534808*Deflactores!$U$5</f>
        <v>492.1533762123251</v>
      </c>
      <c r="F154" s="42">
        <f>391.591012666129*Deflactores!$V$5</f>
        <v>566.26684876778893</v>
      </c>
      <c r="G154" s="42">
        <f>401.060447321779*Deflactores!$W$5</f>
        <v>512.69473649392057</v>
      </c>
      <c r="H154" s="42">
        <f>558.93967610878*Deflactores!$X$5</f>
        <v>653.84269738483624</v>
      </c>
      <c r="I154" s="42">
        <f>808.08945224346*Deflactores!$Y$5</f>
        <v>898.5702522675374</v>
      </c>
      <c r="J154" s="42">
        <f>731.104037108*Deflactores!$Z$5</f>
        <v>773.50807126026405</v>
      </c>
      <c r="K154" s="42">
        <f>167.00382404675*Deflactores!$AA$5</f>
        <v>167.00382404675</v>
      </c>
    </row>
    <row r="155" spans="3:11" x14ac:dyDescent="0.2">
      <c r="C155" s="88" t="s">
        <v>138</v>
      </c>
      <c r="D155" s="50">
        <f>91.27763542242*Deflactores!$T$5</f>
        <v>141.65614439046999</v>
      </c>
      <c r="E155" s="50">
        <f>97.64146220211*Deflactores!$U$5</f>
        <v>149.13131900413578</v>
      </c>
      <c r="F155" s="50">
        <f>110.959760434319*Deflactores!$V$5</f>
        <v>160.45525011765773</v>
      </c>
      <c r="G155" s="50">
        <f>106.51005576041*Deflactores!$W$5</f>
        <v>136.15689439508296</v>
      </c>
      <c r="H155" s="50">
        <f>122.721946485169*Deflactores!$X$5</f>
        <v>143.55904929991777</v>
      </c>
      <c r="I155" s="50">
        <f>137.65301361438*Deflactores!$Y$5</f>
        <v>153.06585530285426</v>
      </c>
      <c r="J155" s="50">
        <f>150.50415071102*Deflactores!$Z$5</f>
        <v>159.23339145225918</v>
      </c>
      <c r="K155" s="50">
        <f>42.8839144747499*Deflactores!$AA$5</f>
        <v>42.883914474749901</v>
      </c>
    </row>
    <row r="156" spans="3:11" x14ac:dyDescent="0.2">
      <c r="C156" s="87" t="s">
        <v>160</v>
      </c>
      <c r="D156" s="42">
        <f>1185.59405363986*Deflactores!$T$5</f>
        <v>1839.9543510703045</v>
      </c>
      <c r="E156" s="42">
        <f>1495.83948052694*Deflactores!$U$5</f>
        <v>2284.6494687645431</v>
      </c>
      <c r="F156" s="42">
        <f>1845.60406744711*Deflactores!$V$5</f>
        <v>2668.8671740210398</v>
      </c>
      <c r="G156" s="42">
        <f>2141.12075066603*Deflactores!$W$5</f>
        <v>2737.0969797568828</v>
      </c>
      <c r="H156" s="42">
        <f>2341.06202249934*Deflactores!$X$5</f>
        <v>2738.5536811279594</v>
      </c>
      <c r="I156" s="42">
        <f>2892.46377639536*Deflactores!$Y$5</f>
        <v>3216.3294521597654</v>
      </c>
      <c r="J156" s="42">
        <f>3527.72539111888*Deflactores!$Z$5</f>
        <v>3732.3334638037754</v>
      </c>
      <c r="K156" s="42">
        <f>941.195079317179*Deflactores!$AA$5</f>
        <v>941.19507931717897</v>
      </c>
    </row>
    <row r="157" spans="3:11" x14ac:dyDescent="0.2">
      <c r="C157" s="88" t="s">
        <v>161</v>
      </c>
      <c r="D157" s="50">
        <f>2115.23165849542*Deflactores!$T$5</f>
        <v>3282.6832098404993</v>
      </c>
      <c r="E157" s="50">
        <f>2365.53731126699*Deflactores!$U$5</f>
        <v>3612.9702631093919</v>
      </c>
      <c r="F157" s="50">
        <f>2358.04986899707*Deflactores!$V$5</f>
        <v>3409.8981472098658</v>
      </c>
      <c r="G157" s="50">
        <f>2698.95827168608*Deflactores!$W$5</f>
        <v>3450.2073419371068</v>
      </c>
      <c r="H157" s="50">
        <f>3215.44122217844*Deflactores!$X$5</f>
        <v>3761.3947476907711</v>
      </c>
      <c r="I157" s="50">
        <f>3823.99131869355*Deflactores!$Y$5</f>
        <v>4252.1590083471428</v>
      </c>
      <c r="J157" s="50">
        <f>4219.47032730132*Deflactores!$Z$5</f>
        <v>4464.1996062847966</v>
      </c>
      <c r="K157" s="50">
        <f>1158.95567502562*Deflactores!$AA$5</f>
        <v>1158.9556750256199</v>
      </c>
    </row>
    <row r="158" spans="3:11" x14ac:dyDescent="0.2">
      <c r="C158" s="87" t="s">
        <v>140</v>
      </c>
      <c r="D158" s="42">
        <f>3367.6238464337*Deflactores!$T$5</f>
        <v>5226.3033286906157</v>
      </c>
      <c r="E158" s="42">
        <f>3856.06086932299*Deflactores!$U$5</f>
        <v>5889.5005321821682</v>
      </c>
      <c r="F158" s="42">
        <f>5536.13961854051*Deflactores!$V$5</f>
        <v>8005.6289208105272</v>
      </c>
      <c r="G158" s="42">
        <f>4836.43967082153*Deflactores!$W$5</f>
        <v>6182.6519647078057</v>
      </c>
      <c r="H158" s="42">
        <f>7930.26736926501*Deflactores!$X$5</f>
        <v>9276.7567401925808</v>
      </c>
      <c r="I158" s="42">
        <f>8874.16605969585*Deflactores!$Y$5</f>
        <v>9867.795715915996</v>
      </c>
      <c r="J158" s="42">
        <f>8403.41574545939*Deflactores!$Z$5</f>
        <v>8890.813858696034</v>
      </c>
      <c r="K158" s="42">
        <f>4335.18633497232*Deflactores!$AA$5</f>
        <v>4335.1863349723199</v>
      </c>
    </row>
    <row r="159" spans="3:11" x14ac:dyDescent="0.2">
      <c r="C159" s="88" t="s">
        <v>141</v>
      </c>
      <c r="D159" s="50">
        <f>1691.23769659666*Deflactores!$T$5</f>
        <v>2624.6759158361929</v>
      </c>
      <c r="E159" s="50">
        <f>1924.58275821286*Deflactores!$U$5</f>
        <v>2939.4845057809798</v>
      </c>
      <c r="F159" s="50">
        <f>2345.81136387222*Deflactores!$V$5</f>
        <v>3392.200448574004</v>
      </c>
      <c r="G159" s="50">
        <f>2706.71033886246*Deflactores!$W$5</f>
        <v>3460.1171798800356</v>
      </c>
      <c r="H159" s="50">
        <f>3281.31384939018*Deflactores!$X$5</f>
        <v>3838.451965313604</v>
      </c>
      <c r="I159" s="50">
        <f>3740.82190753252*Deflactores!$Y$5</f>
        <v>4159.6772186635499</v>
      </c>
      <c r="J159" s="50">
        <f>3861.998375995*Deflactores!$Z$5</f>
        <v>4085.9942818027102</v>
      </c>
      <c r="K159" s="50">
        <f>1115.47076402754*Deflactores!$AA$5</f>
        <v>1115.4707640275401</v>
      </c>
    </row>
    <row r="160" spans="3:11" x14ac:dyDescent="0.2">
      <c r="C160" s="87" t="s">
        <v>142</v>
      </c>
      <c r="D160" s="42">
        <f>352.7198803017*Deflactores!$T$5</f>
        <v>547.39518680754861</v>
      </c>
      <c r="E160" s="42">
        <f>503.263805069699*Deflactores!$U$5</f>
        <v>768.65292022903179</v>
      </c>
      <c r="F160" s="42">
        <f>889.783972745809*Deflactores!$V$5</f>
        <v>1286.6872579643216</v>
      </c>
      <c r="G160" s="42">
        <f>853.69938132063*Deflactores!$W$5</f>
        <v>1091.324717443498</v>
      </c>
      <c r="H160" s="42">
        <f>878.79195915721*Deflactores!$X$5</f>
        <v>1028.0030736333501</v>
      </c>
      <c r="I160" s="42">
        <f>871.38899239761*Deflactores!$Y$5</f>
        <v>968.95736548479704</v>
      </c>
      <c r="J160" s="42">
        <f>707.328206750059*Deflactores!$Z$5</f>
        <v>748.35324274156255</v>
      </c>
      <c r="K160" s="42">
        <f>256.23192691692*Deflactores!$AA$5</f>
        <v>256.23192691691997</v>
      </c>
    </row>
    <row r="161" spans="1:11" x14ac:dyDescent="0.2">
      <c r="C161" s="88" t="s">
        <v>143</v>
      </c>
      <c r="D161" s="50">
        <f>690.001394184459*Deflactores!$T$5</f>
        <v>1070.8311698903988</v>
      </c>
      <c r="E161" s="50">
        <f>1838.44539395216*Deflactores!$U$5</f>
        <v>2807.9238095559667</v>
      </c>
      <c r="F161" s="50">
        <f>3971.14742043244*Deflactores!$V$5</f>
        <v>5742.5453164776309</v>
      </c>
      <c r="G161" s="50">
        <f>1207.73860542414*Deflactores!$W$5</f>
        <v>1543.9099771528124</v>
      </c>
      <c r="H161" s="50">
        <f>889.23332688964*Deflactores!$X$5</f>
        <v>1040.2172934040548</v>
      </c>
      <c r="I161" s="50">
        <f>813.44649034777*Deflactores!$Y$5</f>
        <v>904.52711145859939</v>
      </c>
      <c r="J161" s="50">
        <f>1668.50277964458*Deflactores!$Z$5</f>
        <v>1765.2759408639656</v>
      </c>
      <c r="K161" s="50">
        <f>243.99589727121*Deflactores!$AA$5</f>
        <v>243.99589727121</v>
      </c>
    </row>
    <row r="162" spans="1:11" x14ac:dyDescent="0.2">
      <c r="C162" s="87" t="s">
        <v>144</v>
      </c>
      <c r="D162" s="42">
        <f>4305.35715077878*Deflactores!$T$5</f>
        <v>6681.5961147637263</v>
      </c>
      <c r="E162" s="42">
        <f>4447.39013902944*Deflactores!$U$5</f>
        <v>6792.6590057263065</v>
      </c>
      <c r="F162" s="42">
        <f>4816.97245128618*Deflactores!$V$5</f>
        <v>6965.6649983351654</v>
      </c>
      <c r="G162" s="42">
        <f>5382.79974625189*Deflactores!$W$5</f>
        <v>6881.0901596834974</v>
      </c>
      <c r="H162" s="42">
        <f>6583.43763757045*Deflactores!$X$5</f>
        <v>7701.247213261302</v>
      </c>
      <c r="I162" s="42">
        <f>7941.61259140778*Deflactores!$Y$5</f>
        <v>8830.8253620446812</v>
      </c>
      <c r="J162" s="42">
        <f>9210.90295734786*Deflactores!$Z$5</f>
        <v>9745.1353288740356</v>
      </c>
      <c r="K162" s="42">
        <f>2406.55173138531*Deflactores!$AA$5</f>
        <v>2406.5517313853102</v>
      </c>
    </row>
    <row r="163" spans="1:11" x14ac:dyDescent="0.2">
      <c r="C163" s="88" t="s">
        <v>145</v>
      </c>
      <c r="D163" s="50">
        <f>1430.2522375826*Deflactores!$T$5</f>
        <v>2219.6457713236196</v>
      </c>
      <c r="E163" s="50">
        <f>643.09706764181*Deflactores!$U$5</f>
        <v>982.22529427711243</v>
      </c>
      <c r="F163" s="50">
        <f>1225.11235561729*Deflactores!$V$5</f>
        <v>1771.5945733243109</v>
      </c>
      <c r="G163" s="50">
        <f>3074.87142268297*Deflactores!$W$5</f>
        <v>3930.7550877493977</v>
      </c>
      <c r="H163" s="50">
        <f>2676.28921203324*Deflactores!$X$5</f>
        <v>3130.6994872147779</v>
      </c>
      <c r="I163" s="50">
        <f>945.627253734899*Deflactores!$Y$5</f>
        <v>1051.5079952851886</v>
      </c>
      <c r="J163" s="50">
        <f>2307.74267853791*Deflactores!$Z$5</f>
        <v>2441.5917538931085</v>
      </c>
      <c r="K163" s="50">
        <f>677.54558568264*Deflactores!$AA$5</f>
        <v>677.54558568263997</v>
      </c>
    </row>
    <row r="164" spans="1:11" x14ac:dyDescent="0.2">
      <c r="C164" s="87" t="s">
        <v>146</v>
      </c>
      <c r="D164" s="42">
        <f>907.201327894527*Deflactores!$T$5</f>
        <v>1407.9094150579617</v>
      </c>
      <c r="E164" s="42">
        <f>854.69532534829*Deflactores!$U$5</f>
        <v>1305.4069279710668</v>
      </c>
      <c r="F164" s="42">
        <f>1067.66150361108*Deflactores!$V$5</f>
        <v>1543.9100889580232</v>
      </c>
      <c r="G164" s="42">
        <f>1310.55870220713*Deflactores!$W$5</f>
        <v>1675.3498206438858</v>
      </c>
      <c r="H164" s="42">
        <f>1386.21631950161*Deflactores!$X$5</f>
        <v>1621.5836095439697</v>
      </c>
      <c r="I164" s="42">
        <f>1500.77748276995*Deflactores!$Y$5</f>
        <v>1668.8177250007509</v>
      </c>
      <c r="J164" s="42">
        <f>1733.94119160537*Deflactores!$Z$5</f>
        <v>1834.5097807184816</v>
      </c>
      <c r="K164" s="42">
        <f>549.4506503342*Deflactores!$AA$5</f>
        <v>549.45065033419996</v>
      </c>
    </row>
    <row r="165" spans="1:11" x14ac:dyDescent="0.2">
      <c r="C165" s="88" t="s">
        <v>162</v>
      </c>
      <c r="D165" s="50">
        <f>29389.6999537183*Deflactores!$T$5</f>
        <v>45610.642310897529</v>
      </c>
      <c r="E165" s="50">
        <f>34417.5298233155*Deflactores!$U$5</f>
        <v>52567.131868538359</v>
      </c>
      <c r="F165" s="50">
        <f>43377.4448502122*Deflactores!$V$5</f>
        <v>62726.692412297118</v>
      </c>
      <c r="G165" s="50">
        <f>42232.6069075453*Deflactores!$W$5</f>
        <v>53987.959706590249</v>
      </c>
      <c r="H165" s="50">
        <f>50059.0057808983*Deflactores!$X$5</f>
        <v>58558.58291551243</v>
      </c>
      <c r="I165" s="50">
        <f>57818.1087837775*Deflactores!$Y$5</f>
        <v>64291.932596366023</v>
      </c>
      <c r="J165" s="50">
        <f>64340.272727441*Deflactores!$Z$5</f>
        <v>68072.008545632576</v>
      </c>
      <c r="K165" s="50">
        <f>23224.9128338138*Deflactores!$AA$5</f>
        <v>23224.9128338138</v>
      </c>
    </row>
    <row r="166" spans="1:11" x14ac:dyDescent="0.2">
      <c r="C166" s="87" t="s">
        <v>148</v>
      </c>
      <c r="D166" s="42">
        <f>354.31167624808*Deflactores!$T$5</f>
        <v>549.86553647619462</v>
      </c>
      <c r="E166" s="42">
        <f>454.57663114662*Deflactores!$U$5</f>
        <v>694.29124741115356</v>
      </c>
      <c r="F166" s="42">
        <f>538.07943145689*Deflactores!$V$5</f>
        <v>778.09892000162233</v>
      </c>
      <c r="G166" s="42">
        <f>579.25962507881*Deflactores!$W$5</f>
        <v>740.49526156108811</v>
      </c>
      <c r="H166" s="42">
        <f>652.34916360862*Deflactores!$X$5</f>
        <v>763.11229100793082</v>
      </c>
      <c r="I166" s="42">
        <f>770.89363698376*Deflactores!$Y$5</f>
        <v>857.20966649523893</v>
      </c>
      <c r="J166" s="42">
        <f>849.50019022322*Deflactores!$Z$5</f>
        <v>898.77120125616682</v>
      </c>
      <c r="K166" s="42">
        <f>255.56580160589*Deflactores!$AA$5</f>
        <v>255.56580160588999</v>
      </c>
    </row>
    <row r="167" spans="1:11" x14ac:dyDescent="0.2">
      <c r="C167" s="88" t="s">
        <v>149</v>
      </c>
      <c r="D167" s="50">
        <f>1476.24704821459*Deflactores!$T$5</f>
        <v>2291.0263182225935</v>
      </c>
      <c r="E167" s="50">
        <f>1500.1906789324*Deflactores!$U$5</f>
        <v>2291.2952106739767</v>
      </c>
      <c r="F167" s="50">
        <f>1962.49209059938*Deflactores!$V$5</f>
        <v>2837.8950893413685</v>
      </c>
      <c r="G167" s="50">
        <f>2017.00784292036*Deflactores!$W$5</f>
        <v>2578.4375184285827</v>
      </c>
      <c r="H167" s="50">
        <f>2305.43851483983*Deflactores!$X$5</f>
        <v>2696.8816164419122</v>
      </c>
      <c r="I167" s="50">
        <f>2884.88172513722*Deflactores!$Y$5</f>
        <v>3207.8984477792264</v>
      </c>
      <c r="J167" s="50">
        <f>1947.63035114213*Deflactores!$Z$5</f>
        <v>2060.5929115083736</v>
      </c>
      <c r="K167" s="50">
        <f>556.982058218469*Deflactores!$AA$5</f>
        <v>556.98205821846898</v>
      </c>
    </row>
    <row r="168" spans="1:11" x14ac:dyDescent="0.2">
      <c r="C168" s="87" t="s">
        <v>163</v>
      </c>
      <c r="D168" s="42">
        <f>22979.7927857002*Deflactores!$T$5</f>
        <v>35662.940104106434</v>
      </c>
      <c r="E168" s="42">
        <f>28051.2846700836*Deflactores!$U$5</f>
        <v>42843.736546580112</v>
      </c>
      <c r="F168" s="42">
        <f>25972.6849662171*Deflactores!$V$5</f>
        <v>37558.243152015064</v>
      </c>
      <c r="G168" s="42">
        <f>22434.5532362104*Deflactores!$W$5</f>
        <v>28679.161549354609</v>
      </c>
      <c r="H168" s="42">
        <f>26874.7833213012*Deflactores!$X$5</f>
        <v>31437.884210983753</v>
      </c>
      <c r="I168" s="42">
        <f>32402.2394887731*Deflactores!$Y$5</f>
        <v>36030.279111585376</v>
      </c>
      <c r="J168" s="42">
        <f>44171.8064314183*Deflactores!$Z$5</f>
        <v>46733.771204440563</v>
      </c>
      <c r="K168" s="42">
        <f>9230.67082785907*Deflactores!$AA$5</f>
        <v>9230.6708278590704</v>
      </c>
    </row>
    <row r="169" spans="1:11" x14ac:dyDescent="0.2">
      <c r="C169" s="88" t="s">
        <v>150</v>
      </c>
      <c r="D169" s="50">
        <f>5937.65318624443*Deflactores!$T$5</f>
        <v>9214.7989285508957</v>
      </c>
      <c r="E169" s="50">
        <f>6327.11714207221*Deflactores!$U$5</f>
        <v>9663.6337024305267</v>
      </c>
      <c r="F169" s="50">
        <f>9071.34825347627*Deflactores!$V$5</f>
        <v>13117.777536817064</v>
      </c>
      <c r="G169" s="50">
        <f>9132.77668489598*Deflactores!$W$5</f>
        <v>11674.864891784853</v>
      </c>
      <c r="H169" s="50">
        <f>10046.9767894067*Deflactores!$X$5</f>
        <v>11752.864728232395</v>
      </c>
      <c r="I169" s="50">
        <f>6085.28874022155*Deflactores!$Y$5</f>
        <v>6766.651171155585</v>
      </c>
      <c r="J169" s="50">
        <f>5937.1697296294*Deflactores!$Z$5</f>
        <v>6281.5255739479053</v>
      </c>
      <c r="K169" s="50">
        <f>2093.07274346539*Deflactores!$AA$5</f>
        <v>2093.07274346539</v>
      </c>
    </row>
    <row r="170" spans="1:11" x14ac:dyDescent="0.2">
      <c r="C170" s="87" t="s">
        <v>151</v>
      </c>
      <c r="D170" s="42">
        <f>2870.22447396841*Deflactores!$T$5</f>
        <v>4454.3762624427354</v>
      </c>
      <c r="E170" s="42">
        <f>3325.26543245578*Deflactores!$U$5</f>
        <v>5078.7975599393685</v>
      </c>
      <c r="F170" s="42">
        <f>4634.47821648233*Deflactores!$V$5</f>
        <v>6701.7661040345101</v>
      </c>
      <c r="G170" s="42">
        <f>4681.19939014683*Deflactores!$W$5</f>
        <v>5984.2008949868869</v>
      </c>
      <c r="H170" s="42">
        <f>4982.25223349219*Deflactores!$X$5</f>
        <v>5828.1946668680703</v>
      </c>
      <c r="I170" s="42">
        <f>5369.42881557816*Deflactores!$Y$5</f>
        <v>5970.6372753062988</v>
      </c>
      <c r="J170" s="42">
        <f>5806.97264535231*Deflactores!$Z$5</f>
        <v>6143.7770587827445</v>
      </c>
      <c r="K170" s="42">
        <f>1557.99817881938*Deflactores!$AA$5</f>
        <v>1557.99817881938</v>
      </c>
    </row>
    <row r="171" spans="1:11" x14ac:dyDescent="0.2">
      <c r="C171" s="79" t="s">
        <v>152</v>
      </c>
      <c r="D171" s="44">
        <f t="shared" ref="D171:K171" si="8">SUM(D140:D170)</f>
        <v>279374.82529958693</v>
      </c>
      <c r="E171" s="44">
        <f t="shared" si="8"/>
        <v>326938.90321733744</v>
      </c>
      <c r="F171" s="44">
        <f t="shared" si="8"/>
        <v>355299.95506781852</v>
      </c>
      <c r="G171" s="44">
        <f t="shared" si="8"/>
        <v>310632.73996565491</v>
      </c>
      <c r="H171" s="44">
        <f t="shared" si="8"/>
        <v>345745.90125312516</v>
      </c>
      <c r="I171" s="44">
        <f t="shared" si="8"/>
        <v>346880.67684323172</v>
      </c>
      <c r="J171" s="44">
        <f t="shared" si="8"/>
        <v>363921.60975844465</v>
      </c>
      <c r="K171" s="44">
        <f t="shared" si="8"/>
        <v>107678.86497678779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abril</v>
      </c>
      <c r="D172" s="123">
        <f>+D171-'C5 Ejecución PGN 2019-2026'!D98</f>
        <v>7.5669959187507629E-10</v>
      </c>
      <c r="E172" s="123">
        <f>+E171-'C5 Ejecución PGN 2019-2026'!E98</f>
        <v>9.3132257461547852E-10</v>
      </c>
      <c r="F172" s="123">
        <f>+F171-'C5 Ejecución PGN 2019-2026'!F98</f>
        <v>0</v>
      </c>
      <c r="G172" s="123">
        <f>+G171-'C5 Ejecución PGN 2019-2026'!G98</f>
        <v>0</v>
      </c>
      <c r="H172" s="123">
        <f>+H171-'C5 Ejecución PGN 2019-2026'!H98</f>
        <v>4.6566128730773926E-10</v>
      </c>
      <c r="I172" s="123">
        <f>+I171-'C5 Ejecución PGN 2019-2026'!I98</f>
        <v>5.8207660913467407E-10</v>
      </c>
      <c r="J172" s="123">
        <f>+J171-'C5 Ejecución PGN 2019-2026'!J98</f>
        <v>0</v>
      </c>
      <c r="K172" s="123">
        <f>+K171-'C5 Ejecución PGN 2019-2026'!K98</f>
        <v>0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C177" s="155" t="s">
        <v>157</v>
      </c>
      <c r="D177" s="156"/>
      <c r="E177" s="178"/>
      <c r="F177" s="178"/>
      <c r="G177" s="178"/>
      <c r="H177" s="178"/>
      <c r="I177" s="178"/>
      <c r="J177" s="178"/>
      <c r="K177" s="178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76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10</v>
      </c>
    </row>
    <row r="181" spans="3:11" ht="12" customHeight="1" thickBot="1" x14ac:dyDescent="0.25">
      <c r="C181" s="160"/>
      <c r="D181" s="154"/>
      <c r="E181" s="154"/>
      <c r="F181" s="154"/>
      <c r="G181" s="154"/>
      <c r="H181" s="154"/>
      <c r="I181" s="154"/>
      <c r="J181" s="154"/>
      <c r="K181" s="154"/>
    </row>
    <row r="182" spans="3:11" x14ac:dyDescent="0.2">
      <c r="C182" s="87" t="s">
        <v>123</v>
      </c>
      <c r="D182" s="47">
        <f t="shared" ref="D182:D212" si="9">+IFERROR(IF(D140&gt;0,+((D140/D15)*100),""),"0")</f>
        <v>63.074900823480242</v>
      </c>
      <c r="E182" s="47">
        <f t="shared" ref="E182:K191" si="10">+IFERROR(IF(E140&gt;0,+((E140/E15)*100)," "),"0")</f>
        <v>77.888611657324233</v>
      </c>
      <c r="F182" s="47">
        <f t="shared" si="10"/>
        <v>79.826742414932596</v>
      </c>
      <c r="G182" s="47">
        <f t="shared" si="10"/>
        <v>74.457011818161504</v>
      </c>
      <c r="H182" s="47">
        <f t="shared" si="10"/>
        <v>74.257650704177848</v>
      </c>
      <c r="I182" s="47">
        <f t="shared" si="10"/>
        <v>38.583426205498114</v>
      </c>
      <c r="J182" s="47">
        <f t="shared" si="10"/>
        <v>59.478613433267846</v>
      </c>
      <c r="K182" s="47">
        <f t="shared" si="10"/>
        <v>13.406026238265323</v>
      </c>
    </row>
    <row r="183" spans="3:11" x14ac:dyDescent="0.2">
      <c r="C183" s="88" t="s">
        <v>124</v>
      </c>
      <c r="D183" s="116">
        <f t="shared" si="9"/>
        <v>88.968744173605046</v>
      </c>
      <c r="E183" s="116">
        <f t="shared" si="10"/>
        <v>81.580094189397983</v>
      </c>
      <c r="F183" s="116">
        <f t="shared" si="10"/>
        <v>67.677578948815892</v>
      </c>
      <c r="G183" s="116">
        <f t="shared" si="10"/>
        <v>63.43307461372779</v>
      </c>
      <c r="H183" s="116">
        <f t="shared" si="10"/>
        <v>49.688383091517899</v>
      </c>
      <c r="I183" s="116">
        <f t="shared" si="10"/>
        <v>54.715919376239121</v>
      </c>
      <c r="J183" s="116">
        <f t="shared" si="10"/>
        <v>80.720720846590623</v>
      </c>
      <c r="K183" s="116">
        <f t="shared" si="10"/>
        <v>21.992091942074456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87.440040952321439</v>
      </c>
      <c r="G184" s="47">
        <f t="shared" si="10"/>
        <v>87.732875024285335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95.437039070091885</v>
      </c>
      <c r="K184" s="47">
        <f t="shared" si="10"/>
        <v>5.1645873648460165</v>
      </c>
    </row>
    <row r="185" spans="3:11" x14ac:dyDescent="0.2">
      <c r="C185" s="88" t="s">
        <v>126</v>
      </c>
      <c r="D185" s="116">
        <f t="shared" si="9"/>
        <v>86.084310417512441</v>
      </c>
      <c r="E185" s="116">
        <f t="shared" si="10"/>
        <v>83.499812036445888</v>
      </c>
      <c r="F185" s="116">
        <f t="shared" si="10"/>
        <v>74.694331624378236</v>
      </c>
      <c r="G185" s="116">
        <f t="shared" si="10"/>
        <v>81.557720817441975</v>
      </c>
      <c r="H185" s="116">
        <f t="shared" si="10"/>
        <v>74.705665679797704</v>
      </c>
      <c r="I185" s="116">
        <f t="shared" si="10"/>
        <v>70.841080931842583</v>
      </c>
      <c r="J185" s="116">
        <f t="shared" si="10"/>
        <v>85.844800455247722</v>
      </c>
      <c r="K185" s="116">
        <f t="shared" si="10"/>
        <v>21.632088228242779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93.114412859765821</v>
      </c>
      <c r="G186" s="47">
        <f t="shared" si="10"/>
        <v>88.548924937598883</v>
      </c>
      <c r="H186" s="47">
        <f t="shared" si="10"/>
        <v>87.004961386459527</v>
      </c>
      <c r="I186" s="47">
        <f t="shared" si="10"/>
        <v>80.592618923574392</v>
      </c>
      <c r="J186" s="47">
        <f t="shared" si="10"/>
        <v>79.220679139862796</v>
      </c>
      <c r="K186" s="47">
        <f t="shared" si="10"/>
        <v>31.856119354212876</v>
      </c>
    </row>
    <row r="187" spans="3:11" x14ac:dyDescent="0.2">
      <c r="C187" s="88" t="s">
        <v>128</v>
      </c>
      <c r="D187" s="116">
        <f t="shared" si="9"/>
        <v>94.939391304353023</v>
      </c>
      <c r="E187" s="116">
        <f t="shared" si="10"/>
        <v>95.176298951924238</v>
      </c>
      <c r="F187" s="116">
        <f t="shared" si="10"/>
        <v>82.51204006828695</v>
      </c>
      <c r="G187" s="116">
        <f t="shared" si="10"/>
        <v>78.654787326777637</v>
      </c>
      <c r="H187" s="116">
        <f t="shared" si="10"/>
        <v>75.31668088053577</v>
      </c>
      <c r="I187" s="116">
        <f t="shared" si="10"/>
        <v>64.541831575695824</v>
      </c>
      <c r="J187" s="116">
        <f t="shared" si="10"/>
        <v>66.375367767161251</v>
      </c>
      <c r="K187" s="116">
        <f t="shared" si="10"/>
        <v>20.295895362302367</v>
      </c>
    </row>
    <row r="188" spans="3:11" x14ac:dyDescent="0.2">
      <c r="C188" s="87" t="s">
        <v>129</v>
      </c>
      <c r="D188" s="47">
        <f t="shared" si="9"/>
        <v>96.155426357005396</v>
      </c>
      <c r="E188" s="47">
        <f t="shared" si="10"/>
        <v>96.792882387255986</v>
      </c>
      <c r="F188" s="47">
        <f t="shared" si="10"/>
        <v>94.07976753405255</v>
      </c>
      <c r="G188" s="47">
        <f t="shared" si="10"/>
        <v>94.750388257243415</v>
      </c>
      <c r="H188" s="47">
        <f t="shared" si="10"/>
        <v>94.307774881970403</v>
      </c>
      <c r="I188" s="47">
        <f t="shared" si="10"/>
        <v>89.741547308862408</v>
      </c>
      <c r="J188" s="47">
        <f t="shared" si="10"/>
        <v>92.346856174415649</v>
      </c>
      <c r="K188" s="47">
        <f t="shared" si="10"/>
        <v>26.31487380845849</v>
      </c>
    </row>
    <row r="189" spans="3:11" x14ac:dyDescent="0.2">
      <c r="C189" s="88" t="s">
        <v>130</v>
      </c>
      <c r="D189" s="116">
        <f t="shared" si="9"/>
        <v>53.139444061786087</v>
      </c>
      <c r="E189" s="116">
        <f t="shared" si="10"/>
        <v>52.325273124209716</v>
      </c>
      <c r="F189" s="116">
        <f t="shared" si="10"/>
        <v>87.480335581708673</v>
      </c>
      <c r="G189" s="116">
        <f t="shared" si="10"/>
        <v>61.924132354312157</v>
      </c>
      <c r="H189" s="116">
        <f t="shared" si="10"/>
        <v>59.063859819749595</v>
      </c>
      <c r="I189" s="116">
        <f t="shared" si="10"/>
        <v>36.023849351679452</v>
      </c>
      <c r="J189" s="116">
        <f t="shared" si="10"/>
        <v>67.519775372495346</v>
      </c>
      <c r="K189" s="116">
        <f t="shared" si="10"/>
        <v>27.998861010803637</v>
      </c>
    </row>
    <row r="190" spans="3:11" x14ac:dyDescent="0.2">
      <c r="C190" s="87" t="s">
        <v>131</v>
      </c>
      <c r="D190" s="47">
        <f t="shared" si="9"/>
        <v>99.616401802533048</v>
      </c>
      <c r="E190" s="47">
        <f t="shared" si="10"/>
        <v>99.883061863050443</v>
      </c>
      <c r="F190" s="47">
        <f t="shared" si="10"/>
        <v>99.865940135305706</v>
      </c>
      <c r="G190" s="47">
        <f t="shared" si="10"/>
        <v>99.766372651349116</v>
      </c>
      <c r="H190" s="47">
        <f t="shared" si="10"/>
        <v>98.025717885887062</v>
      </c>
      <c r="I190" s="47">
        <f t="shared" si="10"/>
        <v>96.383403166978439</v>
      </c>
      <c r="J190" s="47">
        <f t="shared" si="10"/>
        <v>97.281607503939995</v>
      </c>
      <c r="K190" s="47">
        <f t="shared" si="10"/>
        <v>30.304854949604909</v>
      </c>
    </row>
    <row r="191" spans="3:11" x14ac:dyDescent="0.2">
      <c r="C191" s="88" t="s">
        <v>132</v>
      </c>
      <c r="D191" s="116">
        <f t="shared" si="9"/>
        <v>85.497673444927997</v>
      </c>
      <c r="E191" s="116">
        <f t="shared" si="10"/>
        <v>70.235855362137244</v>
      </c>
      <c r="F191" s="116">
        <f t="shared" si="10"/>
        <v>59.15987062530624</v>
      </c>
      <c r="G191" s="116">
        <f t="shared" si="10"/>
        <v>67.726015774068102</v>
      </c>
      <c r="H191" s="116">
        <f t="shared" si="10"/>
        <v>71.09855533514984</v>
      </c>
      <c r="I191" s="116">
        <f t="shared" si="10"/>
        <v>84.848035118023333</v>
      </c>
      <c r="J191" s="116">
        <f t="shared" si="10"/>
        <v>84.165387658568619</v>
      </c>
      <c r="K191" s="116">
        <f t="shared" si="10"/>
        <v>16.086112621495491</v>
      </c>
    </row>
    <row r="192" spans="3:11" x14ac:dyDescent="0.2">
      <c r="C192" s="87" t="s">
        <v>133</v>
      </c>
      <c r="D192" s="47">
        <f t="shared" si="9"/>
        <v>94.344755665934642</v>
      </c>
      <c r="E192" s="47">
        <f t="shared" ref="E192:K201" si="11">+IFERROR(IF(E150&gt;0,+((E150/E25)*100)," "),"0")</f>
        <v>94.274723620121165</v>
      </c>
      <c r="F192" s="47">
        <f t="shared" si="11"/>
        <v>92.084705920526758</v>
      </c>
      <c r="G192" s="47">
        <f t="shared" si="11"/>
        <v>94.572247205511246</v>
      </c>
      <c r="H192" s="47">
        <f t="shared" si="11"/>
        <v>94.451460673571475</v>
      </c>
      <c r="I192" s="47">
        <f t="shared" si="11"/>
        <v>92.827036825327767</v>
      </c>
      <c r="J192" s="47">
        <f t="shared" si="11"/>
        <v>92.247723119869818</v>
      </c>
      <c r="K192" s="47">
        <f t="shared" si="11"/>
        <v>24.411666945372723</v>
      </c>
    </row>
    <row r="193" spans="3:11" x14ac:dyDescent="0.2">
      <c r="C193" s="88" t="s">
        <v>134</v>
      </c>
      <c r="D193" s="116">
        <f t="shared" si="9"/>
        <v>80.784387424856249</v>
      </c>
      <c r="E193" s="116">
        <f t="shared" si="11"/>
        <v>41.385387463410574</v>
      </c>
      <c r="F193" s="116">
        <f t="shared" si="11"/>
        <v>77.540231723597756</v>
      </c>
      <c r="G193" s="116">
        <f t="shared" si="11"/>
        <v>77.309561944065948</v>
      </c>
      <c r="H193" s="116">
        <f t="shared" si="11"/>
        <v>81.772506082461661</v>
      </c>
      <c r="I193" s="116">
        <f t="shared" si="11"/>
        <v>69.764261359377883</v>
      </c>
      <c r="J193" s="116">
        <f t="shared" si="11"/>
        <v>69.109841817714084</v>
      </c>
      <c r="K193" s="116">
        <f t="shared" si="11"/>
        <v>14.703923554652285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80.384817445232088</v>
      </c>
      <c r="J194" s="47">
        <f t="shared" si="11"/>
        <v>94.251786992644227</v>
      </c>
      <c r="K194" s="47">
        <f t="shared" si="11"/>
        <v>26.765712715172146</v>
      </c>
    </row>
    <row r="195" spans="3:11" x14ac:dyDescent="0.2">
      <c r="C195" s="88" t="s">
        <v>136</v>
      </c>
      <c r="D195" s="116">
        <f t="shared" si="9"/>
        <v>89.177463244620611</v>
      </c>
      <c r="E195" s="116">
        <f t="shared" si="11"/>
        <v>96.623287745197501</v>
      </c>
      <c r="F195" s="116">
        <f t="shared" si="11"/>
        <v>91.963994110150082</v>
      </c>
      <c r="G195" s="116">
        <f t="shared" si="11"/>
        <v>96.199100334445617</v>
      </c>
      <c r="H195" s="116">
        <f t="shared" si="11"/>
        <v>88.653817462254892</v>
      </c>
      <c r="I195" s="116">
        <f t="shared" si="11"/>
        <v>72.067987137283723</v>
      </c>
      <c r="J195" s="116">
        <f t="shared" si="11"/>
        <v>73.128260294504585</v>
      </c>
      <c r="K195" s="116">
        <f t="shared" si="11"/>
        <v>21.448622270886773</v>
      </c>
    </row>
    <row r="196" spans="3:11" x14ac:dyDescent="0.2">
      <c r="C196" s="87" t="s">
        <v>137</v>
      </c>
      <c r="D196" s="47">
        <f t="shared" si="9"/>
        <v>84.27305689774866</v>
      </c>
      <c r="E196" s="47">
        <f t="shared" si="11"/>
        <v>84.847284273096278</v>
      </c>
      <c r="F196" s="47">
        <f t="shared" si="11"/>
        <v>64.037424708017383</v>
      </c>
      <c r="G196" s="47">
        <f t="shared" si="11"/>
        <v>58.716340741802064</v>
      </c>
      <c r="H196" s="47">
        <f t="shared" si="11"/>
        <v>54.427651722273552</v>
      </c>
      <c r="I196" s="47">
        <f t="shared" si="11"/>
        <v>62.43696927857566</v>
      </c>
      <c r="J196" s="47">
        <f t="shared" si="11"/>
        <v>71.0741700008913</v>
      </c>
      <c r="K196" s="47">
        <f t="shared" si="11"/>
        <v>20.08375139473867</v>
      </c>
    </row>
    <row r="197" spans="3:11" x14ac:dyDescent="0.2">
      <c r="C197" s="88" t="s">
        <v>138</v>
      </c>
      <c r="D197" s="116">
        <f t="shared" si="9"/>
        <v>93.49554615047974</v>
      </c>
      <c r="E197" s="116">
        <f t="shared" si="11"/>
        <v>97.939832663448925</v>
      </c>
      <c r="F197" s="116">
        <f t="shared" si="11"/>
        <v>94.697338290005291</v>
      </c>
      <c r="G197" s="116">
        <f t="shared" si="11"/>
        <v>95.264977782914755</v>
      </c>
      <c r="H197" s="116">
        <f t="shared" si="11"/>
        <v>85.345665664192509</v>
      </c>
      <c r="I197" s="116">
        <f t="shared" si="11"/>
        <v>81.65190121162361</v>
      </c>
      <c r="J197" s="116">
        <f t="shared" si="11"/>
        <v>85.586638961647012</v>
      </c>
      <c r="K197" s="116">
        <f t="shared" si="11"/>
        <v>24.138419489967543</v>
      </c>
    </row>
    <row r="198" spans="3:11" x14ac:dyDescent="0.2">
      <c r="C198" s="87" t="s">
        <v>160</v>
      </c>
      <c r="D198" s="47">
        <f t="shared" si="9"/>
        <v>85.185660352153619</v>
      </c>
      <c r="E198" s="47">
        <f t="shared" si="11"/>
        <v>83.465839978842737</v>
      </c>
      <c r="F198" s="47">
        <f t="shared" si="11"/>
        <v>82.380442406549562</v>
      </c>
      <c r="G198" s="47">
        <f t="shared" si="11"/>
        <v>69.941487635056632</v>
      </c>
      <c r="H198" s="47">
        <f t="shared" si="11"/>
        <v>69.130391883768525</v>
      </c>
      <c r="I198" s="47">
        <f t="shared" si="11"/>
        <v>70.243455379828774</v>
      </c>
      <c r="J198" s="47">
        <f t="shared" si="11"/>
        <v>78.825830233910338</v>
      </c>
      <c r="K198" s="47">
        <f t="shared" si="11"/>
        <v>21.876236932512295</v>
      </c>
    </row>
    <row r="199" spans="3:11" x14ac:dyDescent="0.2">
      <c r="C199" s="88" t="s">
        <v>161</v>
      </c>
      <c r="D199" s="116">
        <f t="shared" si="9"/>
        <v>77.03290926360836</v>
      </c>
      <c r="E199" s="116">
        <f t="shared" si="11"/>
        <v>79.648938857144174</v>
      </c>
      <c r="F199" s="116">
        <f t="shared" si="11"/>
        <v>67.395242795688844</v>
      </c>
      <c r="G199" s="116">
        <f t="shared" si="11"/>
        <v>68.339492320155941</v>
      </c>
      <c r="H199" s="116">
        <f t="shared" si="11"/>
        <v>72.495195999319364</v>
      </c>
      <c r="I199" s="116">
        <f t="shared" si="11"/>
        <v>77.748993586973342</v>
      </c>
      <c r="J199" s="116">
        <f t="shared" si="11"/>
        <v>82.083274536098287</v>
      </c>
      <c r="K199" s="116">
        <f t="shared" si="11"/>
        <v>20.507058062408348</v>
      </c>
    </row>
    <row r="200" spans="3:11" x14ac:dyDescent="0.2">
      <c r="C200" s="87" t="s">
        <v>140</v>
      </c>
      <c r="D200" s="47">
        <f t="shared" si="9"/>
        <v>83.92753011779746</v>
      </c>
      <c r="E200" s="47">
        <f t="shared" si="11"/>
        <v>88.431067602448906</v>
      </c>
      <c r="F200" s="47">
        <f t="shared" si="11"/>
        <v>89.821629690582611</v>
      </c>
      <c r="G200" s="47">
        <f t="shared" si="11"/>
        <v>83.635488270189654</v>
      </c>
      <c r="H200" s="47">
        <f t="shared" si="11"/>
        <v>87.51910084107169</v>
      </c>
      <c r="I200" s="47">
        <f t="shared" si="11"/>
        <v>73.812910309689741</v>
      </c>
      <c r="J200" s="47">
        <f t="shared" si="11"/>
        <v>77.666175397071413</v>
      </c>
      <c r="K200" s="47">
        <f t="shared" si="11"/>
        <v>32.388196093062099</v>
      </c>
    </row>
    <row r="201" spans="3:11" x14ac:dyDescent="0.2">
      <c r="C201" s="88" t="s">
        <v>141</v>
      </c>
      <c r="D201" s="116">
        <f t="shared" si="9"/>
        <v>89.057988268675601</v>
      </c>
      <c r="E201" s="116">
        <f t="shared" si="11"/>
        <v>81.339613198265369</v>
      </c>
      <c r="F201" s="116">
        <f t="shared" si="11"/>
        <v>81.909285505981686</v>
      </c>
      <c r="G201" s="116">
        <f t="shared" si="11"/>
        <v>84.554249055260229</v>
      </c>
      <c r="H201" s="116">
        <f t="shared" si="11"/>
        <v>81.296485470446228</v>
      </c>
      <c r="I201" s="116">
        <f t="shared" si="11"/>
        <v>87.310935502820215</v>
      </c>
      <c r="J201" s="116">
        <f t="shared" si="11"/>
        <v>90.595039068984335</v>
      </c>
      <c r="K201" s="116">
        <f t="shared" si="11"/>
        <v>22.171769482549582</v>
      </c>
    </row>
    <row r="202" spans="3:11" x14ac:dyDescent="0.2">
      <c r="C202" s="87" t="s">
        <v>142</v>
      </c>
      <c r="D202" s="47">
        <f t="shared" si="9"/>
        <v>70.029810317184342</v>
      </c>
      <c r="E202" s="47">
        <f t="shared" ref="E202:K211" si="12">+IFERROR(IF(E160&gt;0,+((E160/E35)*100)," "),"0")</f>
        <v>81.095516995583793</v>
      </c>
      <c r="F202" s="47">
        <f t="shared" si="12"/>
        <v>56.801666976677247</v>
      </c>
      <c r="G202" s="47">
        <f t="shared" si="12"/>
        <v>46.273473698836973</v>
      </c>
      <c r="H202" s="47">
        <f t="shared" si="12"/>
        <v>44.986510945551885</v>
      </c>
      <c r="I202" s="47">
        <f t="shared" si="12"/>
        <v>57.314727404534182</v>
      </c>
      <c r="J202" s="47">
        <f t="shared" si="12"/>
        <v>61.733472657481578</v>
      </c>
      <c r="K202" s="47">
        <f t="shared" si="12"/>
        <v>15.749078124016759</v>
      </c>
    </row>
    <row r="203" spans="3:11" x14ac:dyDescent="0.2">
      <c r="C203" s="88" t="s">
        <v>143</v>
      </c>
      <c r="D203" s="116">
        <f t="shared" si="9"/>
        <v>41.899381512249363</v>
      </c>
      <c r="E203" s="116">
        <f t="shared" si="12"/>
        <v>34.359506330300334</v>
      </c>
      <c r="F203" s="116">
        <f t="shared" si="12"/>
        <v>44.828167239563136</v>
      </c>
      <c r="G203" s="116">
        <f t="shared" si="12"/>
        <v>19.761419983788599</v>
      </c>
      <c r="H203" s="116">
        <f t="shared" si="12"/>
        <v>15.86333222915427</v>
      </c>
      <c r="I203" s="116">
        <f t="shared" si="12"/>
        <v>27.694235921765774</v>
      </c>
      <c r="J203" s="116">
        <f t="shared" si="12"/>
        <v>40.895531224636386</v>
      </c>
      <c r="K203" s="116">
        <f t="shared" si="12"/>
        <v>2.5533976225737267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91.212052595898271</v>
      </c>
      <c r="F204" s="47">
        <f t="shared" si="12"/>
        <v>88.584144738900818</v>
      </c>
      <c r="G204" s="47">
        <f t="shared" si="12"/>
        <v>89.177798178279275</v>
      </c>
      <c r="H204" s="47">
        <f t="shared" si="12"/>
        <v>83.301550763753767</v>
      </c>
      <c r="I204" s="47">
        <f t="shared" si="12"/>
        <v>85.122574500398201</v>
      </c>
      <c r="J204" s="47">
        <f t="shared" si="12"/>
        <v>86.288157466998712</v>
      </c>
      <c r="K204" s="47">
        <f t="shared" si="12"/>
        <v>22.060052076086425</v>
      </c>
    </row>
    <row r="205" spans="3:11" x14ac:dyDescent="0.2">
      <c r="C205" s="88" t="s">
        <v>145</v>
      </c>
      <c r="D205" s="116">
        <f t="shared" si="9"/>
        <v>91.768225596844417</v>
      </c>
      <c r="E205" s="116">
        <f t="shared" si="12"/>
        <v>89.072570857188992</v>
      </c>
      <c r="F205" s="116">
        <f t="shared" si="12"/>
        <v>83.775093355354528</v>
      </c>
      <c r="G205" s="116">
        <f t="shared" si="12"/>
        <v>91.612844034782213</v>
      </c>
      <c r="H205" s="116">
        <f t="shared" si="12"/>
        <v>77.316998434286731</v>
      </c>
      <c r="I205" s="116">
        <f t="shared" si="12"/>
        <v>57.159542845124697</v>
      </c>
      <c r="J205" s="116">
        <f t="shared" si="12"/>
        <v>72.868004287396559</v>
      </c>
      <c r="K205" s="116">
        <f t="shared" si="12"/>
        <v>9.7352254065568555</v>
      </c>
    </row>
    <row r="206" spans="3:11" x14ac:dyDescent="0.2">
      <c r="C206" s="87" t="s">
        <v>146</v>
      </c>
      <c r="D206" s="47">
        <f t="shared" si="9"/>
        <v>94.5824035728063</v>
      </c>
      <c r="E206" s="47">
        <f t="shared" si="12"/>
        <v>85.194418973892169</v>
      </c>
      <c r="F206" s="47">
        <f t="shared" si="12"/>
        <v>90.877299817052176</v>
      </c>
      <c r="G206" s="47">
        <f t="shared" si="12"/>
        <v>93.220545946698266</v>
      </c>
      <c r="H206" s="47">
        <f t="shared" si="12"/>
        <v>91.386066490845892</v>
      </c>
      <c r="I206" s="47">
        <f t="shared" si="12"/>
        <v>91.311387902518604</v>
      </c>
      <c r="J206" s="47">
        <f t="shared" si="12"/>
        <v>91.053382109645412</v>
      </c>
      <c r="K206" s="47">
        <f t="shared" si="12"/>
        <v>28.468181435743812</v>
      </c>
    </row>
    <row r="207" spans="3:11" x14ac:dyDescent="0.2">
      <c r="C207" s="88" t="s">
        <v>162</v>
      </c>
      <c r="D207" s="116">
        <f t="shared" si="9"/>
        <v>99.267892990268749</v>
      </c>
      <c r="E207" s="116">
        <f t="shared" si="12"/>
        <v>97.255292559391776</v>
      </c>
      <c r="F207" s="116">
        <f t="shared" si="12"/>
        <v>99.105938942920574</v>
      </c>
      <c r="G207" s="116">
        <f t="shared" si="12"/>
        <v>99.421011482863435</v>
      </c>
      <c r="H207" s="116">
        <f t="shared" si="12"/>
        <v>92.867725963042389</v>
      </c>
      <c r="I207" s="116">
        <f t="shared" si="12"/>
        <v>94.032989830204514</v>
      </c>
      <c r="J207" s="116">
        <f t="shared" si="12"/>
        <v>96.093060324995164</v>
      </c>
      <c r="K207" s="116">
        <f t="shared" si="12"/>
        <v>29.499534704558688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93.416782552066906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87.762986227475821</v>
      </c>
      <c r="K208" s="47">
        <f t="shared" si="12"/>
        <v>27.160381904518438</v>
      </c>
    </row>
    <row r="209" spans="1:11" x14ac:dyDescent="0.2">
      <c r="C209" s="88" t="s">
        <v>149</v>
      </c>
      <c r="D209" s="116">
        <f t="shared" si="9"/>
        <v>89.689256498729193</v>
      </c>
      <c r="E209" s="116">
        <f t="shared" si="12"/>
        <v>94.579159485636509</v>
      </c>
      <c r="F209" s="116">
        <f t="shared" si="12"/>
        <v>79.711954669749758</v>
      </c>
      <c r="G209" s="116">
        <f t="shared" si="12"/>
        <v>80.789152508959461</v>
      </c>
      <c r="H209" s="116">
        <f t="shared" si="12"/>
        <v>91.335174441118141</v>
      </c>
      <c r="I209" s="116">
        <f t="shared" si="12"/>
        <v>71.176878355167986</v>
      </c>
      <c r="J209" s="116">
        <f t="shared" si="12"/>
        <v>71.649797570873915</v>
      </c>
      <c r="K209" s="116">
        <f t="shared" si="12"/>
        <v>24.398334967440473</v>
      </c>
    </row>
    <row r="210" spans="1:11" x14ac:dyDescent="0.2">
      <c r="C210" s="87" t="s">
        <v>163</v>
      </c>
      <c r="D210" s="47">
        <f t="shared" si="9"/>
        <v>81.949124678156025</v>
      </c>
      <c r="E210" s="47">
        <f t="shared" si="12"/>
        <v>86.449840207010965</v>
      </c>
      <c r="F210" s="47">
        <f t="shared" si="12"/>
        <v>93.135831583697254</v>
      </c>
      <c r="G210" s="47">
        <f t="shared" si="12"/>
        <v>64.854746856819503</v>
      </c>
      <c r="H210" s="47">
        <f t="shared" si="12"/>
        <v>77.423181919883774</v>
      </c>
      <c r="I210" s="47">
        <f t="shared" si="12"/>
        <v>80.652754594497424</v>
      </c>
      <c r="J210" s="47">
        <f t="shared" si="12"/>
        <v>85.235589965489908</v>
      </c>
      <c r="K210" s="47">
        <f t="shared" si="12"/>
        <v>16.253772226128099</v>
      </c>
    </row>
    <row r="211" spans="1:11" x14ac:dyDescent="0.2">
      <c r="C211" s="88" t="s">
        <v>150</v>
      </c>
      <c r="D211" s="116">
        <f t="shared" si="9"/>
        <v>77.787346508049538</v>
      </c>
      <c r="E211" s="116">
        <f t="shared" si="12"/>
        <v>79.748595893662412</v>
      </c>
      <c r="F211" s="116">
        <f t="shared" si="12"/>
        <v>79.186347175877728</v>
      </c>
      <c r="G211" s="116">
        <f t="shared" si="12"/>
        <v>73.347875322273183</v>
      </c>
      <c r="H211" s="116">
        <f t="shared" si="12"/>
        <v>77.736397829834544</v>
      </c>
      <c r="I211" s="116">
        <f t="shared" si="12"/>
        <v>42.461047078660236</v>
      </c>
      <c r="J211" s="116">
        <f t="shared" si="12"/>
        <v>43.474936566946809</v>
      </c>
      <c r="K211" s="116">
        <f t="shared" si="12"/>
        <v>11.762791029880953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77.544052944887937</v>
      </c>
      <c r="G212" s="47">
        <f t="shared" si="13"/>
        <v>80.37093102396139</v>
      </c>
      <c r="H212" s="47">
        <f t="shared" si="13"/>
        <v>62.666731143996245</v>
      </c>
      <c r="I212" s="47">
        <f t="shared" si="13"/>
        <v>58.739139694201093</v>
      </c>
      <c r="J212" s="47">
        <f t="shared" si="13"/>
        <v>69.596660851060307</v>
      </c>
      <c r="K212" s="47">
        <f t="shared" si="13"/>
        <v>21.410271863821375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90.700010536518334</v>
      </c>
      <c r="E213" s="74">
        <f t="shared" si="14"/>
        <v>83.74516346163567</v>
      </c>
      <c r="F213" s="74">
        <f t="shared" si="14"/>
        <v>89.850110681533053</v>
      </c>
      <c r="G213" s="74">
        <f t="shared" si="14"/>
        <v>86.477078757108885</v>
      </c>
      <c r="H213" s="74">
        <f t="shared" si="14"/>
        <v>85.75102712521182</v>
      </c>
      <c r="I213" s="74">
        <f t="shared" si="14"/>
        <v>81.928021851708934</v>
      </c>
      <c r="J213" s="74">
        <f t="shared" si="14"/>
        <v>86.452370237831985</v>
      </c>
      <c r="K213" s="74">
        <f t="shared" si="14"/>
        <v>23.6527175645694</v>
      </c>
    </row>
    <row r="214" spans="1:11" s="31" customFormat="1" x14ac:dyDescent="0.2">
      <c r="A214" s="5"/>
      <c r="B214" s="5"/>
      <c r="C214" s="72" t="str">
        <f>+'C1 Aprop Resumen 2000-2026'!B20</f>
        <v>* Información con corte a 30 de abril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C219" s="155" t="s">
        <v>158</v>
      </c>
      <c r="D219" s="156"/>
      <c r="E219" s="178"/>
      <c r="F219" s="178"/>
      <c r="G219" s="178"/>
      <c r="H219" s="178"/>
      <c r="I219" s="178"/>
      <c r="J219" s="178"/>
      <c r="K219" s="178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76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10</v>
      </c>
    </row>
    <row r="222" spans="1:11" ht="12" customHeight="1" thickBot="1" x14ac:dyDescent="0.25">
      <c r="C222" s="160"/>
      <c r="D222" s="154"/>
      <c r="E222" s="154"/>
      <c r="F222" s="154"/>
      <c r="G222" s="154"/>
      <c r="H222" s="154"/>
      <c r="I222" s="154"/>
      <c r="J222" s="154"/>
      <c r="K222" s="154"/>
    </row>
    <row r="223" spans="1:11" x14ac:dyDescent="0.2">
      <c r="C223" s="87" t="s">
        <v>123</v>
      </c>
      <c r="D223" s="42">
        <f>1421.56649859443*Deflactores!$T$5</f>
        <v>2206.1661463250962</v>
      </c>
      <c r="E223" s="42">
        <f>1437.82785429645*Deflactores!$U$5</f>
        <v>2196.0462243823531</v>
      </c>
      <c r="F223" s="42">
        <f>1911.20997494959*Deflactores!$V$5</f>
        <v>2763.7377131813828</v>
      </c>
      <c r="G223" s="42">
        <f>1916.40134499955*Deflactores!$W$5</f>
        <v>2449.8274241509444</v>
      </c>
      <c r="H223" s="42">
        <f>3972.34455457327*Deflactores!$X$5</f>
        <v>4646.8135820772768</v>
      </c>
      <c r="I223" s="42">
        <f>3019.40252890505*Deflactores!$Y$5</f>
        <v>3357.4813834818365</v>
      </c>
      <c r="J223" s="42">
        <f>2996.79727271256*Deflactores!$Z$5</f>
        <v>3170.6115145298886</v>
      </c>
      <c r="K223" s="42">
        <f>530.9755004583*Deflactores!$AA$5</f>
        <v>530.97550045829996</v>
      </c>
    </row>
    <row r="224" spans="1:11" x14ac:dyDescent="0.2">
      <c r="C224" s="88" t="s">
        <v>124</v>
      </c>
      <c r="D224" s="50">
        <f>547.48596320678*Deflactores!$T$5</f>
        <v>849.65775347775752</v>
      </c>
      <c r="E224" s="50">
        <f>585.43512120718*Deflactores!$U$5</f>
        <v>894.15612843092174</v>
      </c>
      <c r="F224" s="50">
        <f>784.020824972759*Deflactores!$V$5</f>
        <v>1133.7466580321434</v>
      </c>
      <c r="G224" s="50">
        <f>855.981259925759*Deflactores!$W$5</f>
        <v>1094.2417519154342</v>
      </c>
      <c r="H224" s="50">
        <f>987.87214404027*Deflactores!$X$5</f>
        <v>1155.6041106749506</v>
      </c>
      <c r="I224" s="50">
        <f>1104.0897398464*Deflactores!$Y$5</f>
        <v>1227.7133345887064</v>
      </c>
      <c r="J224" s="50">
        <f>1417.01865920286*Deflactores!$Z$5</f>
        <v>1499.2057414366259</v>
      </c>
      <c r="K224" s="50">
        <f>394.28948927189*Deflactores!$AA$5</f>
        <v>394.28948927188998</v>
      </c>
    </row>
    <row r="225" spans="3:11" x14ac:dyDescent="0.2">
      <c r="C225" s="87" t="s">
        <v>125</v>
      </c>
      <c r="D225" s="42">
        <f>149.694147083799*Deflactores!$T$5</f>
        <v>232.31425327328756</v>
      </c>
      <c r="E225" s="42">
        <f>181.39481218701*Deflactores!$U$5</f>
        <v>277.05082443318537</v>
      </c>
      <c r="F225" s="42">
        <f>359.09389512792*Deflactores!$V$5</f>
        <v>519.27383884882113</v>
      </c>
      <c r="G225" s="42">
        <f>289.952414959169*Deflactores!$W$5</f>
        <v>370.66002887090099</v>
      </c>
      <c r="H225" s="42">
        <f>319.49584403501*Deflactores!$X$5</f>
        <v>373.74341703815651</v>
      </c>
      <c r="I225" s="42">
        <f>325.936003998869*Deflactores!$Y$5</f>
        <v>362.43066472806709</v>
      </c>
      <c r="J225" s="42">
        <f>258.78871391763*Deflactores!$Z$5</f>
        <v>273.79845932485256</v>
      </c>
      <c r="K225" s="42">
        <f>19.61798285421*Deflactores!$AA$5</f>
        <v>19.617982854209998</v>
      </c>
    </row>
    <row r="226" spans="3:11" x14ac:dyDescent="0.2">
      <c r="C226" s="88" t="s">
        <v>126</v>
      </c>
      <c r="D226" s="50">
        <f>852.22044888064*Deflactores!$T$5</f>
        <v>1322.5831541369528</v>
      </c>
      <c r="E226" s="50">
        <f>911.89929680136*Deflactores!$U$5</f>
        <v>1392.7766121469651</v>
      </c>
      <c r="F226" s="50">
        <f>876.009307913909*Deflactores!$V$5</f>
        <v>1266.7681694385517</v>
      </c>
      <c r="G226" s="50">
        <f>943.34504888875*Deflactores!$W$5</f>
        <v>1205.9230584631089</v>
      </c>
      <c r="H226" s="50">
        <f>1070.9953803489*Deflactores!$X$5</f>
        <v>1252.8409384875004</v>
      </c>
      <c r="I226" s="50">
        <f>1010.73565172758*Deflactores!$Y$5</f>
        <v>1123.9065019685706</v>
      </c>
      <c r="J226" s="50">
        <f>1240.76035121333*Deflactores!$Z$5</f>
        <v>1312.7244515837033</v>
      </c>
      <c r="K226" s="50">
        <f>381.8362340669*Deflactores!$AA$5</f>
        <v>381.83623406689998</v>
      </c>
    </row>
    <row r="227" spans="3:11" x14ac:dyDescent="0.2">
      <c r="C227" s="87" t="s">
        <v>127</v>
      </c>
      <c r="D227" s="42">
        <f>590.718796580859*Deflactores!$T$5</f>
        <v>916.75191579370448</v>
      </c>
      <c r="E227" s="42">
        <f>638.02575551002*Deflactores!$U$5</f>
        <v>974.47969675902061</v>
      </c>
      <c r="F227" s="42">
        <f>721.634458326659*Deflactores!$V$5</f>
        <v>1043.5317907239421</v>
      </c>
      <c r="G227" s="42">
        <f>857.723168894179*Deflactores!$W$5</f>
        <v>1096.4685173956111</v>
      </c>
      <c r="H227" s="42">
        <f>1029.66146273524*Deflactores!$X$5</f>
        <v>1204.4888866629699</v>
      </c>
      <c r="I227" s="42">
        <f>1105.21615243026*Deflactores!$Y$5</f>
        <v>1228.9658702291933</v>
      </c>
      <c r="J227" s="42">
        <f>1240.68824212831*Deflactores!$Z$5</f>
        <v>1312.6481601717521</v>
      </c>
      <c r="K227" s="42">
        <f>423.94476215453*Deflactores!$AA$5</f>
        <v>423.94476215453</v>
      </c>
    </row>
    <row r="228" spans="3:11" x14ac:dyDescent="0.2">
      <c r="C228" s="88" t="s">
        <v>128</v>
      </c>
      <c r="D228" s="50">
        <f>362.47973613985*Deflactores!$T$5</f>
        <v>562.5417617756766</v>
      </c>
      <c r="E228" s="50">
        <f>357.33438831512*Deflactores!$U$5</f>
        <v>545.76967051829251</v>
      </c>
      <c r="F228" s="50">
        <f>476.27989629366*Deflactores!$V$5</f>
        <v>688.73265034713154</v>
      </c>
      <c r="G228" s="50">
        <f>448.715831200259*Deflactores!$W$5</f>
        <v>573.61489115701829</v>
      </c>
      <c r="H228" s="50">
        <f>603.880507469069*Deflactores!$X$5</f>
        <v>706.41408505925449</v>
      </c>
      <c r="I228" s="50">
        <f>838.710050573079*Deflactores!$Y$5</f>
        <v>932.61940201109712</v>
      </c>
      <c r="J228" s="50">
        <f>712.41718943836*Deflactores!$Z$5</f>
        <v>753.73738642578485</v>
      </c>
      <c r="K228" s="50">
        <f>233.885298856119*Deflactores!$AA$5</f>
        <v>233.88529885611899</v>
      </c>
    </row>
    <row r="229" spans="3:11" x14ac:dyDescent="0.2">
      <c r="C229" s="87" t="s">
        <v>129</v>
      </c>
      <c r="D229" s="42">
        <f>32015.02532018*Deflactores!$T$5</f>
        <v>49684.953257520887</v>
      </c>
      <c r="E229" s="42">
        <f>34089.1240297846*Deflactores!$U$5</f>
        <v>52065.545881875369</v>
      </c>
      <c r="F229" s="42">
        <f>36388.2028832752*Deflactores!$V$5</f>
        <v>52619.780108700899</v>
      </c>
      <c r="G229" s="42">
        <f>40009.9767748677*Deflactores!$W$5</f>
        <v>51146.665388473855</v>
      </c>
      <c r="H229" s="42">
        <f>44951.6688911801*Deflactores!$X$5</f>
        <v>52584.065322353563</v>
      </c>
      <c r="I229" s="42">
        <f>49827.8747408585*Deflactores!$Y$5</f>
        <v>55407.041697605375</v>
      </c>
      <c r="J229" s="42">
        <f>55218.5605693111*Deflactores!$Z$5</f>
        <v>58421.237082331143</v>
      </c>
      <c r="K229" s="42">
        <f>17110.7764811159*Deflactores!$AA$5</f>
        <v>17110.7764811159</v>
      </c>
    </row>
    <row r="230" spans="3:11" x14ac:dyDescent="0.2">
      <c r="C230" s="88" t="s">
        <v>130</v>
      </c>
      <c r="D230" s="50">
        <f>265.49873125778*Deflactores!$T$5</f>
        <v>412.03440948581863</v>
      </c>
      <c r="E230" s="50">
        <f>241.72499380414*Deflactores!$U$5</f>
        <v>369.19528189428269</v>
      </c>
      <c r="F230" s="50">
        <f>671.405099608279*Deflactores!$V$5</f>
        <v>970.89677164260627</v>
      </c>
      <c r="G230" s="50">
        <f>556.0546970758*Deflactores!$W$5</f>
        <v>710.83129313111635</v>
      </c>
      <c r="H230" s="50">
        <f>560.3728200612*Deflactores!$X$5</f>
        <v>655.51917652497275</v>
      </c>
      <c r="I230" s="50">
        <f>381.16451859876*Deflactores!$Y$5</f>
        <v>423.84304940727458</v>
      </c>
      <c r="J230" s="50">
        <f>303.56938040264*Deflactores!$Z$5</f>
        <v>321.17640446599313</v>
      </c>
      <c r="K230" s="50">
        <f>138.89876457491*Deflactores!$AA$5</f>
        <v>138.89876457490999</v>
      </c>
    </row>
    <row r="231" spans="3:11" x14ac:dyDescent="0.2">
      <c r="C231" s="87" t="s">
        <v>131</v>
      </c>
      <c r="D231" s="42">
        <f>40997.4942591129*Deflactores!$T$5</f>
        <v>63625.081210088916</v>
      </c>
      <c r="E231" s="42">
        <f>44558.1762914329*Deflactores!$U$5</f>
        <v>68055.306146537841</v>
      </c>
      <c r="F231" s="42">
        <f>48025.9818056039*Deflactores!$V$5</f>
        <v>69448.788395012074</v>
      </c>
      <c r="G231" s="42">
        <f>49638.1033260862*Deflactores!$W$5</f>
        <v>63454.759687153492</v>
      </c>
      <c r="H231" s="42">
        <f>57864.9863331102*Deflactores!$X$5</f>
        <v>67689.950034633337</v>
      </c>
      <c r="I231" s="42">
        <f>67472.4541619654*Deflactores!$Y$5</f>
        <v>75027.26336682956</v>
      </c>
      <c r="J231" s="42">
        <f>78020.6955584907*Deflactores!$Z$5</f>
        <v>82545.895900883159</v>
      </c>
      <c r="K231" s="42">
        <f>25985.792422999*Deflactores!$AA$5</f>
        <v>25985.792422998999</v>
      </c>
    </row>
    <row r="232" spans="3:11" x14ac:dyDescent="0.2">
      <c r="C232" s="88" t="s">
        <v>132</v>
      </c>
      <c r="D232" s="50">
        <f>339.183235928269*Deflactores!$T$5</f>
        <v>526.38731515255836</v>
      </c>
      <c r="E232" s="50">
        <f>232.06143709151*Deflactores!$U$5</f>
        <v>354.43578396867042</v>
      </c>
      <c r="F232" s="50">
        <f>289.06237687898*Deflactores!$V$5</f>
        <v>418.00356994440585</v>
      </c>
      <c r="G232" s="50">
        <f>340.71923761243*Deflactores!$W$5</f>
        <v>435.55768441548912</v>
      </c>
      <c r="H232" s="50">
        <f>397.74766763044*Deflactores!$X$5</f>
        <v>465.2817092759056</v>
      </c>
      <c r="I232" s="50">
        <f>479.47095555393*Deflactores!$Y$5</f>
        <v>533.15673938192901</v>
      </c>
      <c r="J232" s="50">
        <f>510.969756297559*Deflactores!$Z$5</f>
        <v>540.6060021628175</v>
      </c>
      <c r="K232" s="50">
        <f>104.70373697621*Deflactores!$AA$5</f>
        <v>104.70373697621</v>
      </c>
    </row>
    <row r="233" spans="3:11" x14ac:dyDescent="0.2">
      <c r="C233" s="87" t="s">
        <v>133</v>
      </c>
      <c r="D233" s="42">
        <f>3631.83437855745*Deflactores!$T$5</f>
        <v>5636.3385483235279</v>
      </c>
      <c r="E233" s="42">
        <f>3761.8152774346*Deflactores!$U$5</f>
        <v>5745.5558481139551</v>
      </c>
      <c r="F233" s="42">
        <f>4143.19160000885*Deflactores!$V$5</f>
        <v>5991.3327305560952</v>
      </c>
      <c r="G233" s="42">
        <f>4508.59984986002*Deflactores!$W$5</f>
        <v>5763.5586541046287</v>
      </c>
      <c r="H233" s="42">
        <f>5157.084024615*Deflactores!$X$5</f>
        <v>6032.7113522681484</v>
      </c>
      <c r="I233" s="42">
        <f>5583.041951737*Deflactores!$Y$5</f>
        <v>6208.1684163365617</v>
      </c>
      <c r="J233" s="42">
        <f>6314.49064702734*Deflactores!$Z$5</f>
        <v>6680.7311045549259</v>
      </c>
      <c r="K233" s="42">
        <f>1757.27105772788*Deflactores!$AA$5</f>
        <v>1757.2710577278799</v>
      </c>
    </row>
    <row r="234" spans="3:11" x14ac:dyDescent="0.2">
      <c r="C234" s="88" t="s">
        <v>134</v>
      </c>
      <c r="D234" s="50">
        <f>8482.08170407271*Deflactores!$T$5</f>
        <v>13163.563944698337</v>
      </c>
      <c r="E234" s="50">
        <f>16921.9012776999*Deflactores!$U$5</f>
        <v>25845.428782882595</v>
      </c>
      <c r="F234" s="50">
        <f>18689.4850964393*Deflactores!$V$5</f>
        <v>27026.248019835224</v>
      </c>
      <c r="G234" s="50">
        <f>14108.9583026856*Deflactores!$W$5</f>
        <v>18036.155665570906</v>
      </c>
      <c r="H234" s="50">
        <f>34061.425356227*Deflactores!$X$5</f>
        <v>39844.754601663684</v>
      </c>
      <c r="I234" s="50">
        <f>22879.588349507*Deflactores!$Y$5</f>
        <v>25441.388224926312</v>
      </c>
      <c r="J234" s="50">
        <f>17216.175341844*Deflactores!$Z$5</f>
        <v>18214.713511670951</v>
      </c>
      <c r="K234" s="50">
        <f>4944.4500906588*Deflactores!$AA$5</f>
        <v>4944.4500906588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2.4890546188881464</v>
      </c>
      <c r="I235" s="42">
        <f>9745.27890752193*Deflactores!$Y$5</f>
        <v>10836.446017255093</v>
      </c>
      <c r="J235" s="42">
        <f>10577.2918470061*Deflactores!$Z$5</f>
        <v>11190.774774132455</v>
      </c>
      <c r="K235" s="42">
        <f>3029.46256931217*Deflactores!$AA$5</f>
        <v>3029.4625693121702</v>
      </c>
    </row>
    <row r="236" spans="3:11" x14ac:dyDescent="0.2">
      <c r="C236" s="88" t="s">
        <v>136</v>
      </c>
      <c r="D236" s="50">
        <f>10186.4680645921*Deflactores!$T$5</f>
        <v>15808.64561520335</v>
      </c>
      <c r="E236" s="50">
        <f>17439.4294666871*Deflactores!$U$5</f>
        <v>26635.868209995297</v>
      </c>
      <c r="F236" s="50">
        <f>21897.1979667312*Deflactores!$V$5</f>
        <v>31664.815811381442</v>
      </c>
      <c r="G236" s="50">
        <f>22446.6436829476*Deflactores!$W$5</f>
        <v>28694.617345221333</v>
      </c>
      <c r="H236" s="50">
        <f>19337.4832126055*Deflactores!$X$5</f>
        <v>22620.817102100438</v>
      </c>
      <c r="I236" s="50">
        <f>9495.62672887307*Deflactores!$Y$5</f>
        <v>10558.84058567218</v>
      </c>
      <c r="J236" s="50">
        <f>7985.2185249883*Deflactores!$Z$5</f>
        <v>8448.3611994376206</v>
      </c>
      <c r="K236" s="50">
        <f>2833.20683351885*Deflactores!$AA$5</f>
        <v>2833.2068335188501</v>
      </c>
    </row>
    <row r="237" spans="3:11" x14ac:dyDescent="0.2">
      <c r="C237" s="87" t="s">
        <v>137</v>
      </c>
      <c r="D237" s="42">
        <f>323.85979956063*Deflactores!$T$5</f>
        <v>502.60647437368686</v>
      </c>
      <c r="E237" s="42">
        <f>320.765135334989*Deflactores!$U$5</f>
        <v>489.91613443917993</v>
      </c>
      <c r="F237" s="42">
        <f>388.16847966417*Deflactores!$V$5</f>
        <v>561.31763666859433</v>
      </c>
      <c r="G237" s="42">
        <f>400.349302552839*Deflactores!$W$5</f>
        <v>511.7856461501695</v>
      </c>
      <c r="H237" s="42">
        <f>556.09182156191*Deflactores!$X$5</f>
        <v>650.51130228394038</v>
      </c>
      <c r="I237" s="42">
        <f>807.13188014656*Deflactores!$Y$5</f>
        <v>897.5054619794239</v>
      </c>
      <c r="J237" s="42">
        <f>730.83761567576*Deflactores!$Z$5</f>
        <v>773.22619738495416</v>
      </c>
      <c r="K237" s="42">
        <f>166.95101267175*Deflactores!$AA$5</f>
        <v>166.95101267174999</v>
      </c>
    </row>
    <row r="238" spans="3:11" x14ac:dyDescent="0.2">
      <c r="C238" s="88" t="s">
        <v>138</v>
      </c>
      <c r="D238" s="50">
        <f>90.91803301492*Deflactores!$T$5</f>
        <v>141.09806803009718</v>
      </c>
      <c r="E238" s="50">
        <f>97.64146220211*Deflactores!$U$5</f>
        <v>149.13131900413578</v>
      </c>
      <c r="F238" s="50">
        <f>110.959760434319*Deflactores!$V$5</f>
        <v>160.45525011765773</v>
      </c>
      <c r="G238" s="50">
        <f>104.84531844711*Deflactores!$W$5</f>
        <v>134.02878112967994</v>
      </c>
      <c r="H238" s="50">
        <f>120.72652510224*Deflactores!$X$5</f>
        <v>141.22482298677312</v>
      </c>
      <c r="I238" s="50">
        <f>137.50576549373*Deflactores!$Y$5</f>
        <v>152.90211998796917</v>
      </c>
      <c r="J238" s="50">
        <f>150.50415071102*Deflactores!$Z$5</f>
        <v>159.23339145225918</v>
      </c>
      <c r="K238" s="50">
        <f>42.8839144747499*Deflactores!$AA$5</f>
        <v>42.883914474749901</v>
      </c>
    </row>
    <row r="239" spans="3:11" x14ac:dyDescent="0.2">
      <c r="C239" s="87" t="s">
        <v>160</v>
      </c>
      <c r="D239" s="42">
        <f>1178.40104583386*Deflactores!$T$5</f>
        <v>1828.7913345476588</v>
      </c>
      <c r="E239" s="42">
        <f>1493.61572602809*Deflactores!$U$5</f>
        <v>2281.2530484931176</v>
      </c>
      <c r="F239" s="42">
        <f>1823.87723941394*Deflactores!$V$5</f>
        <v>2637.4487245517907</v>
      </c>
      <c r="G239" s="42">
        <f>2130.06511726171*Deflactores!$W$5</f>
        <v>2722.9640352273177</v>
      </c>
      <c r="H239" s="42">
        <f>2324.97087171358*Deflactores!$X$5</f>
        <v>2719.7303950319838</v>
      </c>
      <c r="I239" s="42">
        <f>2885.21286591712*Deflactores!$Y$5</f>
        <v>3208.266665992327</v>
      </c>
      <c r="J239" s="42">
        <f>3474.27721396536*Deflactores!$Z$5</f>
        <v>3675.7852923753508</v>
      </c>
      <c r="K239" s="42">
        <f>924.11856209818*Deflactores!$AA$5</f>
        <v>924.11856209817995</v>
      </c>
    </row>
    <row r="240" spans="3:11" x14ac:dyDescent="0.2">
      <c r="C240" s="88" t="s">
        <v>161</v>
      </c>
      <c r="D240" s="50">
        <f>2107.18319916093*Deflactores!$T$5</f>
        <v>3270.1925957669523</v>
      </c>
      <c r="E240" s="50">
        <f>2362.94328261759*Deflactores!$U$5</f>
        <v>3609.0083098029286</v>
      </c>
      <c r="F240" s="50">
        <f>2349.30553819322*Deflactores!$V$5</f>
        <v>3397.2532588219369</v>
      </c>
      <c r="G240" s="50">
        <f>2673.18188869738*Deflactores!$W$5</f>
        <v>3417.2561597090698</v>
      </c>
      <c r="H240" s="50">
        <f>3197.08654132942*Deflactores!$X$5</f>
        <v>3739.9236041149384</v>
      </c>
      <c r="I240" s="50">
        <f>3789.93563756784*Deflactores!$Y$5</f>
        <v>4214.2901537354228</v>
      </c>
      <c r="J240" s="50">
        <f>4205.65855872965*Deflactores!$Z$5</f>
        <v>4449.5867551359706</v>
      </c>
      <c r="K240" s="50">
        <f>1137.8926313848*Deflactores!$AA$5</f>
        <v>1137.8926313848001</v>
      </c>
    </row>
    <row r="241" spans="1:11" x14ac:dyDescent="0.2">
      <c r="C241" s="87" t="s">
        <v>140</v>
      </c>
      <c r="D241" s="42">
        <f>3341.58338293983*Deflactores!$T$5</f>
        <v>5185.8904538433299</v>
      </c>
      <c r="E241" s="42">
        <f>3842.96259493843*Deflactores!$U$5</f>
        <v>5869.4950663524551</v>
      </c>
      <c r="F241" s="42">
        <f>5515.12963892518*Deflactores!$V$5</f>
        <v>7975.2470821966981</v>
      </c>
      <c r="G241" s="42">
        <f>4821.79885729707*Deflactores!$W$5</f>
        <v>6163.9359130948742</v>
      </c>
      <c r="H241" s="42">
        <f>7835.96453523296*Deflactores!$X$5</f>
        <v>9166.4421176848209</v>
      </c>
      <c r="I241" s="42">
        <f>8776.83036617072*Deflactores!$Y$5</f>
        <v>9759.5614623408601</v>
      </c>
      <c r="J241" s="42">
        <f>8389.54978961239*Deflactores!$Z$5</f>
        <v>8876.1436774099093</v>
      </c>
      <c r="K241" s="42">
        <f>4332.23293711763*Deflactores!$AA$5</f>
        <v>4332.2329371176302</v>
      </c>
    </row>
    <row r="242" spans="1:11" x14ac:dyDescent="0.2">
      <c r="C242" s="88" t="s">
        <v>141</v>
      </c>
      <c r="D242" s="50">
        <f>1688.49862812633*Deflactores!$T$5</f>
        <v>2620.4250839984397</v>
      </c>
      <c r="E242" s="50">
        <f>1899.9397073694*Deflactores!$U$5</f>
        <v>2901.8462874085008</v>
      </c>
      <c r="F242" s="50">
        <f>2313.60132674491*Deflactores!$V$5</f>
        <v>3345.6225761693413</v>
      </c>
      <c r="G242" s="50">
        <f>2673.14245156244*Deflactores!$W$5</f>
        <v>3417.2057453347747</v>
      </c>
      <c r="H242" s="50">
        <f>3259.53353270798*Deflactores!$X$5</f>
        <v>3812.9735431902582</v>
      </c>
      <c r="I242" s="50">
        <f>3732.69678676693*Deflactores!$Y$5</f>
        <v>4150.6423379386861</v>
      </c>
      <c r="J242" s="50">
        <f>3846.50141263637*Deflactores!$Z$5</f>
        <v>4069.5984945692794</v>
      </c>
      <c r="K242" s="50">
        <f>1113.95020842954*Deflactores!$AA$5</f>
        <v>1113.95020842954</v>
      </c>
    </row>
    <row r="243" spans="1:11" x14ac:dyDescent="0.2">
      <c r="C243" s="87" t="s">
        <v>142</v>
      </c>
      <c r="D243" s="42">
        <f>349.52995005942*Deflactores!$T$5</f>
        <v>542.444650820231</v>
      </c>
      <c r="E243" s="42">
        <f>487.52311847556*Deflactores!$U$5</f>
        <v>744.61160314023527</v>
      </c>
      <c r="F243" s="42">
        <f>878.48864457393*Deflactores!$V$5</f>
        <v>1270.3534564142301</v>
      </c>
      <c r="G243" s="42">
        <f>836.36038189046*Deflactores!$W$5</f>
        <v>1069.1594458409684</v>
      </c>
      <c r="H243" s="42">
        <f>863.47368330832*Deflactores!$X$5</f>
        <v>1010.0838898136387</v>
      </c>
      <c r="I243" s="42">
        <f>862.713850911779*Deflactores!$Y$5</f>
        <v>959.31087888391608</v>
      </c>
      <c r="J243" s="42">
        <f>699.059264244749*Deflactores!$Z$5</f>
        <v>739.60470157094448</v>
      </c>
      <c r="K243" s="42">
        <f>245.62747827199*Deflactores!$AA$5</f>
        <v>245.62747827198999</v>
      </c>
    </row>
    <row r="244" spans="1:11" x14ac:dyDescent="0.2">
      <c r="C244" s="88" t="s">
        <v>143</v>
      </c>
      <c r="D244" s="50">
        <f>680.204957439919*Deflactores!$T$5</f>
        <v>1055.62782405903</v>
      </c>
      <c r="E244" s="50">
        <f>1835.29954843231*Deflactores!$U$5</f>
        <v>2803.1190464852602</v>
      </c>
      <c r="F244" s="50">
        <f>3963.93189595141*Deflactores!$V$5</f>
        <v>5732.1111844931884</v>
      </c>
      <c r="G244" s="50">
        <f>1199.29003380285*Deflactores!$W$5</f>
        <v>1533.1097642920015</v>
      </c>
      <c r="H244" s="50">
        <f>867.13303300851*Deflactores!$X$5</f>
        <v>1014.3645647789652</v>
      </c>
      <c r="I244" s="50">
        <f>811.95420338731*Deflactores!$Y$5</f>
        <v>902.86773492943746</v>
      </c>
      <c r="J244" s="50">
        <f>1666.90010444398*Deflactores!$Z$5</f>
        <v>1763.5803105017308</v>
      </c>
      <c r="K244" s="50">
        <f>243.74064111095*Deflactores!$AA$5</f>
        <v>243.74064111095001</v>
      </c>
    </row>
    <row r="245" spans="1:11" x14ac:dyDescent="0.2">
      <c r="C245" s="87" t="s">
        <v>144</v>
      </c>
      <c r="D245" s="42">
        <f>4232.35534150447*Deflactores!$T$5</f>
        <v>6568.3027018979146</v>
      </c>
      <c r="E245" s="42">
        <f>4421.24411213156*Deflactores!$U$5</f>
        <v>6752.7252379389338</v>
      </c>
      <c r="F245" s="42">
        <f>4785.50039786024*Deflactores!$V$5</f>
        <v>6920.1542998223949</v>
      </c>
      <c r="G245" s="42">
        <f>5346.23046215966*Deflactores!$W$5</f>
        <v>6834.3418961819752</v>
      </c>
      <c r="H245" s="42">
        <f>6570.46967753509*Deflactores!$X$5</f>
        <v>7686.0774081257514</v>
      </c>
      <c r="I245" s="42">
        <f>7916.94243764156*Deflactores!$Y$5</f>
        <v>8803.39292095583</v>
      </c>
      <c r="J245" s="42">
        <f>9141.72520762009*Deflactores!$Z$5</f>
        <v>9671.9452696620556</v>
      </c>
      <c r="K245" s="42">
        <f>2405.616292137*Deflactores!$AA$5</f>
        <v>2405.6162921370001</v>
      </c>
    </row>
    <row r="246" spans="1:11" x14ac:dyDescent="0.2">
      <c r="C246" s="88" t="s">
        <v>145</v>
      </c>
      <c r="D246" s="50">
        <f>1417.15483162175*Deflactores!$T$5</f>
        <v>2199.3195652234658</v>
      </c>
      <c r="E246" s="50">
        <f>634.3862652321*Deflactores!$U$5</f>
        <v>968.92097228472437</v>
      </c>
      <c r="F246" s="50">
        <f>1219.68022754878*Deflactores!$V$5</f>
        <v>1763.7393520757048</v>
      </c>
      <c r="G246" s="50">
        <f>3071.41368792497*Deflactores!$W$5</f>
        <v>3926.33490016307</v>
      </c>
      <c r="H246" s="50">
        <f>2661.19059997313*Deflactores!$X$5</f>
        <v>3113.0372641554359</v>
      </c>
      <c r="I246" s="50">
        <f>922.79444555084*Deflactores!$Y$5</f>
        <v>1026.1186251443385</v>
      </c>
      <c r="J246" s="50">
        <f>2305.79485323159*Deflactores!$Z$5</f>
        <v>2439.5309547190222</v>
      </c>
      <c r="K246" s="50">
        <f>677.06498634064*Deflactores!$AA$5</f>
        <v>677.06498634063996</v>
      </c>
    </row>
    <row r="247" spans="1:11" x14ac:dyDescent="0.2">
      <c r="C247" s="87" t="s">
        <v>146</v>
      </c>
      <c r="D247" s="42">
        <f>886.368163511547*Deflactores!$T$5</f>
        <v>1375.5778835903866</v>
      </c>
      <c r="E247" s="42">
        <f>853.35506364877*Deflactores!$U$5</f>
        <v>1303.3598980459474</v>
      </c>
      <c r="F247" s="42">
        <f>1064.15493706997*Deflactores!$V$5</f>
        <v>1538.8393587292835</v>
      </c>
      <c r="G247" s="42">
        <f>1309.72422646747*Deflactores!$W$5</f>
        <v>1674.2830704262751</v>
      </c>
      <c r="H247" s="42">
        <f>1381.36902504032*Deflactores!$X$5</f>
        <v>1615.9132872872763</v>
      </c>
      <c r="I247" s="42">
        <f>1480.42301063831*Deflactores!$Y$5</f>
        <v>1646.1841872069795</v>
      </c>
      <c r="J247" s="42">
        <f>1722.95674474805*Deflactores!$Z$5</f>
        <v>1822.8882359434369</v>
      </c>
      <c r="K247" s="42">
        <f>538.16306672164*Deflactores!$AA$5</f>
        <v>538.16306672164001</v>
      </c>
    </row>
    <row r="248" spans="1:11" x14ac:dyDescent="0.2">
      <c r="C248" s="88" t="s">
        <v>162</v>
      </c>
      <c r="D248" s="50">
        <f>29378.3862662392*Deflactores!$T$5</f>
        <v>45593.084304057062</v>
      </c>
      <c r="E248" s="50">
        <f>34403.4641096297*Deflactores!$U$5</f>
        <v>52545.648797849026</v>
      </c>
      <c r="F248" s="50">
        <f>43355.7143665292*Deflactores!$V$5</f>
        <v>62695.268676513217</v>
      </c>
      <c r="G248" s="50">
        <f>42218.9132707858*Deflactores!$W$5</f>
        <v>53970.454476301558</v>
      </c>
      <c r="H248" s="50">
        <f>50040.1820819328*Deflactores!$X$5</f>
        <v>58536.563118685612</v>
      </c>
      <c r="I248" s="50">
        <f>57794.0644433699*Deflactores!$Y$5</f>
        <v>64265.19604020175</v>
      </c>
      <c r="J248" s="50">
        <f>64311.8703129*Deflactores!$Z$5</f>
        <v>68041.958791048208</v>
      </c>
      <c r="K248" s="50">
        <f>23222.1848735389*Deflactores!$AA$5</f>
        <v>23222.184873538899</v>
      </c>
    </row>
    <row r="249" spans="1:11" x14ac:dyDescent="0.2">
      <c r="C249" s="87" t="s">
        <v>148</v>
      </c>
      <c r="D249" s="42">
        <f>352.420446609169*Deflactores!$T$5</f>
        <v>546.93048784609709</v>
      </c>
      <c r="E249" s="42">
        <f>450.87958405192*Deflactores!$U$5</f>
        <v>688.64461433931592</v>
      </c>
      <c r="F249" s="42">
        <f>535.1094240807*Deflactores!$V$5</f>
        <v>773.80409028558358</v>
      </c>
      <c r="G249" s="42">
        <f>576.51937841711*Deflactores!$W$5</f>
        <v>736.99227329702364</v>
      </c>
      <c r="H249" s="42">
        <f>644.01339596486*Deflactores!$X$5</f>
        <v>753.36118362741183</v>
      </c>
      <c r="I249" s="42">
        <f>767.60169333726*Deflactores!$Y$5</f>
        <v>853.54912789437776</v>
      </c>
      <c r="J249" s="42">
        <f>847.94544815153*Deflactores!$Z$5</f>
        <v>897.12628414431867</v>
      </c>
      <c r="K249" s="42">
        <f>255.38126315564*Deflactores!$AA$5</f>
        <v>255.38126315564</v>
      </c>
    </row>
    <row r="250" spans="1:11" x14ac:dyDescent="0.2">
      <c r="C250" s="88" t="s">
        <v>149</v>
      </c>
      <c r="D250" s="50">
        <f>1349.98192086623*Deflactores!$T$5</f>
        <v>2095.0721720797246</v>
      </c>
      <c r="E250" s="50">
        <f>1232.02258709042*Deflactores!$U$5</f>
        <v>1881.712433549686</v>
      </c>
      <c r="F250" s="50">
        <f>1887.56940149529*Deflactores!$V$5</f>
        <v>2729.5518595738499</v>
      </c>
      <c r="G250" s="50">
        <f>1891.12386646138*Deflactores!$W$5</f>
        <v>2417.514015324668</v>
      </c>
      <c r="H250" s="50">
        <f>2180.68413374915*Deflactores!$X$5</f>
        <v>2550.9450430879192</v>
      </c>
      <c r="I250" s="50">
        <f>2591.95806810224*Deflactores!$Y$5</f>
        <v>2882.1764826350118</v>
      </c>
      <c r="J250" s="50">
        <f>1903.93606719056*Deflactores!$Z$5</f>
        <v>2014.3643590876125</v>
      </c>
      <c r="K250" s="50">
        <f>480.052287063419*Deflactores!$AA$5</f>
        <v>480.05228706341899</v>
      </c>
    </row>
    <row r="251" spans="1:11" x14ac:dyDescent="0.2">
      <c r="C251" s="87" t="s">
        <v>163</v>
      </c>
      <c r="D251" s="42">
        <f>22965.6448140195*Deflactores!$T$5</f>
        <v>35640.983497650108</v>
      </c>
      <c r="E251" s="42">
        <f>28047.135842406*Deflactores!$U$5</f>
        <v>42837.39989276597</v>
      </c>
      <c r="F251" s="42">
        <f>25968.4835797855*Deflactores!$V$5</f>
        <v>37552.167665657813</v>
      </c>
      <c r="G251" s="42">
        <f>22416.3770123845*Deflactores!$W$5</f>
        <v>28655.926013796055</v>
      </c>
      <c r="H251" s="42">
        <f>26843.0911175475*Deflactores!$X$5</f>
        <v>31400.810950891268</v>
      </c>
      <c r="I251" s="42">
        <f>32361.0822437553*Deflactores!$Y$5</f>
        <v>35984.513539549254</v>
      </c>
      <c r="J251" s="42">
        <f>44132.529761804*Deflactores!$Z$5</f>
        <v>46692.216487988633</v>
      </c>
      <c r="K251" s="42">
        <f>9225.87680720767*Deflactores!$AA$5</f>
        <v>9225.8768072076691</v>
      </c>
    </row>
    <row r="252" spans="1:11" x14ac:dyDescent="0.2">
      <c r="C252" s="88" t="s">
        <v>150</v>
      </c>
      <c r="D252" s="50">
        <f>5764.57923576688*Deflactores!$T$5</f>
        <v>8946.2009482722024</v>
      </c>
      <c r="E252" s="50">
        <f>6081.74975386687*Deflactores!$U$5</f>
        <v>9288.8752604899528</v>
      </c>
      <c r="F252" s="50">
        <f>8763.51866871498*Deflactores!$V$5</f>
        <v>12672.635326495469</v>
      </c>
      <c r="G252" s="50">
        <f>8897.59412480081*Deflactores!$W$5</f>
        <v>11374.219785838472</v>
      </c>
      <c r="H252" s="50">
        <f>9894.65147044522*Deflactores!$X$5</f>
        <v>11574.675915222819</v>
      </c>
      <c r="I252" s="50">
        <f>5980.4536652114*Deflactores!$Y$5</f>
        <v>6650.0778394076833</v>
      </c>
      <c r="J252" s="50">
        <f>5757.3414413687*Deflactores!$Z$5</f>
        <v>6091.2672449680849</v>
      </c>
      <c r="K252" s="50">
        <f>2007.90495470182*Deflactores!$AA$5</f>
        <v>2007.9049547018201</v>
      </c>
    </row>
    <row r="253" spans="1:11" x14ac:dyDescent="0.2">
      <c r="C253" s="87" t="s">
        <v>151</v>
      </c>
      <c r="D253" s="42">
        <f>2870.07757536141*Deflactores!$T$5</f>
        <v>4454.1482866610704</v>
      </c>
      <c r="E253" s="42">
        <f>3319.86225084878*Deflactores!$U$5</f>
        <v>5070.5450862289399</v>
      </c>
      <c r="F253" s="42">
        <f>4630.21356292883*Deflactores!$V$5</f>
        <v>6695.5991291788177</v>
      </c>
      <c r="G253" s="42">
        <f>4675.1983063523*Deflactores!$W$5</f>
        <v>5976.5294227804889</v>
      </c>
      <c r="H253" s="42">
        <f>4971.177049343*Deflactores!$X$5</f>
        <v>5815.2390142499689</v>
      </c>
      <c r="I253" s="42">
        <f>5369.05664420796*Deflactores!$Y$5</f>
        <v>5970.2234323572557</v>
      </c>
      <c r="J253" s="42">
        <f>5806.3741104193*Deflactores!$Z$5</f>
        <v>6143.14380882362</v>
      </c>
      <c r="K253" s="42">
        <f>1557.92212395038*Deflactores!$AA$5</f>
        <v>1557.92212395038</v>
      </c>
    </row>
    <row r="254" spans="1:11" x14ac:dyDescent="0.2">
      <c r="C254" s="79" t="s">
        <v>152</v>
      </c>
      <c r="D254" s="44">
        <f t="shared" ref="D254:K254" si="15">SUM(D223:D253)</f>
        <v>277513.7156179733</v>
      </c>
      <c r="E254" s="44">
        <f t="shared" si="15"/>
        <v>325537.82810055709</v>
      </c>
      <c r="F254" s="44">
        <f t="shared" si="15"/>
        <v>353977.22515541024</v>
      </c>
      <c r="G254" s="44">
        <f t="shared" si="15"/>
        <v>309568.92273491225</v>
      </c>
      <c r="H254" s="44">
        <f t="shared" si="15"/>
        <v>344537.37079865776</v>
      </c>
      <c r="I254" s="44">
        <f t="shared" si="15"/>
        <v>344996.04426556226</v>
      </c>
      <c r="J254" s="44">
        <f t="shared" si="15"/>
        <v>363007.42194989702</v>
      </c>
      <c r="K254" s="44">
        <f t="shared" si="15"/>
        <v>106466.67526492235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abril</v>
      </c>
      <c r="D255" s="124">
        <f>+D254-'C5 Ejecución PGN 2019-2026'!D131</f>
        <v>0</v>
      </c>
      <c r="E255" s="124">
        <f>+E254-'C5 Ejecución PGN 2019-2026'!E131</f>
        <v>1.3387762010097504E-9</v>
      </c>
      <c r="F255" s="124">
        <f>+F254-'C5 Ejecución PGN 2019-2026'!F131</f>
        <v>0</v>
      </c>
      <c r="G255" s="124">
        <f>+G254-'C5 Ejecución PGN 2019-2026'!G131</f>
        <v>0</v>
      </c>
      <c r="H255" s="124">
        <f>+H254-'C5 Ejecución PGN 2019-2026'!H131</f>
        <v>6.9849193096160889E-10</v>
      </c>
      <c r="I255" s="124">
        <f>+I254-'C5 Ejecución PGN 2019-2026'!I131</f>
        <v>0</v>
      </c>
      <c r="J255" s="124">
        <f>+J254-'C5 Ejecución PGN 2019-2026'!J131</f>
        <v>0</v>
      </c>
      <c r="K255" s="124">
        <f>+K254-'C5 Ejecución PGN 2019-2026'!K131</f>
        <v>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C260" s="155" t="s">
        <v>159</v>
      </c>
      <c r="D260" s="156"/>
      <c r="E260" s="178"/>
      <c r="F260" s="178"/>
      <c r="G260" s="178"/>
      <c r="H260" s="178"/>
      <c r="I260" s="178"/>
      <c r="J260" s="178"/>
      <c r="K260" s="178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76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10</v>
      </c>
    </row>
    <row r="264" spans="2:11" ht="12" customHeight="1" thickBot="1" x14ac:dyDescent="0.25">
      <c r="C264" s="160"/>
      <c r="D264" s="154"/>
      <c r="E264" s="154"/>
      <c r="F264" s="154"/>
      <c r="G264" s="154"/>
      <c r="H264" s="154"/>
      <c r="I264" s="154"/>
      <c r="J264" s="154"/>
      <c r="K264" s="154"/>
    </row>
    <row r="265" spans="2:11" x14ac:dyDescent="0.2">
      <c r="C265" s="87" t="s">
        <v>123</v>
      </c>
      <c r="D265" s="47">
        <f t="shared" ref="D265:K274" si="16">+IFERROR(IF(D223&gt;0,+((D223/D15)*100)," "),"0")</f>
        <v>62.817559079066733</v>
      </c>
      <c r="E265" s="47">
        <f t="shared" si="16"/>
        <v>77.78831683488103</v>
      </c>
      <c r="F265" s="47">
        <f t="shared" si="16"/>
        <v>79.738552929234118</v>
      </c>
      <c r="G265" s="47">
        <f t="shared" si="16"/>
        <v>74.071127983601784</v>
      </c>
      <c r="H265" s="47">
        <f t="shared" si="16"/>
        <v>73.825596401226704</v>
      </c>
      <c r="I265" s="47">
        <f t="shared" si="16"/>
        <v>38.305153505876085</v>
      </c>
      <c r="J265" s="47">
        <f t="shared" si="16"/>
        <v>59.325292991769643</v>
      </c>
      <c r="K265" s="47">
        <f t="shared" si="16"/>
        <v>12.875022732106645</v>
      </c>
    </row>
    <row r="266" spans="2:11" x14ac:dyDescent="0.2">
      <c r="C266" s="88" t="s">
        <v>124</v>
      </c>
      <c r="D266" s="116">
        <f t="shared" si="16"/>
        <v>87.935071562410016</v>
      </c>
      <c r="E266" s="116">
        <f t="shared" si="16"/>
        <v>80.541664751964348</v>
      </c>
      <c r="F266" s="116">
        <f t="shared" si="16"/>
        <v>66.963330523472308</v>
      </c>
      <c r="G266" s="116">
        <f t="shared" si="16"/>
        <v>62.846918277439009</v>
      </c>
      <c r="H266" s="116">
        <f t="shared" si="16"/>
        <v>49.132320089213586</v>
      </c>
      <c r="I266" s="116">
        <f t="shared" si="16"/>
        <v>54.037398329703009</v>
      </c>
      <c r="J266" s="116">
        <f t="shared" si="16"/>
        <v>80.331646666627307</v>
      </c>
      <c r="K266" s="116">
        <f t="shared" si="16"/>
        <v>21.949133686252111</v>
      </c>
    </row>
    <row r="267" spans="2:11" x14ac:dyDescent="0.2">
      <c r="C267" s="87" t="s">
        <v>125</v>
      </c>
      <c r="D267" s="47">
        <f t="shared" si="16"/>
        <v>42.651674068352179</v>
      </c>
      <c r="E267" s="47">
        <f t="shared" si="16"/>
        <v>67.171924254536563</v>
      </c>
      <c r="F267" s="47">
        <f t="shared" si="16"/>
        <v>87.151293573960842</v>
      </c>
      <c r="G267" s="47">
        <f t="shared" si="16"/>
        <v>87.730357052391312</v>
      </c>
      <c r="H267" s="47">
        <f t="shared" si="16"/>
        <v>65.897675697539881</v>
      </c>
      <c r="I267" s="47">
        <f t="shared" si="16"/>
        <v>86.76227880195168</v>
      </c>
      <c r="J267" s="47">
        <f t="shared" si="16"/>
        <v>91.948301921268765</v>
      </c>
      <c r="K267" s="47">
        <f t="shared" si="16"/>
        <v>5.1645873648460165</v>
      </c>
    </row>
    <row r="268" spans="2:11" x14ac:dyDescent="0.2">
      <c r="C268" s="88" t="s">
        <v>126</v>
      </c>
      <c r="D268" s="116">
        <f t="shared" si="16"/>
        <v>85.084203788086</v>
      </c>
      <c r="E268" s="116">
        <f t="shared" si="16"/>
        <v>82.181243777070407</v>
      </c>
      <c r="F268" s="116">
        <f t="shared" si="16"/>
        <v>74.208011953959186</v>
      </c>
      <c r="G268" s="116">
        <f t="shared" si="16"/>
        <v>80.843953588673486</v>
      </c>
      <c r="H268" s="116">
        <f t="shared" si="16"/>
        <v>74.04725479626299</v>
      </c>
      <c r="I268" s="116">
        <f t="shared" si="16"/>
        <v>68.751921055383903</v>
      </c>
      <c r="J268" s="116">
        <f t="shared" si="16"/>
        <v>84.696959856444025</v>
      </c>
      <c r="K268" s="116">
        <f t="shared" si="16"/>
        <v>21.577559928744229</v>
      </c>
    </row>
    <row r="269" spans="2:11" x14ac:dyDescent="0.2">
      <c r="C269" s="87" t="s">
        <v>127</v>
      </c>
      <c r="D269" s="47">
        <f t="shared" si="16"/>
        <v>91.249445303955738</v>
      </c>
      <c r="E269" s="47">
        <f t="shared" si="16"/>
        <v>92.405785845730534</v>
      </c>
      <c r="F269" s="47">
        <f t="shared" si="16"/>
        <v>92.952458658138767</v>
      </c>
      <c r="G269" s="47">
        <f t="shared" si="16"/>
        <v>88.276066263654741</v>
      </c>
      <c r="H269" s="47">
        <f t="shared" si="16"/>
        <v>86.989209923695483</v>
      </c>
      <c r="I269" s="47">
        <f t="shared" si="16"/>
        <v>80.578135475315122</v>
      </c>
      <c r="J269" s="47">
        <f t="shared" si="16"/>
        <v>79.192681551868745</v>
      </c>
      <c r="K269" s="47">
        <f t="shared" si="16"/>
        <v>31.809248855357858</v>
      </c>
    </row>
    <row r="270" spans="2:11" x14ac:dyDescent="0.2">
      <c r="C270" s="88" t="s">
        <v>128</v>
      </c>
      <c r="D270" s="116">
        <f t="shared" si="16"/>
        <v>94.638651082300257</v>
      </c>
      <c r="E270" s="116">
        <f t="shared" si="16"/>
        <v>94.105014370121978</v>
      </c>
      <c r="F270" s="116">
        <f t="shared" si="16"/>
        <v>77.437451683013506</v>
      </c>
      <c r="G270" s="116">
        <f t="shared" si="16"/>
        <v>78.354557238628217</v>
      </c>
      <c r="H270" s="116">
        <f t="shared" si="16"/>
        <v>75.091998531173516</v>
      </c>
      <c r="I270" s="116">
        <f t="shared" si="16"/>
        <v>63.3452473975928</v>
      </c>
      <c r="J270" s="116">
        <f t="shared" si="16"/>
        <v>66.212248447336435</v>
      </c>
      <c r="K270" s="116">
        <f t="shared" si="16"/>
        <v>20.264723964762769</v>
      </c>
    </row>
    <row r="271" spans="2:11" x14ac:dyDescent="0.2">
      <c r="C271" s="87" t="s">
        <v>129</v>
      </c>
      <c r="D271" s="47">
        <f t="shared" si="16"/>
        <v>95.385158673758013</v>
      </c>
      <c r="E271" s="47">
        <f t="shared" si="16"/>
        <v>96.285521779533354</v>
      </c>
      <c r="F271" s="47">
        <f t="shared" si="16"/>
        <v>93.724481902256684</v>
      </c>
      <c r="G271" s="47">
        <f t="shared" si="16"/>
        <v>94.383506695086524</v>
      </c>
      <c r="H271" s="47">
        <f t="shared" si="16"/>
        <v>93.743282557662965</v>
      </c>
      <c r="I271" s="47">
        <f t="shared" si="16"/>
        <v>89.139201153350882</v>
      </c>
      <c r="J271" s="47">
        <f t="shared" si="16"/>
        <v>91.944996994587996</v>
      </c>
      <c r="K271" s="47">
        <f t="shared" si="16"/>
        <v>26.024266834254778</v>
      </c>
    </row>
    <row r="272" spans="2:11" x14ac:dyDescent="0.2">
      <c r="C272" s="88" t="s">
        <v>130</v>
      </c>
      <c r="D272" s="116">
        <f t="shared" si="16"/>
        <v>53.139029697464004</v>
      </c>
      <c r="E272" s="116">
        <f t="shared" si="16"/>
        <v>52.323541849696021</v>
      </c>
      <c r="F272" s="116">
        <f t="shared" si="16"/>
        <v>87.454185933295534</v>
      </c>
      <c r="G272" s="116">
        <f t="shared" si="16"/>
        <v>61.912109701967822</v>
      </c>
      <c r="H272" s="116">
        <f t="shared" si="16"/>
        <v>59.062407078297205</v>
      </c>
      <c r="I272" s="116">
        <f t="shared" si="16"/>
        <v>36.004201998239623</v>
      </c>
      <c r="J272" s="116">
        <f t="shared" si="16"/>
        <v>67.519775372495346</v>
      </c>
      <c r="K272" s="116">
        <f t="shared" si="16"/>
        <v>27.998861010803637</v>
      </c>
    </row>
    <row r="273" spans="3:11" x14ac:dyDescent="0.2">
      <c r="C273" s="87" t="s">
        <v>131</v>
      </c>
      <c r="D273" s="47">
        <f t="shared" si="16"/>
        <v>98.883155845005817</v>
      </c>
      <c r="E273" s="47">
        <f t="shared" si="16"/>
        <v>99.880707442907422</v>
      </c>
      <c r="F273" s="47">
        <f t="shared" si="16"/>
        <v>99.856994726799741</v>
      </c>
      <c r="G273" s="47">
        <f t="shared" si="16"/>
        <v>99.763906728852916</v>
      </c>
      <c r="H273" s="47">
        <f t="shared" si="16"/>
        <v>97.991146095510857</v>
      </c>
      <c r="I273" s="47">
        <f t="shared" si="16"/>
        <v>96.217014648648885</v>
      </c>
      <c r="J273" s="47">
        <f t="shared" si="16"/>
        <v>97.261897981827232</v>
      </c>
      <c r="K273" s="47">
        <f t="shared" si="16"/>
        <v>29.449480451385874</v>
      </c>
    </row>
    <row r="274" spans="3:11" x14ac:dyDescent="0.2">
      <c r="C274" s="88" t="s">
        <v>132</v>
      </c>
      <c r="D274" s="116">
        <f t="shared" si="16"/>
        <v>82.303057944761676</v>
      </c>
      <c r="E274" s="116">
        <f t="shared" si="16"/>
        <v>66.219276173550369</v>
      </c>
      <c r="F274" s="116">
        <f t="shared" si="16"/>
        <v>57.668422839416756</v>
      </c>
      <c r="G274" s="116">
        <f t="shared" si="16"/>
        <v>66.679584851093409</v>
      </c>
      <c r="H274" s="116">
        <f t="shared" si="16"/>
        <v>69.05999284893494</v>
      </c>
      <c r="I274" s="116">
        <f t="shared" si="16"/>
        <v>82.089064744008482</v>
      </c>
      <c r="J274" s="116">
        <f t="shared" si="16"/>
        <v>82.50543784886321</v>
      </c>
      <c r="K274" s="116">
        <f t="shared" si="16"/>
        <v>15.826959026621129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93.858321863990994</v>
      </c>
      <c r="E275" s="47">
        <f t="shared" si="17"/>
        <v>94.022889700130435</v>
      </c>
      <c r="F275" s="47">
        <f t="shared" si="17"/>
        <v>91.968756423210763</v>
      </c>
      <c r="G275" s="47">
        <f t="shared" si="17"/>
        <v>94.42978916958107</v>
      </c>
      <c r="H275" s="47">
        <f t="shared" si="17"/>
        <v>94.325269532476554</v>
      </c>
      <c r="I275" s="47">
        <f t="shared" si="17"/>
        <v>92.672665746866798</v>
      </c>
      <c r="J275" s="47">
        <f t="shared" si="17"/>
        <v>92.105502881536268</v>
      </c>
      <c r="K275" s="47">
        <f t="shared" si="17"/>
        <v>24.405876778378108</v>
      </c>
    </row>
    <row r="276" spans="3:11" x14ac:dyDescent="0.2">
      <c r="C276" s="88" t="s">
        <v>134</v>
      </c>
      <c r="D276" s="116">
        <f t="shared" si="17"/>
        <v>80.539135038449601</v>
      </c>
      <c r="E276" s="116">
        <f t="shared" si="17"/>
        <v>41.376555534106259</v>
      </c>
      <c r="F276" s="116">
        <f t="shared" si="17"/>
        <v>77.343465809680779</v>
      </c>
      <c r="G276" s="116">
        <f t="shared" si="17"/>
        <v>77.254965420380344</v>
      </c>
      <c r="H276" s="116">
        <f t="shared" si="17"/>
        <v>81.727113332626544</v>
      </c>
      <c r="I276" s="116">
        <f t="shared" si="17"/>
        <v>69.682979507215165</v>
      </c>
      <c r="J276" s="116">
        <f t="shared" si="17"/>
        <v>69.044337117925224</v>
      </c>
      <c r="K276" s="116">
        <f t="shared" si="17"/>
        <v>14.703279121236534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0.42555537840000002</v>
      </c>
      <c r="I277" s="47">
        <f t="shared" si="17"/>
        <v>78.490215620179058</v>
      </c>
      <c r="J277" s="47">
        <f t="shared" si="17"/>
        <v>94.036748004523858</v>
      </c>
      <c r="K277" s="47">
        <f t="shared" si="17"/>
        <v>26.761728236382925</v>
      </c>
    </row>
    <row r="278" spans="3:11" x14ac:dyDescent="0.2">
      <c r="C278" s="88" t="s">
        <v>136</v>
      </c>
      <c r="D278" s="116">
        <f t="shared" si="17"/>
        <v>88.683935254291328</v>
      </c>
      <c r="E278" s="116">
        <f t="shared" si="17"/>
        <v>96.418588908159307</v>
      </c>
      <c r="F278" s="116">
        <f t="shared" si="17"/>
        <v>91.545127923580651</v>
      </c>
      <c r="G278" s="116">
        <f t="shared" si="17"/>
        <v>95.913733308908704</v>
      </c>
      <c r="H278" s="116">
        <f t="shared" si="17"/>
        <v>88.265943035831455</v>
      </c>
      <c r="I278" s="116">
        <f t="shared" si="17"/>
        <v>70.754276930234511</v>
      </c>
      <c r="J278" s="116">
        <f t="shared" si="17"/>
        <v>72.939119800123279</v>
      </c>
      <c r="K278" s="116">
        <f t="shared" si="17"/>
        <v>21.427304697234444</v>
      </c>
    </row>
    <row r="279" spans="3:11" x14ac:dyDescent="0.2">
      <c r="C279" s="87" t="s">
        <v>137</v>
      </c>
      <c r="D279" s="47">
        <f t="shared" si="17"/>
        <v>84.191317348585187</v>
      </c>
      <c r="E279" s="47">
        <f t="shared" si="17"/>
        <v>84.461583599508288</v>
      </c>
      <c r="F279" s="47">
        <f t="shared" si="17"/>
        <v>63.477733110573809</v>
      </c>
      <c r="G279" s="47">
        <f t="shared" si="17"/>
        <v>58.612227212660336</v>
      </c>
      <c r="H279" s="47">
        <f t="shared" si="17"/>
        <v>54.150337296302176</v>
      </c>
      <c r="I279" s="47">
        <f t="shared" si="17"/>
        <v>62.362982544272697</v>
      </c>
      <c r="J279" s="47">
        <f t="shared" si="17"/>
        <v>71.048269881064556</v>
      </c>
      <c r="K279" s="47">
        <f t="shared" si="17"/>
        <v>20.077400339411831</v>
      </c>
    </row>
    <row r="280" spans="3:11" x14ac:dyDescent="0.2">
      <c r="C280" s="88" t="s">
        <v>138</v>
      </c>
      <c r="D280" s="116">
        <f t="shared" si="17"/>
        <v>93.127205939532715</v>
      </c>
      <c r="E280" s="116">
        <f t="shared" si="17"/>
        <v>97.939832663448925</v>
      </c>
      <c r="F280" s="116">
        <f t="shared" si="17"/>
        <v>94.697338290005291</v>
      </c>
      <c r="G280" s="116">
        <f t="shared" si="17"/>
        <v>93.775999469705923</v>
      </c>
      <c r="H280" s="116">
        <f t="shared" si="17"/>
        <v>83.957971196461614</v>
      </c>
      <c r="I280" s="116">
        <f t="shared" si="17"/>
        <v>81.564557762430454</v>
      </c>
      <c r="J280" s="116">
        <f t="shared" si="17"/>
        <v>85.586638961647012</v>
      </c>
      <c r="K280" s="116">
        <f t="shared" si="17"/>
        <v>24.138419489967543</v>
      </c>
    </row>
    <row r="281" spans="3:11" x14ac:dyDescent="0.2">
      <c r="C281" s="87" t="s">
        <v>160</v>
      </c>
      <c r="D281" s="47">
        <f t="shared" si="17"/>
        <v>84.668838326949341</v>
      </c>
      <c r="E281" s="47">
        <f t="shared" si="17"/>
        <v>83.341757455571013</v>
      </c>
      <c r="F281" s="47">
        <f t="shared" si="17"/>
        <v>81.410643012934571</v>
      </c>
      <c r="G281" s="47">
        <f t="shared" si="17"/>
        <v>69.580346187613543</v>
      </c>
      <c r="H281" s="47">
        <f t="shared" si="17"/>
        <v>68.655228240520501</v>
      </c>
      <c r="I281" s="47">
        <f t="shared" si="17"/>
        <v>70.067367087626849</v>
      </c>
      <c r="J281" s="47">
        <f t="shared" si="17"/>
        <v>77.63154879998072</v>
      </c>
      <c r="K281" s="47">
        <f t="shared" si="17"/>
        <v>21.479326722424961</v>
      </c>
    </row>
    <row r="282" spans="3:11" x14ac:dyDescent="0.2">
      <c r="C282" s="88" t="s">
        <v>161</v>
      </c>
      <c r="D282" s="116">
        <f t="shared" si="17"/>
        <v>76.739798939197541</v>
      </c>
      <c r="E282" s="116">
        <f t="shared" si="17"/>
        <v>79.561596489595928</v>
      </c>
      <c r="F282" s="116">
        <f t="shared" si="17"/>
        <v>67.145321746367728</v>
      </c>
      <c r="G282" s="116">
        <f t="shared" si="17"/>
        <v>67.686816454145898</v>
      </c>
      <c r="H282" s="116">
        <f t="shared" si="17"/>
        <v>72.081372174310005</v>
      </c>
      <c r="I282" s="116">
        <f t="shared" si="17"/>
        <v>77.05657702198296</v>
      </c>
      <c r="J282" s="116">
        <f t="shared" si="17"/>
        <v>81.814587922955894</v>
      </c>
      <c r="K282" s="116">
        <f t="shared" si="17"/>
        <v>20.13435954751149</v>
      </c>
    </row>
    <row r="283" spans="3:11" x14ac:dyDescent="0.2">
      <c r="C283" s="87" t="s">
        <v>140</v>
      </c>
      <c r="D283" s="47">
        <f t="shared" si="17"/>
        <v>83.278552713008708</v>
      </c>
      <c r="E283" s="47">
        <f t="shared" si="17"/>
        <v>88.130684795530243</v>
      </c>
      <c r="F283" s="47">
        <f t="shared" si="17"/>
        <v>89.480751255635852</v>
      </c>
      <c r="G283" s="47">
        <f t="shared" si="17"/>
        <v>83.382307899683141</v>
      </c>
      <c r="H283" s="47">
        <f t="shared" si="17"/>
        <v>86.47836679555428</v>
      </c>
      <c r="I283" s="47">
        <f t="shared" si="17"/>
        <v>73.00329836781583</v>
      </c>
      <c r="J283" s="47">
        <f t="shared" si="17"/>
        <v>77.538023251386733</v>
      </c>
      <c r="K283" s="47">
        <f t="shared" si="17"/>
        <v>32.366131244756311</v>
      </c>
    </row>
    <row r="284" spans="3:11" x14ac:dyDescent="0.2">
      <c r="C284" s="88" t="s">
        <v>141</v>
      </c>
      <c r="D284" s="116">
        <f t="shared" si="17"/>
        <v>88.913753115811744</v>
      </c>
      <c r="E284" s="116">
        <f t="shared" si="17"/>
        <v>80.298111493504422</v>
      </c>
      <c r="F284" s="116">
        <f t="shared" si="17"/>
        <v>80.784599536831934</v>
      </c>
      <c r="G284" s="116">
        <f t="shared" si="17"/>
        <v>83.505630197795909</v>
      </c>
      <c r="H284" s="116">
        <f t="shared" si="17"/>
        <v>80.756865281714425</v>
      </c>
      <c r="I284" s="116">
        <f t="shared" si="17"/>
        <v>87.121294853611928</v>
      </c>
      <c r="J284" s="116">
        <f t="shared" si="17"/>
        <v>90.231510174292865</v>
      </c>
      <c r="K284" s="116">
        <f t="shared" si="17"/>
        <v>22.141546002659773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69.396474284066954</v>
      </c>
      <c r="E285" s="47">
        <f t="shared" si="18"/>
        <v>78.559075661321003</v>
      </c>
      <c r="F285" s="47">
        <f t="shared" si="18"/>
        <v>56.080600415732754</v>
      </c>
      <c r="G285" s="47">
        <f t="shared" si="18"/>
        <v>45.333639663986261</v>
      </c>
      <c r="H285" s="47">
        <f t="shared" si="18"/>
        <v>44.202348349430778</v>
      </c>
      <c r="I285" s="47">
        <f t="shared" si="18"/>
        <v>56.744128769717719</v>
      </c>
      <c r="J285" s="47">
        <f t="shared" si="18"/>
        <v>61.011784293881192</v>
      </c>
      <c r="K285" s="47">
        <f t="shared" si="18"/>
        <v>15.097284679770146</v>
      </c>
    </row>
    <row r="286" spans="3:11" x14ac:dyDescent="0.2">
      <c r="C286" s="88" t="s">
        <v>143</v>
      </c>
      <c r="D286" s="116">
        <f t="shared" si="18"/>
        <v>41.304506423474741</v>
      </c>
      <c r="E286" s="116">
        <f t="shared" si="18"/>
        <v>34.300712253843663</v>
      </c>
      <c r="F286" s="116">
        <f t="shared" si="18"/>
        <v>44.746715028423225</v>
      </c>
      <c r="G286" s="116">
        <f t="shared" si="18"/>
        <v>19.6231816503267</v>
      </c>
      <c r="H286" s="116">
        <f t="shared" si="18"/>
        <v>15.469077657719584</v>
      </c>
      <c r="I286" s="116">
        <f t="shared" si="18"/>
        <v>27.643430186371564</v>
      </c>
      <c r="J286" s="116">
        <f t="shared" si="18"/>
        <v>40.85624914820913</v>
      </c>
      <c r="K286" s="116">
        <f t="shared" si="18"/>
        <v>2.5507263871962293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88.005373536842242</v>
      </c>
      <c r="G287" s="47">
        <f t="shared" si="18"/>
        <v>88.57194836219206</v>
      </c>
      <c r="H287" s="47">
        <f t="shared" si="18"/>
        <v>83.137464576467195</v>
      </c>
      <c r="I287" s="47">
        <f t="shared" si="18"/>
        <v>84.858146214866693</v>
      </c>
      <c r="J287" s="47">
        <f t="shared" si="18"/>
        <v>85.640097163968321</v>
      </c>
      <c r="K287" s="47">
        <f t="shared" si="18"/>
        <v>22.051477218433206</v>
      </c>
    </row>
    <row r="288" spans="3:11" x14ac:dyDescent="0.2">
      <c r="C288" s="88" t="s">
        <v>145</v>
      </c>
      <c r="D288" s="116">
        <f t="shared" si="18"/>
        <v>90.927866341766276</v>
      </c>
      <c r="E288" s="116">
        <f t="shared" si="18"/>
        <v>87.866075595584064</v>
      </c>
      <c r="F288" s="116">
        <f t="shared" si="18"/>
        <v>83.403635967000653</v>
      </c>
      <c r="G288" s="116">
        <f t="shared" si="18"/>
        <v>91.509824144987306</v>
      </c>
      <c r="H288" s="116">
        <f t="shared" si="18"/>
        <v>76.880805156010737</v>
      </c>
      <c r="I288" s="116">
        <f t="shared" si="18"/>
        <v>55.779387109853239</v>
      </c>
      <c r="J288" s="116">
        <f t="shared" si="18"/>
        <v>72.806500834653747</v>
      </c>
      <c r="K288" s="116">
        <f t="shared" si="18"/>
        <v>9.7283199775739497</v>
      </c>
    </row>
    <row r="289" spans="1:11" x14ac:dyDescent="0.2">
      <c r="C289" s="87" t="s">
        <v>146</v>
      </c>
      <c r="D289" s="47">
        <f t="shared" si="18"/>
        <v>92.410393126191607</v>
      </c>
      <c r="E289" s="47">
        <f t="shared" si="18"/>
        <v>85.060824214008548</v>
      </c>
      <c r="F289" s="47">
        <f t="shared" si="18"/>
        <v>90.578827597339213</v>
      </c>
      <c r="G289" s="47">
        <f t="shared" si="18"/>
        <v>93.161189365494096</v>
      </c>
      <c r="H289" s="47">
        <f t="shared" si="18"/>
        <v>91.066509458001661</v>
      </c>
      <c r="I289" s="47">
        <f t="shared" si="18"/>
        <v>90.072966403194911</v>
      </c>
      <c r="J289" s="47">
        <f t="shared" si="18"/>
        <v>90.476562640908625</v>
      </c>
      <c r="K289" s="47">
        <f t="shared" si="18"/>
        <v>27.88334824270266</v>
      </c>
    </row>
    <row r="290" spans="1:11" x14ac:dyDescent="0.2">
      <c r="C290" s="88" t="s">
        <v>162</v>
      </c>
      <c r="D290" s="116">
        <f t="shared" si="18"/>
        <v>99.229679401162031</v>
      </c>
      <c r="E290" s="116">
        <f t="shared" si="18"/>
        <v>97.215546386247098</v>
      </c>
      <c r="F290" s="116">
        <f t="shared" si="18"/>
        <v>99.056290560068064</v>
      </c>
      <c r="G290" s="116">
        <f t="shared" si="18"/>
        <v>99.388774893242328</v>
      </c>
      <c r="H290" s="116">
        <f t="shared" si="18"/>
        <v>92.832804891601413</v>
      </c>
      <c r="I290" s="116">
        <f t="shared" si="18"/>
        <v>93.993885105671282</v>
      </c>
      <c r="J290" s="116">
        <f t="shared" si="18"/>
        <v>96.050640937911979</v>
      </c>
      <c r="K290" s="116">
        <f t="shared" si="18"/>
        <v>29.496069737461596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89.633545697331542</v>
      </c>
      <c r="F291" s="47">
        <f t="shared" si="18"/>
        <v>91.875416261447739</v>
      </c>
      <c r="G291" s="47">
        <f t="shared" si="18"/>
        <v>92.974864946467818</v>
      </c>
      <c r="H291" s="47">
        <f t="shared" si="18"/>
        <v>87.112211758977352</v>
      </c>
      <c r="I291" s="47">
        <f t="shared" si="18"/>
        <v>89.728544325785109</v>
      </c>
      <c r="J291" s="47">
        <f t="shared" si="18"/>
        <v>87.602363771359407</v>
      </c>
      <c r="K291" s="47">
        <f t="shared" si="18"/>
        <v>27.140769989491609</v>
      </c>
    </row>
    <row r="292" spans="1:11" x14ac:dyDescent="0.2">
      <c r="C292" s="88" t="s">
        <v>149</v>
      </c>
      <c r="D292" s="116">
        <f t="shared" si="18"/>
        <v>82.018030055101036</v>
      </c>
      <c r="E292" s="116">
        <f t="shared" si="18"/>
        <v>77.672566821475371</v>
      </c>
      <c r="F292" s="116">
        <f t="shared" si="18"/>
        <v>76.668765845596624</v>
      </c>
      <c r="G292" s="116">
        <f t="shared" si="18"/>
        <v>75.747000685764803</v>
      </c>
      <c r="H292" s="116">
        <f t="shared" si="18"/>
        <v>86.39274674857019</v>
      </c>
      <c r="I292" s="116">
        <f t="shared" si="18"/>
        <v>63.949756590535486</v>
      </c>
      <c r="J292" s="116">
        <f t="shared" si="18"/>
        <v>70.04236390241708</v>
      </c>
      <c r="K292" s="116">
        <f t="shared" si="18"/>
        <v>21.028462818213654</v>
      </c>
    </row>
    <row r="293" spans="1:11" x14ac:dyDescent="0.2">
      <c r="C293" s="87" t="s">
        <v>163</v>
      </c>
      <c r="D293" s="47">
        <f t="shared" si="18"/>
        <v>81.898671051092577</v>
      </c>
      <c r="E293" s="47">
        <f t="shared" si="18"/>
        <v>86.437054144126748</v>
      </c>
      <c r="F293" s="47">
        <f t="shared" si="18"/>
        <v>93.120765770531605</v>
      </c>
      <c r="G293" s="47">
        <f t="shared" si="18"/>
        <v>64.802202267113159</v>
      </c>
      <c r="H293" s="47">
        <f t="shared" si="18"/>
        <v>77.331880299798897</v>
      </c>
      <c r="I293" s="47">
        <f t="shared" si="18"/>
        <v>80.550309663696993</v>
      </c>
      <c r="J293" s="47">
        <f t="shared" si="18"/>
        <v>85.15980021684895</v>
      </c>
      <c r="K293" s="47">
        <f t="shared" si="18"/>
        <v>16.245330703169653</v>
      </c>
    </row>
    <row r="294" spans="1:11" x14ac:dyDescent="0.2">
      <c r="C294" s="88" t="s">
        <v>150</v>
      </c>
      <c r="D294" s="116">
        <f t="shared" si="18"/>
        <v>75.51995854600024</v>
      </c>
      <c r="E294" s="116">
        <f t="shared" si="18"/>
        <v>76.655922840818889</v>
      </c>
      <c r="F294" s="116">
        <f t="shared" si="18"/>
        <v>76.499216256769571</v>
      </c>
      <c r="G294" s="116">
        <f t="shared" si="18"/>
        <v>71.459058624897636</v>
      </c>
      <c r="H294" s="116">
        <f t="shared" si="18"/>
        <v>76.557812286884825</v>
      </c>
      <c r="I294" s="116">
        <f t="shared" si="18"/>
        <v>41.72954406450107</v>
      </c>
      <c r="J294" s="116">
        <f t="shared" si="18"/>
        <v>42.158143586267691</v>
      </c>
      <c r="K294" s="116">
        <f t="shared" si="18"/>
        <v>11.284159360326903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76.009821318196529</v>
      </c>
      <c r="F295" s="47">
        <f t="shared" si="19"/>
        <v>77.472696795285572</v>
      </c>
      <c r="G295" s="47">
        <f t="shared" si="19"/>
        <v>80.267899161500168</v>
      </c>
      <c r="H295" s="47">
        <f t="shared" si="19"/>
        <v>62.527427561013859</v>
      </c>
      <c r="I295" s="47">
        <f t="shared" si="19"/>
        <v>58.735068306562823</v>
      </c>
      <c r="J295" s="47">
        <f t="shared" si="19"/>
        <v>69.589487400230723</v>
      </c>
      <c r="K295" s="47">
        <f t="shared" si="19"/>
        <v>21.409226705076012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90.095794793203041</v>
      </c>
      <c r="E296" s="74">
        <f t="shared" si="20"/>
        <v>83.386279084395298</v>
      </c>
      <c r="F296" s="74">
        <f t="shared" si="20"/>
        <v>89.515611824056492</v>
      </c>
      <c r="G296" s="74">
        <f t="shared" si="20"/>
        <v>86.180922574549783</v>
      </c>
      <c r="H296" s="74">
        <f t="shared" si="20"/>
        <v>85.451290447475159</v>
      </c>
      <c r="I296" s="74">
        <f t="shared" si="20"/>
        <v>81.482899856413908</v>
      </c>
      <c r="J296" s="74">
        <f t="shared" si="20"/>
        <v>86.235197910681833</v>
      </c>
      <c r="K296" s="74">
        <f t="shared" si="20"/>
        <v>23.386448219181975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abril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I263:I264"/>
    <mergeCell ref="K263:K264"/>
    <mergeCell ref="I55:I56"/>
    <mergeCell ref="I13:I14"/>
    <mergeCell ref="A9:C9"/>
    <mergeCell ref="K13:K14"/>
    <mergeCell ref="C136:K136"/>
    <mergeCell ref="C96:C97"/>
    <mergeCell ref="D138:D139"/>
    <mergeCell ref="C13:C14"/>
    <mergeCell ref="J96:J97"/>
    <mergeCell ref="G96:G97"/>
    <mergeCell ref="C263:C264"/>
    <mergeCell ref="E263:E264"/>
    <mergeCell ref="K221:K222"/>
    <mergeCell ref="K55:K56"/>
    <mergeCell ref="D6:K6"/>
    <mergeCell ref="F8:F9"/>
    <mergeCell ref="I180:I181"/>
    <mergeCell ref="K180:K181"/>
    <mergeCell ref="K96:K97"/>
    <mergeCell ref="G55:G56"/>
    <mergeCell ref="I8:I9"/>
    <mergeCell ref="K8:K9"/>
    <mergeCell ref="E96:E97"/>
    <mergeCell ref="J13:J14"/>
    <mergeCell ref="D96:D97"/>
    <mergeCell ref="E138:E139"/>
    <mergeCell ref="E180:E181"/>
    <mergeCell ref="C11:K11"/>
    <mergeCell ref="C52:K52"/>
    <mergeCell ref="C55:C56"/>
    <mergeCell ref="D221:D222"/>
    <mergeCell ref="C221:C222"/>
    <mergeCell ref="C94:K94"/>
    <mergeCell ref="K138:K139"/>
    <mergeCell ref="H55:H56"/>
    <mergeCell ref="E221:E222"/>
    <mergeCell ref="C138:C139"/>
    <mergeCell ref="I96:I97"/>
    <mergeCell ref="D180:D181"/>
    <mergeCell ref="F180:F181"/>
    <mergeCell ref="F96:F97"/>
    <mergeCell ref="H96:H97"/>
    <mergeCell ref="D13:D14"/>
    <mergeCell ref="D2:K4"/>
    <mergeCell ref="A7:C8"/>
    <mergeCell ref="F13:F14"/>
    <mergeCell ref="G221:G222"/>
    <mergeCell ref="H13:H14"/>
    <mergeCell ref="D8:D9"/>
    <mergeCell ref="J138:J139"/>
    <mergeCell ref="H8:H9"/>
    <mergeCell ref="J8:J9"/>
    <mergeCell ref="E13:E14"/>
    <mergeCell ref="G13:G14"/>
    <mergeCell ref="D55:D56"/>
    <mergeCell ref="I138:I139"/>
    <mergeCell ref="H221:H222"/>
    <mergeCell ref="E55:E56"/>
    <mergeCell ref="D263:D264"/>
    <mergeCell ref="F263:F264"/>
    <mergeCell ref="J55:J56"/>
    <mergeCell ref="F138:F139"/>
    <mergeCell ref="H138:H139"/>
    <mergeCell ref="G180:G181"/>
    <mergeCell ref="C219:K219"/>
    <mergeCell ref="I221:I222"/>
    <mergeCell ref="J221:J222"/>
    <mergeCell ref="C260:K260"/>
    <mergeCell ref="J263:J264"/>
    <mergeCell ref="C180:C181"/>
    <mergeCell ref="G263:G264"/>
    <mergeCell ref="H263:H264"/>
    <mergeCell ref="G138:G139"/>
    <mergeCell ref="C177:K177"/>
    <mergeCell ref="E8:E9"/>
    <mergeCell ref="H180:H181"/>
    <mergeCell ref="G8:G9"/>
    <mergeCell ref="J180:J181"/>
    <mergeCell ref="F221:F222"/>
    <mergeCell ref="F55:F56"/>
  </mergeCells>
  <pageMargins left="0.7" right="0.7" top="0.75" bottom="0.75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V277"/>
  <sheetViews>
    <sheetView showGridLines="0" zoomScaleNormal="100" workbookViewId="0">
      <pane xSplit="3" ySplit="7" topLeftCell="D6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99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15" customHeight="1" x14ac:dyDescent="0.25">
      <c r="A5" s="165" t="s">
        <v>21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8" customHeight="1" x14ac:dyDescent="0.2">
      <c r="D9" s="155" t="s">
        <v>164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6" t="s">
        <v>120</v>
      </c>
      <c r="D11" s="180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81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455.738188655*Deflactores!$A$5</f>
        <v>1697.038205971327</v>
      </c>
      <c r="E13" s="56">
        <f>688.656358711*Deflactores!$B$5</f>
        <v>2382.1635104653833</v>
      </c>
      <c r="F13" s="56">
        <f>720.871962867*Deflactores!$C$5</f>
        <v>2330.6469057182458</v>
      </c>
      <c r="G13" s="56">
        <f>506.90501138*Deflactores!$D$5</f>
        <v>1538.9714104276227</v>
      </c>
      <c r="H13" s="56">
        <f>593.296833227*Deflactores!$E$5</f>
        <v>1707.4026782178339</v>
      </c>
      <c r="I13" s="56">
        <f>638.740973397*Deflactores!$F$5</f>
        <v>1753.0684513178114</v>
      </c>
      <c r="J13" s="56">
        <f>962.426747364*Deflactores!$G$5</f>
        <v>2528.23329775497</v>
      </c>
      <c r="K13" s="56">
        <f>1356.724748*Deflactores!$H$5</f>
        <v>3372.0109818511528</v>
      </c>
      <c r="L13" s="56">
        <f>1821.104755*Deflactores!$I$5</f>
        <v>4203.5848359194661</v>
      </c>
      <c r="M13" s="56">
        <f>1568.8600562*Deflactores!$J$5</f>
        <v>3550.2687064427337</v>
      </c>
      <c r="N13" s="56">
        <f>1611.279520914*Deflactores!$K$5</f>
        <v>3534.1854162911286</v>
      </c>
      <c r="O13" s="56">
        <f>1683.930292593*Deflactores!$L$5</f>
        <v>3560.8366680256722</v>
      </c>
      <c r="P13" s="56">
        <f>2205.756639696*Deflactores!$M$5</f>
        <v>4553.1920538665481</v>
      </c>
      <c r="Q13" s="56">
        <f>3674.477554233*Deflactores!$N$5</f>
        <v>7440.6237412590763</v>
      </c>
      <c r="R13" s="56">
        <f>3358.734289103*Deflactores!$O$5</f>
        <v>6561.1231332425932</v>
      </c>
      <c r="S13" s="56">
        <f>3740.406298941*Deflactores!$P$5</f>
        <v>6843.4023921157632</v>
      </c>
      <c r="T13" s="56">
        <f>2540.32211847*Deflactores!$Q$5</f>
        <v>4395.0286568570855</v>
      </c>
      <c r="U13" s="56">
        <f>2789.005206724*Deflactores!$R$5</f>
        <v>4635.6777473921275</v>
      </c>
      <c r="V13" s="56">
        <f>2363.434131647*Deflactores!$S$5</f>
        <v>3807.2543589990091</v>
      </c>
    </row>
    <row r="14" spans="1:22" x14ac:dyDescent="0.2">
      <c r="C14" s="88" t="s">
        <v>124</v>
      </c>
      <c r="D14" s="57">
        <f>141.754085656*Deflactores!$A$5</f>
        <v>527.85152791501707</v>
      </c>
      <c r="E14" s="57">
        <f>158.782401862*Deflactores!$B$5</f>
        <v>549.25165365160137</v>
      </c>
      <c r="F14" s="57">
        <f>168.623796102*Deflactores!$C$5</f>
        <v>545.17660397356747</v>
      </c>
      <c r="G14" s="57">
        <f>202.204890327*Deflactores!$D$5</f>
        <v>613.89715681588518</v>
      </c>
      <c r="H14" s="57">
        <f>328.913985645*Deflactores!$E$5</f>
        <v>946.55590345736277</v>
      </c>
      <c r="I14" s="57">
        <f>304.415347659*Deflactores!$F$5</f>
        <v>835.48881988857056</v>
      </c>
      <c r="J14" s="57">
        <f>427.603708801*Deflactores!$G$5</f>
        <v>1123.2874998488912</v>
      </c>
      <c r="K14" s="57">
        <f>507.585384708*Deflactores!$H$5</f>
        <v>1261.5554437151891</v>
      </c>
      <c r="L14" s="57">
        <f>1453.038795815*Deflactores!$I$5</f>
        <v>3353.9925868188811</v>
      </c>
      <c r="M14" s="57">
        <f>1696.060434788*Deflactores!$J$5</f>
        <v>3838.1181687092876</v>
      </c>
      <c r="N14" s="57">
        <f>1888.831576732*Deflactores!$K$5</f>
        <v>4142.9689421794046</v>
      </c>
      <c r="O14" s="57">
        <f>1367.054614615*Deflactores!$L$5</f>
        <v>2890.771797577811</v>
      </c>
      <c r="P14" s="57">
        <f>371.281383759*Deflactores!$M$5</f>
        <v>766.41068006171531</v>
      </c>
      <c r="Q14" s="57">
        <f>501.449179*Deflactores!$N$5</f>
        <v>1015.4082073529199</v>
      </c>
      <c r="R14" s="57">
        <f>520.549805143*Deflactores!$O$5</f>
        <v>1016.8685804082443</v>
      </c>
      <c r="S14" s="57">
        <f>643.464246784*Deflactores!$P$5</f>
        <v>1177.2744492835784</v>
      </c>
      <c r="T14" s="57">
        <f>613.207957371*Deflactores!$Q$5</f>
        <v>1060.915277500927</v>
      </c>
      <c r="U14" s="57">
        <f>638.954831541*Deflactores!$R$5</f>
        <v>1062.0233648263741</v>
      </c>
      <c r="V14" s="57">
        <f>591.536265093*Deflactores!$S$5</f>
        <v>952.90534803772277</v>
      </c>
    </row>
    <row r="15" spans="1:22" x14ac:dyDescent="0.2">
      <c r="C15" s="87" t="s">
        <v>125</v>
      </c>
      <c r="D15" s="56">
        <f>38.609903136*Deflactores!$A$5</f>
        <v>143.77219724337289</v>
      </c>
      <c r="E15" s="56">
        <f>67.628036761*Deflactores!$B$5</f>
        <v>233.93531391768221</v>
      </c>
      <c r="F15" s="56">
        <f>65.791099104*Deflactores!$C$5</f>
        <v>212.70881578013365</v>
      </c>
      <c r="G15" s="56">
        <f>45.520443106*Deflactores!$D$5</f>
        <v>138.20076534539305</v>
      </c>
      <c r="H15" s="56">
        <f>65.656223646*Deflactores!$E$5</f>
        <v>188.94692473768612</v>
      </c>
      <c r="I15" s="56">
        <f>57.36848938*Deflactores!$F$5</f>
        <v>157.4517574737304</v>
      </c>
      <c r="J15" s="56">
        <f>82.823859789*Deflactores!$G$5</f>
        <v>217.57296411457915</v>
      </c>
      <c r="K15" s="56">
        <f>79.906484652*Deflactores!$H$5</f>
        <v>198.60000649716503</v>
      </c>
      <c r="L15" s="56">
        <f>134.718664815*Deflactores!$I$5</f>
        <v>310.96582169522219</v>
      </c>
      <c r="M15" s="56">
        <f>187.005526702*Deflactores!$J$5</f>
        <v>423.18616422044619</v>
      </c>
      <c r="N15" s="56">
        <f>356.685774659*Deflactores!$K$5</f>
        <v>782.35566618712357</v>
      </c>
      <c r="O15" s="56">
        <f>379.576836664*Deflactores!$L$5</f>
        <v>802.65265389642957</v>
      </c>
      <c r="P15" s="56">
        <f>425.192068809*Deflactores!$M$5</f>
        <v>877.69480740859808</v>
      </c>
      <c r="Q15" s="56">
        <f>430.150279571*Deflactores!$N$5</f>
        <v>871.03168688515586</v>
      </c>
      <c r="R15" s="56">
        <f>376.768072066*Deflactores!$O$5</f>
        <v>735.99799826965034</v>
      </c>
      <c r="S15" s="56">
        <f>354.686305279*Deflactores!$P$5</f>
        <v>648.92979960070841</v>
      </c>
      <c r="T15" s="56">
        <f>306.516490806*Deflactores!$Q$5</f>
        <v>530.30627537227826</v>
      </c>
      <c r="U15" s="56">
        <f>380.331423347*Deflactores!$R$5</f>
        <v>632.15870360981307</v>
      </c>
      <c r="V15" s="56">
        <f>334.7780418*Deflactores!$S$5</f>
        <v>539.29370904531436</v>
      </c>
    </row>
    <row r="16" spans="1:22" x14ac:dyDescent="0.2">
      <c r="C16" s="88" t="s">
        <v>126</v>
      </c>
      <c r="D16" s="57">
        <f>214.734864607*Deflactores!$A$5</f>
        <v>799.61100136821062</v>
      </c>
      <c r="E16" s="57">
        <f>256.846264677*Deflactores!$B$5</f>
        <v>888.46896100417894</v>
      </c>
      <c r="F16" s="57">
        <f>246.5010408359*Deflactores!$C$5</f>
        <v>796.96106614499183</v>
      </c>
      <c r="G16" s="57">
        <f>173.066511164*Deflactores!$D$5</f>
        <v>525.43258954720523</v>
      </c>
      <c r="H16" s="57">
        <f>155.500001214*Deflactores!$E$5</f>
        <v>447.50132423861641</v>
      </c>
      <c r="I16" s="57">
        <f>172.880426508*Deflactores!$F$5</f>
        <v>474.48219886337694</v>
      </c>
      <c r="J16" s="57">
        <f>261.330176922*Deflactores!$G$5</f>
        <v>686.49760286900334</v>
      </c>
      <c r="K16" s="57">
        <f>277.600862522*Deflactores!$H$5</f>
        <v>689.95067597568141</v>
      </c>
      <c r="L16" s="57">
        <f>231.294047117*Deflactores!$I$5</f>
        <v>533.88699712634798</v>
      </c>
      <c r="M16" s="57">
        <f>375.116215247*Deflactores!$J$5</f>
        <v>848.87326629781069</v>
      </c>
      <c r="N16" s="57">
        <f>347.961101417*Deflactores!$K$5</f>
        <v>763.2189412839914</v>
      </c>
      <c r="O16" s="57">
        <f>463.304158736*Deflactores!$L$5</f>
        <v>979.70233336414844</v>
      </c>
      <c r="P16" s="57">
        <f>640.802237458*Deflactores!$M$5</f>
        <v>1322.7640815787327</v>
      </c>
      <c r="Q16" s="57">
        <f>873.405035178*Deflactores!$N$5</f>
        <v>1768.5992483459765</v>
      </c>
      <c r="R16" s="57">
        <f>676.451146678*Deflactores!$O$5</f>
        <v>1321.4142248099099</v>
      </c>
      <c r="S16" s="57">
        <f>633.200714703*Deflactores!$P$5</f>
        <v>1158.4964143908028</v>
      </c>
      <c r="T16" s="57">
        <f>585.079948296*Deflactores!$Q$5</f>
        <v>1012.2508167830799</v>
      </c>
      <c r="U16" s="57">
        <f>683.510776887*Deflactores!$R$5</f>
        <v>1136.0809549149508</v>
      </c>
      <c r="V16" s="57">
        <f>523.301240706*Deflactores!$S$5</f>
        <v>842.98559586220028</v>
      </c>
    </row>
    <row r="17" spans="3:22" x14ac:dyDescent="0.2">
      <c r="C17" s="87" t="s">
        <v>127</v>
      </c>
      <c r="D17" s="56">
        <f>194.10744778*Deflactores!$A$5</f>
        <v>722.80042170354602</v>
      </c>
      <c r="E17" s="56">
        <f>222.859320268*Deflactores!$B$5</f>
        <v>770.90312750940416</v>
      </c>
      <c r="F17" s="56">
        <f>196.468797251*Deflactores!$C$5</f>
        <v>635.20211351001103</v>
      </c>
      <c r="G17" s="56">
        <f>230.374907985*Deflactores!$D$5</f>
        <v>699.42176366259855</v>
      </c>
      <c r="H17" s="56">
        <f>230.193360479*Deflactores!$E$5</f>
        <v>662.4555166628212</v>
      </c>
      <c r="I17" s="56">
        <f>252.557433626*Deflactores!$F$5</f>
        <v>693.16121475793886</v>
      </c>
      <c r="J17" s="56">
        <f>301.754682913*Deflactores!$G$5</f>
        <v>792.69018570366063</v>
      </c>
      <c r="K17" s="56">
        <f>290.367705615*Deflactores!$H$5</f>
        <v>721.68145642811146</v>
      </c>
      <c r="L17" s="56">
        <f>321.209*Deflactores!$I$5</f>
        <v>741.43416398957004</v>
      </c>
      <c r="M17" s="56">
        <f>349.769350642*Deflactores!$J$5</f>
        <v>791.5143069324123</v>
      </c>
      <c r="N17" s="56">
        <f>379.682733535*Deflactores!$K$5</f>
        <v>832.79726593668306</v>
      </c>
      <c r="O17" s="56">
        <f>403.797018673*Deflactores!$L$5</f>
        <v>853.86861727879739</v>
      </c>
      <c r="P17" s="56">
        <f>427.242213704*Deflactores!$M$5</f>
        <v>881.9267808172674</v>
      </c>
      <c r="Q17" s="56">
        <f>467.87731726*Deflactores!$N$5</f>
        <v>947.42695347013409</v>
      </c>
      <c r="R17" s="56">
        <f>471.858594278*Deflactores!$O$5</f>
        <v>921.7526818304907</v>
      </c>
      <c r="S17" s="56">
        <f>476.201646874*Deflactores!$P$5</f>
        <v>871.25280755453082</v>
      </c>
      <c r="T17" s="56">
        <f>514.24660542*Deflactores!$Q$5</f>
        <v>889.70156622248419</v>
      </c>
      <c r="U17" s="56">
        <f>555.652081499*Deflactores!$R$5</f>
        <v>923.56370769297564</v>
      </c>
      <c r="V17" s="56">
        <f>587.450488892*Deflactores!$S$5</f>
        <v>946.32357406617075</v>
      </c>
    </row>
    <row r="18" spans="3:22" x14ac:dyDescent="0.2">
      <c r="C18" s="88" t="s">
        <v>128</v>
      </c>
      <c r="D18" s="57">
        <f>64.452734219*Deflactores!$A$5</f>
        <v>240.00348263937067</v>
      </c>
      <c r="E18" s="57">
        <f>67.700896713*Deflactores!$B$5</f>
        <v>234.18734719499562</v>
      </c>
      <c r="F18" s="57">
        <f>66.492568195*Deflactores!$C$5</f>
        <v>214.9767313748726</v>
      </c>
      <c r="G18" s="57">
        <f>66.093887351*Deflactores!$D$5</f>
        <v>200.66205847975195</v>
      </c>
      <c r="H18" s="57">
        <f>95.719740217*Deflactores!$E$5</f>
        <v>275.46437407376266</v>
      </c>
      <c r="I18" s="57">
        <f>104.982476796*Deflactores!$F$5</f>
        <v>288.13161465670305</v>
      </c>
      <c r="J18" s="57">
        <f>121.999896268*Deflactores!$G$5</f>
        <v>320.48589766671665</v>
      </c>
      <c r="K18" s="57">
        <f>142.160524984*Deflactores!$H$5</f>
        <v>353.32653298941159</v>
      </c>
      <c r="L18" s="57">
        <f>178.160154088*Deflactores!$I$5</f>
        <v>411.24011127486858</v>
      </c>
      <c r="M18" s="57">
        <f>190.016189859*Deflactores!$J$5</f>
        <v>429.99917673210814</v>
      </c>
      <c r="N18" s="57">
        <f>211.538376109*Deflactores!$K$5</f>
        <v>463.98891944350521</v>
      </c>
      <c r="O18" s="57">
        <f>232.782855763*Deflactores!$L$5</f>
        <v>492.24230488320109</v>
      </c>
      <c r="P18" s="57">
        <f>338.227629390999*Deflactores!$M$5</f>
        <v>698.18008334476247</v>
      </c>
      <c r="Q18" s="57">
        <f>404.618187454*Deflactores!$N$5</f>
        <v>819.33054353460989</v>
      </c>
      <c r="R18" s="57">
        <f>381.624068357*Deflactores!$O$5</f>
        <v>745.48394948144721</v>
      </c>
      <c r="S18" s="57">
        <f>424.032872088*Deflactores!$P$5</f>
        <v>775.80544445246892</v>
      </c>
      <c r="T18" s="57">
        <f>361.474432442*Deflactores!$Q$5</f>
        <v>625.3893857604902</v>
      </c>
      <c r="U18" s="57">
        <f>390.713544183*Deflactores!$R$5</f>
        <v>649.41509539214087</v>
      </c>
      <c r="V18" s="57">
        <f>390.440499395*Deflactores!$S$5</f>
        <v>628.96032233209144</v>
      </c>
    </row>
    <row r="19" spans="3:22" x14ac:dyDescent="0.2">
      <c r="C19" s="87" t="s">
        <v>129</v>
      </c>
      <c r="D19" s="56">
        <f>5980.370545903*Deflactores!$A$5</f>
        <v>22269.183392805073</v>
      </c>
      <c r="E19" s="56">
        <f>7061.971897664*Deflactores!$B$5</f>
        <v>24428.3982188669</v>
      </c>
      <c r="F19" s="56">
        <f>7951.35409901*Deflactores!$C$5</f>
        <v>25707.476197887365</v>
      </c>
      <c r="G19" s="56">
        <f>8936.93231553879*Deflactores!$D$5</f>
        <v>27132.663954333089</v>
      </c>
      <c r="H19" s="56">
        <f>10165.2618684976*Deflactores!$E$5</f>
        <v>29253.814224249891</v>
      </c>
      <c r="I19" s="56">
        <f>10926.169855527*Deflactores!$F$5</f>
        <v>29987.623254534803</v>
      </c>
      <c r="J19" s="56">
        <f>12211.9767889266*Deflactores!$G$5</f>
        <v>32080.079272254367</v>
      </c>
      <c r="K19" s="56">
        <f>13648.2202567938*Deflactores!$H$5</f>
        <v>33921.359993229853</v>
      </c>
      <c r="L19" s="56">
        <f>17387.4611230924*Deflactores!$I$5</f>
        <v>40134.79604152176</v>
      </c>
      <c r="M19" s="56">
        <f>19036.6297614989*Deflactores!$J$5</f>
        <v>43079.145683705348</v>
      </c>
      <c r="N19" s="56">
        <f>19295.46598281*Deflactores!$K$5</f>
        <v>42322.733946438857</v>
      </c>
      <c r="O19" s="56">
        <f>20063.499561601*Deflactores!$L$5</f>
        <v>42426.24842733518</v>
      </c>
      <c r="P19" s="56">
        <f>21903.797645106*Deflactores!$M$5</f>
        <v>45214.506257110326</v>
      </c>
      <c r="Q19" s="56">
        <f>24346.843120402*Deflactores!$N$5</f>
        <v>49301.076485739279</v>
      </c>
      <c r="R19" s="56">
        <f>25061.1486111133*Deflactores!$O$5</f>
        <v>48955.727885792141</v>
      </c>
      <c r="S19" s="56">
        <f>25095.3540820923*Deflactores!$P$5</f>
        <v>45914.158096944077</v>
      </c>
      <c r="T19" s="56">
        <f>26673.2747837519*Deflactores!$Q$5</f>
        <v>46147.614979402264</v>
      </c>
      <c r="U19" s="56">
        <f>27779.9102264464*Deflactores!$R$5</f>
        <v>46173.70786932078</v>
      </c>
      <c r="V19" s="56">
        <f>29378.099361864*Deflactores!$S$5</f>
        <v>47325.15933355764</v>
      </c>
    </row>
    <row r="20" spans="3:22" x14ac:dyDescent="0.2">
      <c r="C20" s="88" t="s">
        <v>130</v>
      </c>
      <c r="D20" s="57">
        <f>30.973297078*Deflactores!$A$5</f>
        <v>115.33566818570227</v>
      </c>
      <c r="E20" s="57">
        <f>65.154537301*Deflactores!$B$5</f>
        <v>225.37911592105473</v>
      </c>
      <c r="F20" s="57">
        <f>22.081202718*Deflactores!$C$5</f>
        <v>71.390606709917179</v>
      </c>
      <c r="G20" s="57">
        <f>25.806357975*Deflactores!$D$5</f>
        <v>78.348499697536909</v>
      </c>
      <c r="H20" s="57">
        <f>74.551895187*Deflactores!$E$5</f>
        <v>214.54708398855865</v>
      </c>
      <c r="I20" s="57">
        <f>59.030885363*Deflactores!$F$5</f>
        <v>162.01431737323981</v>
      </c>
      <c r="J20" s="57">
        <f>79.789790708*Deflactores!$G$5</f>
        <v>209.60265936226139</v>
      </c>
      <c r="K20" s="57">
        <f>67.887271097*Deflactores!$H$5</f>
        <v>168.72738851741673</v>
      </c>
      <c r="L20" s="57">
        <f>137.078682211*Deflactores!$I$5</f>
        <v>316.41335748968652</v>
      </c>
      <c r="M20" s="57">
        <f>127.739831448*Deflactores!$J$5</f>
        <v>289.07022290730674</v>
      </c>
      <c r="N20" s="57">
        <f>139.148157274*Deflactores!$K$5</f>
        <v>305.20799262848885</v>
      </c>
      <c r="O20" s="57">
        <f>169.170921184*Deflactores!$L$5</f>
        <v>357.7285959907984</v>
      </c>
      <c r="P20" s="57">
        <f>331.976815894*Deflactores!$M$5</f>
        <v>685.27695802597839</v>
      </c>
      <c r="Q20" s="57">
        <f>388.716914916*Deflactores!$N$5</f>
        <v>787.13130317561672</v>
      </c>
      <c r="R20" s="57">
        <f>352.960951687*Deflactores!$O$5</f>
        <v>689.49195319150158</v>
      </c>
      <c r="S20" s="57">
        <f>436.371406503*Deflactores!$P$5</f>
        <v>798.37987866693379</v>
      </c>
      <c r="T20" s="57">
        <f>408.787614975999*Deflactores!$Q$5</f>
        <v>707.24624618466214</v>
      </c>
      <c r="U20" s="57">
        <f>590.46427808*Deflactores!$R$5</f>
        <v>981.42596074267101</v>
      </c>
      <c r="V20" s="57">
        <f>569.193689811*Deflactores!$S$5</f>
        <v>916.91370943242782</v>
      </c>
    </row>
    <row r="21" spans="3:22" x14ac:dyDescent="0.2">
      <c r="C21" s="87" t="s">
        <v>131</v>
      </c>
      <c r="D21" s="56">
        <f>5086.576529057*Deflactores!$A$5</f>
        <v>18940.951015938183</v>
      </c>
      <c r="E21" s="56">
        <f>7595.5141733525*Deflactores!$B$5</f>
        <v>26273.999329433547</v>
      </c>
      <c r="F21" s="56">
        <f>8542.71265028*Deflactores!$C$5</f>
        <v>27619.394053876633</v>
      </c>
      <c r="G21" s="56">
        <f>9954.541638656*Deflactores!$D$5</f>
        <v>30222.141509503654</v>
      </c>
      <c r="H21" s="56">
        <f>11352.893065047*Deflactores!$E$5</f>
        <v>32671.605407618055</v>
      </c>
      <c r="I21" s="56">
        <f>12417.362844538*Deflactores!$F$5</f>
        <v>34080.304783885666</v>
      </c>
      <c r="J21" s="56">
        <f>13338.713873*Deflactores!$G$5</f>
        <v>35039.945279274558</v>
      </c>
      <c r="K21" s="56">
        <f>14313.604549264*Deflactores!$H$5</f>
        <v>35575.109690556645</v>
      </c>
      <c r="L21" s="56">
        <f>16223.97909579*Deflactores!$I$5</f>
        <v>37449.176011479503</v>
      </c>
      <c r="M21" s="56">
        <f>18797.361569996*Deflactores!$J$5</f>
        <v>42537.691161115596</v>
      </c>
      <c r="N21" s="56">
        <f>20847.124970238*Deflactores!$K$5</f>
        <v>45726.147502712673</v>
      </c>
      <c r="O21" s="56">
        <f>21759.051058952*Deflactores!$L$5</f>
        <v>46011.659278871266</v>
      </c>
      <c r="P21" s="56">
        <f>23358.473296529*Deflactores!$M$5</f>
        <v>48217.293372340406</v>
      </c>
      <c r="Q21" s="56">
        <f>25250.242525133*Deflactores!$N$5</f>
        <v>51130.412754493242</v>
      </c>
      <c r="R21" s="56">
        <f>26913.596242172*Deflactores!$O$5</f>
        <v>52574.393716159328</v>
      </c>
      <c r="S21" s="56">
        <f>29042.756408198*Deflactores!$P$5</f>
        <v>53136.27793156293</v>
      </c>
      <c r="T21" s="56">
        <f>31586.97004403*Deflactores!$Q$5</f>
        <v>54648.832727721499</v>
      </c>
      <c r="U21" s="56">
        <f>35566.568035739*Deflactores!$R$5</f>
        <v>59116.113371494139</v>
      </c>
      <c r="V21" s="56">
        <f>38219.982019598*Deflactores!$S$5</f>
        <v>61568.541808091279</v>
      </c>
    </row>
    <row r="22" spans="3:22" x14ac:dyDescent="0.2">
      <c r="C22" s="88" t="s">
        <v>132</v>
      </c>
      <c r="D22" s="57">
        <f>7.672202772*Deflactores!$A$5</f>
        <v>28.569081003434309</v>
      </c>
      <c r="E22" s="57">
        <f>7.746850265*Deflactores!$B$5</f>
        <v>26.797493102167898</v>
      </c>
      <c r="F22" s="57">
        <f>7.252446*Deflactores!$C$5</f>
        <v>23.447840531297278</v>
      </c>
      <c r="G22" s="57">
        <f>7.789121*Deflactores!$D$5</f>
        <v>23.647891147746446</v>
      </c>
      <c r="H22" s="57">
        <f>9.3371408*Deflactores!$E$5</f>
        <v>26.870629196022318</v>
      </c>
      <c r="I22" s="57">
        <f>15.84961325*Deflactores!$F$5</f>
        <v>43.500351647073892</v>
      </c>
      <c r="J22" s="57">
        <f>10.4826395*Deflactores!$G$5</f>
        <v>27.537221201353372</v>
      </c>
      <c r="K22" s="57">
        <f>12.935244057*Deflactores!$H$5</f>
        <v>32.14932511360724</v>
      </c>
      <c r="L22" s="57">
        <f>13.375459135*Deflactores!$I$5</f>
        <v>30.874048864556666</v>
      </c>
      <c r="M22" s="57">
        <f>12.74252132*Deflactores!$J$5</f>
        <v>28.835825416545752</v>
      </c>
      <c r="N22" s="57">
        <f>17.406935529*Deflactores!$K$5</f>
        <v>38.180425488195119</v>
      </c>
      <c r="O22" s="57">
        <f>18.3252*Deflactores!$L$5</f>
        <v>38.750442578251949</v>
      </c>
      <c r="P22" s="57">
        <f>26.653168342*Deflactores!$M$5</f>
        <v>55.018306245192768</v>
      </c>
      <c r="Q22" s="57">
        <f>25.337871*Deflactores!$N$5</f>
        <v>51.30785580616044</v>
      </c>
      <c r="R22" s="57">
        <f>29.725475093*Deflactores!$O$5</f>
        <v>58.067261501473268</v>
      </c>
      <c r="S22" s="57">
        <f>29.4370307*Deflactores!$P$5</f>
        <v>53.857637435323646</v>
      </c>
      <c r="T22" s="57">
        <f>37.025740029*Deflactores!$Q$5</f>
        <v>64.058485845411184</v>
      </c>
      <c r="U22" s="57">
        <f>44.390362981*Deflactores!$R$5</f>
        <v>73.78237135361681</v>
      </c>
      <c r="V22" s="57">
        <f>47.022288195*Deflactores!$S$5</f>
        <v>75.748170555429937</v>
      </c>
    </row>
    <row r="23" spans="3:22" x14ac:dyDescent="0.2">
      <c r="C23" s="87" t="s">
        <v>133</v>
      </c>
      <c r="D23" s="56">
        <f>646.73614742*Deflactores!$A$5</f>
        <v>2408.2597830863238</v>
      </c>
      <c r="E23" s="56">
        <f>671.89234715926*Deflactores!$B$5</f>
        <v>2324.1743318243507</v>
      </c>
      <c r="F23" s="56">
        <f>704.291536403*Deflactores!$C$5</f>
        <v>2277.0408263804925</v>
      </c>
      <c r="G23" s="56">
        <f>736.324701127*Deflactores!$D$5</f>
        <v>2235.4931168290018</v>
      </c>
      <c r="H23" s="56">
        <f>790.249672665*Deflactores!$E$5</f>
        <v>2274.1978921919253</v>
      </c>
      <c r="I23" s="56">
        <f>872.18742914984*Deflactores!$F$5</f>
        <v>2393.778275326395</v>
      </c>
      <c r="J23" s="56">
        <f>960.335895626839*Deflactores!$G$5</f>
        <v>2522.740764430187</v>
      </c>
      <c r="K23" s="56">
        <f>1102.68951795731*Deflactores!$H$5</f>
        <v>2740.6304555183092</v>
      </c>
      <c r="L23" s="56">
        <f>1285.310836764*Deflactores!$I$5</f>
        <v>2966.8327030775945</v>
      </c>
      <c r="M23" s="56">
        <f>1476.083018265*Deflactores!$J$5</f>
        <v>3340.3179124535654</v>
      </c>
      <c r="N23" s="56">
        <f>1622.376020744*Deflactores!$K$5</f>
        <v>3558.5245128675051</v>
      </c>
      <c r="O23" s="56">
        <f>1719.263298757*Deflactores!$L$5</f>
        <v>3635.551793998382</v>
      </c>
      <c r="P23" s="56">
        <f>2042.359144413*Deflactores!$M$5</f>
        <v>4215.9018180557705</v>
      </c>
      <c r="Q23" s="56">
        <f>2281.172278269*Deflactores!$N$5</f>
        <v>4619.2538561127076</v>
      </c>
      <c r="R23" s="56">
        <f>2691.94951866*Deflactores!$O$5</f>
        <v>5258.5917015538462</v>
      </c>
      <c r="S23" s="56">
        <f>3010.325122613*Deflactores!$P$5</f>
        <v>5507.6546499690667</v>
      </c>
      <c r="T23" s="56">
        <f>3237.826559844*Deflactores!$Q$5</f>
        <v>5601.7858573849298</v>
      </c>
      <c r="U23" s="56">
        <f>3431.213745381*Deflactores!$R$5</f>
        <v>5703.1091830380938</v>
      </c>
      <c r="V23" s="56">
        <f>3718.060736557*Deflactores!$S$5</f>
        <v>5989.4213918350779</v>
      </c>
    </row>
    <row r="24" spans="3:22" x14ac:dyDescent="0.2">
      <c r="C24" s="88" t="s">
        <v>134</v>
      </c>
      <c r="D24" s="57">
        <f>7234.51836845699*Deflactores!$A$5</f>
        <v>26939.269911319436</v>
      </c>
      <c r="E24" s="57">
        <f>7119.861887615*Deflactores!$B$5</f>
        <v>24628.648198320519</v>
      </c>
      <c r="F24" s="57">
        <f>6354.59280074399*Deflactores!$C$5</f>
        <v>20544.996630540209</v>
      </c>
      <c r="G24" s="57">
        <f>5234.882392391*Deflactores!$D$5</f>
        <v>15893.18345247389</v>
      </c>
      <c r="H24" s="57">
        <f>6320.879682256*Deflactores!$E$5</f>
        <v>18190.366598581477</v>
      </c>
      <c r="I24" s="57">
        <f>7426.990659626*Deflactores!$F$5</f>
        <v>20383.885731297843</v>
      </c>
      <c r="J24" s="57">
        <f>6368.520120154*Deflactores!$G$5</f>
        <v>16729.693630497382</v>
      </c>
      <c r="K24" s="57">
        <f>7614.26300196818*Deflactores!$H$5</f>
        <v>18924.530196112872</v>
      </c>
      <c r="L24" s="57">
        <f>8119.203871584*Deflactores!$I$5</f>
        <v>18741.240546774105</v>
      </c>
      <c r="M24" s="57">
        <f>8548.377456691*Deflactores!$J$5</f>
        <v>19344.642535459934</v>
      </c>
      <c r="N24" s="57">
        <f>9324.200849585*Deflactores!$K$5</f>
        <v>20451.730586434674</v>
      </c>
      <c r="O24" s="57">
        <f>8391.939204828*Deflactores!$L$5</f>
        <v>17745.583037394885</v>
      </c>
      <c r="P24" s="57">
        <f>10022.891743639*Deflactores!$M$5</f>
        <v>20689.567571784057</v>
      </c>
      <c r="Q24" s="57">
        <f>14136.966373534*Deflactores!$N$5</f>
        <v>28626.613192158937</v>
      </c>
      <c r="R24" s="57">
        <f>17244.513129212*Deflactores!$O$5</f>
        <v>33686.312841315914</v>
      </c>
      <c r="S24" s="57">
        <f>17969.9765381118*Deflactores!$P$5</f>
        <v>32877.653013790477</v>
      </c>
      <c r="T24" s="57">
        <f>18457.1193863881*Deflactores!$Q$5</f>
        <v>31932.788380028487</v>
      </c>
      <c r="U24" s="57">
        <f>20972.0340867374*Deflactores!$R$5</f>
        <v>34858.160715889477</v>
      </c>
      <c r="V24" s="57">
        <f>12719.880092147*Deflactores!$S$5</f>
        <v>20490.445779008707</v>
      </c>
    </row>
    <row r="25" spans="3:22" ht="15" customHeight="1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91.182823985*Deflactores!$A$5</f>
        <v>339.53866470480165</v>
      </c>
      <c r="E26" s="57">
        <f>162.685666155*Deflactores!$B$5</f>
        <v>562.75361824231697</v>
      </c>
      <c r="F26" s="57">
        <f>128.090876663*Deflactores!$C$5</f>
        <v>414.12986039580187</v>
      </c>
      <c r="G26" s="57">
        <f>104.693809457*Deflactores!$D$5</f>
        <v>317.85201563591625</v>
      </c>
      <c r="H26" s="57">
        <f>231.810342181*Deflactores!$E$5</f>
        <v>667.10890217578196</v>
      </c>
      <c r="I26" s="57">
        <f>454.46985359612*Deflactores!$F$5</f>
        <v>1247.32371273636</v>
      </c>
      <c r="J26" s="57">
        <f>1249.823854169*Deflactores!$G$5</f>
        <v>3283.2070524775536</v>
      </c>
      <c r="K26" s="57">
        <f>1549.896292854*Deflactores!$H$5</f>
        <v>3852.1205778388867</v>
      </c>
      <c r="L26" s="57">
        <f>2180.114027916*Deflactores!$I$5</f>
        <v>5032.2718905442671</v>
      </c>
      <c r="M26" s="57">
        <f>2263.124104898*Deflactores!$J$5</f>
        <v>5121.3609886128179</v>
      </c>
      <c r="N26" s="57">
        <f>3291.944583281*Deflactores!$K$5</f>
        <v>7220.5612908619951</v>
      </c>
      <c r="O26" s="57">
        <f>3468.980784916*Deflactores!$L$5</f>
        <v>7335.5019705622226</v>
      </c>
      <c r="P26" s="57">
        <f>5554.646999644*Deflactores!$M$5</f>
        <v>11466.076595058288</v>
      </c>
      <c r="Q26" s="57">
        <f>5829.552039526*Deflactores!$N$5</f>
        <v>11804.536200318824</v>
      </c>
      <c r="R26" s="57">
        <f>8344.296453324*Deflactores!$O$5</f>
        <v>16300.17494035215</v>
      </c>
      <c r="S26" s="57">
        <f>9309.648493139*Deflactores!$P$5</f>
        <v>17032.820949355719</v>
      </c>
      <c r="T26" s="57">
        <f>8186.705893235*Deflactores!$Q$5</f>
        <v>14163.875811032711</v>
      </c>
      <c r="U26" s="57">
        <f>8555.195645408*Deflactores!$R$5</f>
        <v>14219.812133154101</v>
      </c>
      <c r="V26" s="57">
        <f>8277.382626071*Deflactores!$S$5</f>
        <v>13334.029775668141</v>
      </c>
    </row>
    <row r="27" spans="3:22" x14ac:dyDescent="0.2">
      <c r="C27" s="87" t="s">
        <v>137</v>
      </c>
      <c r="D27" s="56">
        <f>76.071230251*Deflactores!$A$5</f>
        <v>283.26742705539658</v>
      </c>
      <c r="E27" s="56">
        <f>58.400400412*Deflactores!$B$5</f>
        <v>202.01556421904243</v>
      </c>
      <c r="F27" s="56">
        <f>72.857063007*Deflactores!$C$5</f>
        <v>235.55374213979863</v>
      </c>
      <c r="G27" s="56">
        <f>56.391566805*Deflactores!$D$5</f>
        <v>171.20566408655247</v>
      </c>
      <c r="H27" s="56">
        <f>89.082159091*Deflactores!$E$5</f>
        <v>256.3625970934624</v>
      </c>
      <c r="I27" s="56">
        <f>180.703583026*Deflactores!$F$5</f>
        <v>495.95338898993083</v>
      </c>
      <c r="J27" s="56">
        <f>82.515872902*Deflactores!$G$5</f>
        <v>216.76390232871546</v>
      </c>
      <c r="K27" s="56">
        <f>126.938769178*Deflactores!$H$5</f>
        <v>315.49429928353055</v>
      </c>
      <c r="L27" s="56">
        <f>135.3266*Deflactores!$I$5</f>
        <v>312.36909469084287</v>
      </c>
      <c r="M27" s="56">
        <f>136.3426667*Deflactores!$J$5</f>
        <v>308.53810129528478</v>
      </c>
      <c r="N27" s="56">
        <f>174.264923866*Deflactores!$K$5</f>
        <v>382.23321559312063</v>
      </c>
      <c r="O27" s="56">
        <f>190.670379922*Deflactores!$L$5</f>
        <v>403.19132170677233</v>
      </c>
      <c r="P27" s="56">
        <f>276.486746913*Deflactores!$M$5</f>
        <v>570.73261682085911</v>
      </c>
      <c r="Q27" s="56">
        <f>370.18965182*Deflactores!$N$5</f>
        <v>749.61457008417551</v>
      </c>
      <c r="R27" s="56">
        <f>530.582507676*Deflactores!$O$5</f>
        <v>1036.4669740328225</v>
      </c>
      <c r="S27" s="56">
        <f>338.694615593*Deflactores!$P$5</f>
        <v>619.67159642579395</v>
      </c>
      <c r="T27" s="56">
        <f>296.777691877*Deflactores!$Q$5</f>
        <v>513.4571127935958</v>
      </c>
      <c r="U27" s="56">
        <f>329.132528071*Deflactores!$R$5</f>
        <v>547.05969449007137</v>
      </c>
      <c r="V27" s="56">
        <f>565.309800139*Deflactores!$S$5</f>
        <v>910.65715432662137</v>
      </c>
    </row>
    <row r="28" spans="3:22" x14ac:dyDescent="0.2">
      <c r="C28" s="88" t="s">
        <v>138</v>
      </c>
      <c r="D28" s="57">
        <f>149.781385021*Deflactores!$A$5</f>
        <v>557.74288670892952</v>
      </c>
      <c r="E28" s="57">
        <f>173.959276*Deflactores!$B$5</f>
        <v>601.75069082326206</v>
      </c>
      <c r="F28" s="57">
        <f>174.930272999*Deflactores!$C$5</f>
        <v>565.56603735854776</v>
      </c>
      <c r="G28" s="57">
        <f>209.766890443*Deflactores!$D$5</f>
        <v>636.85550546683226</v>
      </c>
      <c r="H28" s="57">
        <f>193.76040943*Deflactores!$E$5</f>
        <v>557.60796866884516</v>
      </c>
      <c r="I28" s="57">
        <f>230.00198296728*Deflactores!$F$5</f>
        <v>631.25623198414496</v>
      </c>
      <c r="J28" s="57">
        <f>245.736133*Deflactores!$G$5</f>
        <v>645.53305029579553</v>
      </c>
      <c r="K28" s="57">
        <f>239.609713421*Deflactores!$H$5</f>
        <v>595.52726977588782</v>
      </c>
      <c r="L28" s="57">
        <f>314.187564*Deflactores!$I$5</f>
        <v>725.22685805895696</v>
      </c>
      <c r="M28" s="57">
        <f>286.990575452*Deflactores!$J$5</f>
        <v>649.44840366395181</v>
      </c>
      <c r="N28" s="57">
        <f>297.409150286*Deflactores!$K$5</f>
        <v>652.33813746734688</v>
      </c>
      <c r="O28" s="57">
        <f>285.181654793*Deflactores!$L$5</f>
        <v>603.04473285022902</v>
      </c>
      <c r="P28" s="57">
        <f>190.63747*Deflactores!$M$5</f>
        <v>393.51984618432454</v>
      </c>
      <c r="Q28" s="57">
        <f>201.063256*Deflactores!$N$5</f>
        <v>407.14251591087202</v>
      </c>
      <c r="R28" s="57">
        <f>111.635045*Deflactores!$O$5</f>
        <v>218.07359951230021</v>
      </c>
      <c r="S28" s="57">
        <f>81.952073188*Deflactores!$P$5</f>
        <v>149.93852776164724</v>
      </c>
      <c r="T28" s="57">
        <f>94.3245*Deflactores!$Q$5</f>
        <v>163.19146203135807</v>
      </c>
      <c r="U28" s="57">
        <f>93.594885526*Deflactores!$R$5</f>
        <v>155.56648193289948</v>
      </c>
      <c r="V28" s="57">
        <f>95.960207596*Deflactores!$S$5</f>
        <v>154.58223005594147</v>
      </c>
    </row>
    <row r="29" spans="3:22" x14ac:dyDescent="0.2">
      <c r="C29" s="87" t="s">
        <v>139</v>
      </c>
      <c r="D29" s="56">
        <f>432.17962913*Deflactores!$A$5</f>
        <v>1609.3128922126418</v>
      </c>
      <c r="E29" s="56">
        <f>571.668439857*Deflactores!$B$5</f>
        <v>1977.4851132733284</v>
      </c>
      <c r="F29" s="56">
        <f>581.434288091*Deflactores!$C$5</f>
        <v>1879.8317790420126</v>
      </c>
      <c r="G29" s="56">
        <f>571.368085070099*Deflactores!$D$5</f>
        <v>1734.6822935519981</v>
      </c>
      <c r="H29" s="56">
        <f>714.218444231199*Deflactores!$E$5</f>
        <v>2055.3935504428177</v>
      </c>
      <c r="I29" s="56">
        <f>804.7403826326*Deflactores!$F$5</f>
        <v>2208.6652258924296</v>
      </c>
      <c r="J29" s="56">
        <f>1044.15154066725*Deflactores!$G$5</f>
        <v>2742.9190847484533</v>
      </c>
      <c r="K29" s="56">
        <f>1180.40220830616*Deflactores!$H$5</f>
        <v>2933.7779938615249</v>
      </c>
      <c r="L29" s="56">
        <f>1331.166112654*Deflactores!$I$5</f>
        <v>3072.678641840248</v>
      </c>
      <c r="M29" s="56">
        <f>1435.549252105*Deflactores!$J$5</f>
        <v>3248.591591177546</v>
      </c>
      <c r="N29" s="56">
        <f>2246.12635298361*Deflactores!$K$5</f>
        <v>4926.660394317485</v>
      </c>
      <c r="O29" s="56">
        <f>5722.87623010599*Deflactores!$L$5</f>
        <v>12101.586162069998</v>
      </c>
      <c r="P29" s="56">
        <f>1822.3850881899*Deflactores!$M$5</f>
        <v>3761.8244702528632</v>
      </c>
      <c r="Q29" s="56">
        <f>2325.748264452*Deflactores!$N$5</f>
        <v>4709.5178830901432</v>
      </c>
      <c r="R29" s="56">
        <f>2585.22459470939*Deflactores!$O$5</f>
        <v>5050.1097833212152</v>
      </c>
      <c r="S29" s="56">
        <f>2621.572769596*Deflactores!$P$5</f>
        <v>4796.3980190168641</v>
      </c>
      <c r="T29" s="56">
        <f>2700.396804022*Deflactores!$Q$5</f>
        <v>4671.9749642262286</v>
      </c>
      <c r="U29" s="56">
        <f>3141.835354383*Deflactores!$R$5</f>
        <v>5222.1258688114167</v>
      </c>
      <c r="V29" s="56">
        <f>3360.823951666*Deflactores!$S$5</f>
        <v>5413.9489095437066</v>
      </c>
    </row>
    <row r="30" spans="3:22" x14ac:dyDescent="0.2">
      <c r="C30" s="88" t="s">
        <v>140</v>
      </c>
      <c r="D30" s="57">
        <f>352.653071828*Deflactores!$A$5</f>
        <v>1313.178818987042</v>
      </c>
      <c r="E30" s="57">
        <f>590.909632494*Deflactores!$B$5</f>
        <v>2044.0432251936047</v>
      </c>
      <c r="F30" s="57">
        <f>405.551549983*Deflactores!$C$5</f>
        <v>1311.1863323383338</v>
      </c>
      <c r="G30" s="57">
        <f>414.015057010999*Deflactores!$D$5</f>
        <v>1256.9560803746845</v>
      </c>
      <c r="H30" s="57">
        <f>732.529757511*Deflactores!$E$5</f>
        <v>2108.0902506182861</v>
      </c>
      <c r="I30" s="57">
        <f>747.133756925*Deflactores!$F$5</f>
        <v>2050.5598869194441</v>
      </c>
      <c r="J30" s="57">
        <f>809.970841096*Deflactores!$G$5</f>
        <v>2127.7414164540137</v>
      </c>
      <c r="K30" s="57">
        <f>3882.696086*Deflactores!$H$5</f>
        <v>9650.0737238578677</v>
      </c>
      <c r="L30" s="57">
        <f>1531.26240347199*Deflactores!$I$5</f>
        <v>3534.5530790448415</v>
      </c>
      <c r="M30" s="57">
        <f>6918.246079655*Deflactores!$J$5</f>
        <v>15655.719235762179</v>
      </c>
      <c r="N30" s="57">
        <f>1159.51773373*Deflactores!$K$5</f>
        <v>2543.2897342075939</v>
      </c>
      <c r="O30" s="57">
        <f>1728.4385*Deflactores!$L$5</f>
        <v>3654.9536618585298</v>
      </c>
      <c r="P30" s="57">
        <f>2116.767573931*Deflactores!$M$5</f>
        <v>4369.4980325813849</v>
      </c>
      <c r="Q30" s="57">
        <f>2762.641484229*Deflactores!$N$5</f>
        <v>5594.2036691614148</v>
      </c>
      <c r="R30" s="57">
        <f>2387.48223166063*Deflactores!$O$5</f>
        <v>4663.8297501460493</v>
      </c>
      <c r="S30" s="57">
        <f>2592.038946229*Deflactores!$P$5</f>
        <v>4742.3632908817754</v>
      </c>
      <c r="T30" s="57">
        <f>2600.625824584*Deflactores!$Q$5</f>
        <v>4499.3605108998099</v>
      </c>
      <c r="U30" s="57">
        <f>3195.784764311*Deflactores!$R$5</f>
        <v>5311.7965795312175</v>
      </c>
      <c r="V30" s="57">
        <f>3480.9694466609*Deflactores!$S$5</f>
        <v>5607.4912018413397</v>
      </c>
    </row>
    <row r="31" spans="3:22" x14ac:dyDescent="0.2">
      <c r="C31" s="87" t="s">
        <v>141</v>
      </c>
      <c r="D31" s="56">
        <f>372.13503704*Deflactores!$A$5</f>
        <v>1385.7240656115164</v>
      </c>
      <c r="E31" s="56">
        <f>378.040739369*Deflactores!$B$5</f>
        <v>1307.6984527955412</v>
      </c>
      <c r="F31" s="56">
        <f>404.132300597*Deflactores!$C$5</f>
        <v>1306.5977654910841</v>
      </c>
      <c r="G31" s="56">
        <f>412.286651629*Deflactores!$D$5</f>
        <v>1251.7086150531559</v>
      </c>
      <c r="H31" s="56">
        <f>473.038298237*Deflactores!$E$5</f>
        <v>1361.3200207330967</v>
      </c>
      <c r="I31" s="56">
        <f>495.70422640755*Deflactores!$F$5</f>
        <v>1360.4942796739317</v>
      </c>
      <c r="J31" s="56">
        <f>547.903139651*Deflactores!$G$5</f>
        <v>1439.3063839966637</v>
      </c>
      <c r="K31" s="56">
        <f>625.505921961*Deflactores!$H$5</f>
        <v>1554.6357808941671</v>
      </c>
      <c r="L31" s="56">
        <f>715.440243308*Deflactores!$I$5</f>
        <v>1651.4227144368979</v>
      </c>
      <c r="M31" s="56">
        <f>821.265362801*Deflactores!$J$5</f>
        <v>1858.4912693232791</v>
      </c>
      <c r="N31" s="56">
        <f>959.262245955*Deflactores!$K$5</f>
        <v>2104.0487364537062</v>
      </c>
      <c r="O31" s="56">
        <f>973.929877006*Deflactores!$L$5</f>
        <v>2059.4707710783505</v>
      </c>
      <c r="P31" s="56">
        <f>1159.416188065*Deflactores!$M$5</f>
        <v>2393.303268192526</v>
      </c>
      <c r="Q31" s="56">
        <f>1292.092646431*Deflactores!$N$5</f>
        <v>2616.4196349125782</v>
      </c>
      <c r="R31" s="56">
        <f>1375.546842327*Deflactores!$O$5</f>
        <v>2687.0634683224011</v>
      </c>
      <c r="S31" s="56">
        <f>1522.982163375*Deflactores!$P$5</f>
        <v>2786.4298546767354</v>
      </c>
      <c r="T31" s="56">
        <f>1543.757187823*Deflactores!$Q$5</f>
        <v>2670.864860160968</v>
      </c>
      <c r="U31" s="56">
        <f>1756.437004832*Deflactores!$R$5</f>
        <v>2919.4194110378876</v>
      </c>
      <c r="V31" s="56">
        <f>1865.28031351*Deflactores!$S$5</f>
        <v>3004.7787282386057</v>
      </c>
    </row>
    <row r="32" spans="3:22" x14ac:dyDescent="0.2">
      <c r="C32" s="88" t="s">
        <v>142</v>
      </c>
      <c r="D32" s="57">
        <f>488.244205807*Deflactores!$A$5</f>
        <v>1818.0812837825285</v>
      </c>
      <c r="E32" s="57">
        <f>1075.06053548*Deflactores!$B$5</f>
        <v>3718.7923218415563</v>
      </c>
      <c r="F32" s="57">
        <f>874.109345131*Deflactores!$C$5</f>
        <v>2826.0777855565398</v>
      </c>
      <c r="G32" s="57">
        <f>408.708437145*Deflactores!$D$5</f>
        <v>1240.8451008490599</v>
      </c>
      <c r="H32" s="57">
        <f>309.515081722*Deflactores!$E$5</f>
        <v>890.72931100368612</v>
      </c>
      <c r="I32" s="57">
        <f>274.885335628*Deflactores!$F$5</f>
        <v>754.44167462205598</v>
      </c>
      <c r="J32" s="57">
        <f>358.6412965*Deflactores!$G$5</f>
        <v>942.12766867167966</v>
      </c>
      <c r="K32" s="57">
        <f>395.210738985*Deflactores!$H$5</f>
        <v>982.25889515721383</v>
      </c>
      <c r="L32" s="57">
        <f>604.983143195*Deflactores!$I$5</f>
        <v>1396.4589130521472</v>
      </c>
      <c r="M32" s="57">
        <f>1127.769599412*Deflactores!$J$5</f>
        <v>2552.0983219930113</v>
      </c>
      <c r="N32" s="57">
        <f>996.24535197*Deflactores!$K$5</f>
        <v>2185.1675940019109</v>
      </c>
      <c r="O32" s="57">
        <f>872.898191137*Deflactores!$L$5</f>
        <v>1845.8293078555384</v>
      </c>
      <c r="P32" s="57">
        <f>977.990004923*Deflactores!$M$5</f>
        <v>2018.7976493136725</v>
      </c>
      <c r="Q32" s="57">
        <f>591.418491013*Deflactores!$N$5</f>
        <v>1197.59133109455</v>
      </c>
      <c r="R32" s="57">
        <f>383.991211443*Deflactores!$O$5</f>
        <v>750.10804770548316</v>
      </c>
      <c r="S32" s="57">
        <f>312.460718305*Deflactores!$P$5</f>
        <v>571.67437336848934</v>
      </c>
      <c r="T32" s="57">
        <f>454.156637791*Deflactores!$Q$5</f>
        <v>785.73950259327341</v>
      </c>
      <c r="U32" s="57">
        <f>425.945606049*Deflactores!$R$5</f>
        <v>707.97521740023205</v>
      </c>
      <c r="V32" s="57">
        <f>382.145721141*Deflactores!$S$5</f>
        <v>615.5982699517848</v>
      </c>
    </row>
    <row r="33" spans="3:22" x14ac:dyDescent="0.2">
      <c r="C33" s="87" t="s">
        <v>143</v>
      </c>
      <c r="D33" s="56">
        <f>788.649173448*Deflactores!$A$5</f>
        <v>2936.7031593266952</v>
      </c>
      <c r="E33" s="56">
        <f>823.168221627*Deflactores!$B$5</f>
        <v>2847.4598044878239</v>
      </c>
      <c r="F33" s="56">
        <f>1165.51511752217*Deflactores!$C$5</f>
        <v>3768.2200753340385</v>
      </c>
      <c r="G33" s="56">
        <f>806.840237526*Deflactores!$D$5</f>
        <v>2449.579369820643</v>
      </c>
      <c r="H33" s="56">
        <f>770.955549054*Deflactores!$E$5</f>
        <v>2218.6728388251177</v>
      </c>
      <c r="I33" s="56">
        <f>675.71378415688*Deflactores!$F$5</f>
        <v>1854.542868646922</v>
      </c>
      <c r="J33" s="56">
        <f>217.030193064*Deflactores!$G$5</f>
        <v>570.1243884019666</v>
      </c>
      <c r="K33" s="56">
        <f>362.348109058*Deflactores!$H$5</f>
        <v>900.58193808120541</v>
      </c>
      <c r="L33" s="56">
        <f>355.455206463*Deflactores!$I$5</f>
        <v>820.48334212190321</v>
      </c>
      <c r="M33" s="56">
        <f>325.413780969*Deflactores!$J$5</f>
        <v>736.39860907528328</v>
      </c>
      <c r="N33" s="56">
        <f>335.653365453*Deflactores!$K$5</f>
        <v>736.22311567649126</v>
      </c>
      <c r="O33" s="56">
        <f>335.138720933*Deflactores!$L$5</f>
        <v>708.68387582471246</v>
      </c>
      <c r="P33" s="56">
        <f>882.40733118*Deflactores!$M$5</f>
        <v>1821.492895588018</v>
      </c>
      <c r="Q33" s="56">
        <f>642.579534371*Deflactores!$N$5</f>
        <v>1301.1897524261997</v>
      </c>
      <c r="R33" s="56">
        <f>694.38194128*Deflactores!$O$5</f>
        <v>1356.4411549372176</v>
      </c>
      <c r="S33" s="56">
        <f>684.3734029588*Deflactores!$P$5</f>
        <v>1252.1213495535644</v>
      </c>
      <c r="T33" s="56">
        <f>802.332245019*Deflactores!$Q$5</f>
        <v>1388.1204999714009</v>
      </c>
      <c r="U33" s="56">
        <f>1839.40135902*Deflactores!$R$5</f>
        <v>3057.3166116629882</v>
      </c>
      <c r="V33" s="56">
        <f>1480.84361935*Deflactores!$S$5</f>
        <v>2385.4899314825643</v>
      </c>
    </row>
    <row r="34" spans="3:22" x14ac:dyDescent="0.2">
      <c r="C34" s="88" t="s">
        <v>144</v>
      </c>
      <c r="D34" s="57">
        <f>707.148125699*Deflactores!$A$5</f>
        <v>2633.2166504060015</v>
      </c>
      <c r="E34" s="57">
        <f>807.420378193*Deflactores!$B$5</f>
        <v>2792.9857006441975</v>
      </c>
      <c r="F34" s="57">
        <f>831.691492484*Deflactores!$C$5</f>
        <v>2688.9368755039973</v>
      </c>
      <c r="G34" s="57">
        <f>817.380614751999*Deflactores!$D$5</f>
        <v>2481.5801171831004</v>
      </c>
      <c r="H34" s="57">
        <f>1038.009006604*Deflactores!$E$5</f>
        <v>2987.2051537005377</v>
      </c>
      <c r="I34" s="57">
        <f>1075.526495704*Deflactores!$F$5</f>
        <v>2951.856302794587</v>
      </c>
      <c r="J34" s="57">
        <f>1221.275173988*Deflactores!$G$5</f>
        <v>3208.2115018673385</v>
      </c>
      <c r="K34" s="57">
        <f>1319.399935559*Deflactores!$H$5</f>
        <v>3279.2436923680634</v>
      </c>
      <c r="L34" s="57">
        <f>1470.099221611*Deflactores!$I$5</f>
        <v>3393.3725000136033</v>
      </c>
      <c r="M34" s="57">
        <f>1687.143017745*Deflactores!$J$5</f>
        <v>3817.9384040802192</v>
      </c>
      <c r="N34" s="57">
        <f>1861.532493312*Deflactores!$K$5</f>
        <v>4083.0910493316446</v>
      </c>
      <c r="O34" s="57">
        <f>2138.20537953*Deflactores!$L$5</f>
        <v>4521.4461386498742</v>
      </c>
      <c r="P34" s="57">
        <f>2448.660531162*Deflactores!$M$5</f>
        <v>5054.6018869244153</v>
      </c>
      <c r="Q34" s="57">
        <f>2832.355980476*Deflactores!$N$5</f>
        <v>5735.371856537543</v>
      </c>
      <c r="R34" s="57">
        <f>3025.9262864*Deflactores!$O$5</f>
        <v>5910.9989800616413</v>
      </c>
      <c r="S34" s="57">
        <f>3237.784205559*Deflactores!$P$5</f>
        <v>5923.8110532939736</v>
      </c>
      <c r="T34" s="57">
        <f>3498.414218222*Deflactores!$Q$5</f>
        <v>6052.6303459115998</v>
      </c>
      <c r="U34" s="57">
        <f>3814.417756771*Deflactores!$R$5</f>
        <v>6340.042489591011</v>
      </c>
      <c r="V34" s="57">
        <f>4194.441477588*Deflactores!$S$5</f>
        <v>6756.8227881962048</v>
      </c>
    </row>
    <row r="35" spans="3:22" x14ac:dyDescent="0.2">
      <c r="C35" s="87" t="s">
        <v>145</v>
      </c>
      <c r="D35" s="56">
        <f>207.256947981*Deflactores!$A$5</f>
        <v>771.76538620736017</v>
      </c>
      <c r="E35" s="56">
        <f>181.520900897*Deflactores!$B$5</f>
        <v>627.90746216735602</v>
      </c>
      <c r="F35" s="56">
        <f>236.859709303*Deflactores!$C$5</f>
        <v>765.78973383961409</v>
      </c>
      <c r="G35" s="56">
        <f>323.871211005*Deflactores!$D$5</f>
        <v>983.27797754522771</v>
      </c>
      <c r="H35" s="56">
        <f>145.806088325*Deflactores!$E$5</f>
        <v>419.60396847646911</v>
      </c>
      <c r="I35" s="56">
        <f>197.870351064*Deflactores!$F$5</f>
        <v>543.06876237588699</v>
      </c>
      <c r="J35" s="56">
        <f>530.988684307*Deflactores!$G$5</f>
        <v>1394.8731953605247</v>
      </c>
      <c r="K35" s="56">
        <f>437.743565461*Deflactores!$H$5</f>
        <v>1087.9702107189473</v>
      </c>
      <c r="L35" s="56">
        <f>360.00672041*Deflactores!$I$5</f>
        <v>830.9894236394847</v>
      </c>
      <c r="M35" s="56">
        <f>409.941617357*Deflactores!$J$5</f>
        <v>927.68178386558532</v>
      </c>
      <c r="N35" s="56">
        <f>733.202881918*Deflactores!$K$5</f>
        <v>1608.2094377934618</v>
      </c>
      <c r="O35" s="56">
        <f>610.517509384*Deflactores!$L$5</f>
        <v>1290.9994810644407</v>
      </c>
      <c r="P35" s="56">
        <f>444.024590496*Deflactores!$M$5</f>
        <v>916.56948948201841</v>
      </c>
      <c r="Q35" s="56">
        <f>602.117920232*Deflactores!$N$5</f>
        <v>1219.2571123899347</v>
      </c>
      <c r="R35" s="56">
        <f>1135.385*Deflactores!$O$5</f>
        <v>2217.9190574274676</v>
      </c>
      <c r="S35" s="56">
        <f>884.417460096*Deflactores!$P$5</f>
        <v>1618.1195512806999</v>
      </c>
      <c r="T35" s="56">
        <f>722.56124523431*Deflactores!$Q$5</f>
        <v>1250.1081481161916</v>
      </c>
      <c r="U35" s="56">
        <f>761.182060726*Deflactores!$R$5</f>
        <v>1265.1804063020495</v>
      </c>
      <c r="V35" s="56">
        <f>1811.113463059*Deflactores!$S$5</f>
        <v>2917.5213874346523</v>
      </c>
    </row>
    <row r="36" spans="3:22" x14ac:dyDescent="0.2">
      <c r="C36" s="88" t="s">
        <v>146</v>
      </c>
      <c r="D36" s="57">
        <f>154.975282934*Deflactores!$A$5</f>
        <v>577.08347175467441</v>
      </c>
      <c r="E36" s="57">
        <f>162.722035704*Deflactores!$B$5</f>
        <v>562.87942585510382</v>
      </c>
      <c r="F36" s="57">
        <f>181.496882144*Deflactores!$C$5</f>
        <v>586.7965027854284</v>
      </c>
      <c r="G36" s="57">
        <f>184.734801701*Deflactores!$D$5</f>
        <v>560.85769906845371</v>
      </c>
      <c r="H36" s="57">
        <f>194.250093345*Deflactores!$E$5</f>
        <v>559.01719181167516</v>
      </c>
      <c r="I36" s="57">
        <f>254.780148707*Deflactores!$F$5</f>
        <v>699.26160888804509</v>
      </c>
      <c r="J36" s="57">
        <f>244.662060406*Deflactores!$G$5</f>
        <v>642.71153052424472</v>
      </c>
      <c r="K36" s="57">
        <f>247.475417019*Deflactores!$H$5</f>
        <v>615.07673178101527</v>
      </c>
      <c r="L36" s="57">
        <f>235.291210031*Deflactores!$I$5</f>
        <v>543.1134918493218</v>
      </c>
      <c r="M36" s="57">
        <f>228.353248499*Deflactores!$J$5</f>
        <v>516.75443514331528</v>
      </c>
      <c r="N36" s="57">
        <f>263.931311646*Deflactores!$K$5</f>
        <v>578.90774407209028</v>
      </c>
      <c r="O36" s="57">
        <f>261.334771092*Deflactores!$L$5</f>
        <v>552.61814555372723</v>
      </c>
      <c r="P36" s="57">
        <f>407.210364966*Deflactores!$M$5</f>
        <v>840.57641022031487</v>
      </c>
      <c r="Q36" s="57">
        <f>415.7333*Deflactores!$N$5</f>
        <v>841.83806169899754</v>
      </c>
      <c r="R36" s="57">
        <f>484.695097154*Deflactores!$O$5</f>
        <v>946.82816227052024</v>
      </c>
      <c r="S36" s="57">
        <f>603.315352475*Deflactores!$P$5</f>
        <v>1103.8185149823228</v>
      </c>
      <c r="T36" s="57">
        <f>710.980993914309*Deflactores!$Q$5</f>
        <v>1230.0730761719826</v>
      </c>
      <c r="U36" s="57">
        <f>657.704694332*Deflactores!$R$5</f>
        <v>1093.1879971107969</v>
      </c>
      <c r="V36" s="57">
        <f>656.025509491*Deflactores!$S$5</f>
        <v>1056.7910258973964</v>
      </c>
    </row>
    <row r="37" spans="3:22" x14ac:dyDescent="0.2">
      <c r="C37" s="90" t="s">
        <v>147</v>
      </c>
      <c r="D37" s="58">
        <f>5029.956092225*Deflactores!$A$5</f>
        <v>18730.112760697237</v>
      </c>
      <c r="E37" s="58">
        <f>6312.8725988095*Deflactores!$B$5</f>
        <v>21837.153699196006</v>
      </c>
      <c r="F37" s="58">
        <f>7426.29344861317*Deflactores!$C$5</f>
        <v>24009.905695499052</v>
      </c>
      <c r="G37" s="58">
        <f>8384.41182718299*Deflactores!$D$5</f>
        <v>25455.2032542698</v>
      </c>
      <c r="H37" s="58">
        <f>10992.547554606*Deflactores!$E$5</f>
        <v>31634.595170660778</v>
      </c>
      <c r="I37" s="58">
        <f>14076.834299443*Deflactores!$F$5</f>
        <v>38634.8381152683</v>
      </c>
      <c r="J37" s="58">
        <f>15978.101197695*Deflactores!$G$5</f>
        <v>41973.44638805298</v>
      </c>
      <c r="K37" s="58">
        <f>17613.186326123*Deflactores!$H$5</f>
        <v>43775.907975902352</v>
      </c>
      <c r="L37" s="58">
        <f>18738.88953473*Deflactores!$I$5</f>
        <v>43254.245355128398</v>
      </c>
      <c r="M37" s="58">
        <f>21984.662599293*Deflactores!$J$5</f>
        <v>49750.428242161724</v>
      </c>
      <c r="N37" s="58">
        <f>25066.00579285*Deflactores!$K$5</f>
        <v>54979.853568490609</v>
      </c>
      <c r="O37" s="58">
        <f>24186.415984357*Deflactores!$L$5</f>
        <v>51144.561793352383</v>
      </c>
      <c r="P37" s="58">
        <f>27193.25184246*Deflactores!$M$5</f>
        <v>56133.163550148136</v>
      </c>
      <c r="Q37" s="58">
        <f>28294.169204235*Deflactores!$N$5</f>
        <v>57294.204145486205</v>
      </c>
      <c r="R37" s="58">
        <f>35412.613546934*Deflactores!$O$5</f>
        <v>69176.808271255155</v>
      </c>
      <c r="S37" s="58">
        <f>34680.660184811*Deflactores!$P$5</f>
        <v>63451.318894443226</v>
      </c>
      <c r="T37" s="58">
        <f>35857.385222711*Deflactores!$Q$5</f>
        <v>62037.107210913615</v>
      </c>
      <c r="U37" s="58">
        <f>38230.2462819985*Deflactores!$R$5</f>
        <v>63543.481933814503</v>
      </c>
      <c r="V37" s="58">
        <f>48583.812756184*Deflactores!$S$5</f>
        <v>78263.629358637132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0.4162628066300964</v>
      </c>
      <c r="V38" s="59">
        <f>160.90533445*Deflactores!$S$5</f>
        <v>259.2022886392225</v>
      </c>
    </row>
    <row r="39" spans="3:22" x14ac:dyDescent="0.2">
      <c r="C39" s="87" t="s">
        <v>149</v>
      </c>
      <c r="D39" s="56">
        <f>40.798965517*Deflactores!$A$5</f>
        <v>151.92363723301969</v>
      </c>
      <c r="E39" s="56">
        <f>28.159935484*Deflactores!$B$5</f>
        <v>97.409353618116299</v>
      </c>
      <c r="F39" s="56">
        <f>19.687412517*Deflactores!$C$5</f>
        <v>63.651257682233265</v>
      </c>
      <c r="G39" s="56">
        <f>20.044454475*Deflactores!$D$5</f>
        <v>60.855272057111335</v>
      </c>
      <c r="H39" s="56">
        <f>22.162*Deflactores!$E$5</f>
        <v>63.778291127648686</v>
      </c>
      <c r="I39" s="56">
        <f>46.019775166*Deflactores!$F$5</f>
        <v>126.30443221952297</v>
      </c>
      <c r="J39" s="56">
        <f>46.882230249*Deflactores!$G$5</f>
        <v>123.15661001024536</v>
      </c>
      <c r="K39" s="56">
        <f>38.492296*Deflactores!$H$5</f>
        <v>95.66895939651954</v>
      </c>
      <c r="L39" s="56">
        <f>40.112*Deflactores!$I$5</f>
        <v>92.588959792377025</v>
      </c>
      <c r="M39" s="56">
        <f>136.7834*Deflactores!$J$5</f>
        <v>309.53546344794694</v>
      </c>
      <c r="N39" s="56">
        <f>138.13016639*Deflactores!$K$5</f>
        <v>302.97512831819881</v>
      </c>
      <c r="O39" s="56">
        <f>141.4046*Deflactores!$L$5</f>
        <v>299.01397161289833</v>
      </c>
      <c r="P39" s="56">
        <f>188.1296*Deflactores!$M$5</f>
        <v>388.34302225432651</v>
      </c>
      <c r="Q39" s="56">
        <f>82.9914*Deflactores!$N$5</f>
        <v>168.05321900768158</v>
      </c>
      <c r="R39" s="56">
        <f>121.826400085*Deflactores!$O$5</f>
        <v>237.98191313634123</v>
      </c>
      <c r="S39" s="56">
        <f>79.35029*Deflactores!$P$5</f>
        <v>145.17833652318023</v>
      </c>
      <c r="T39" s="56">
        <f>78.10710018*Deflactores!$Q$5</f>
        <v>135.13362777861479</v>
      </c>
      <c r="U39" s="56">
        <f>81.005120832*Deflactores!$R$5</f>
        <v>134.6407081494107</v>
      </c>
      <c r="V39" s="56">
        <f>81.101511236*Deflactores!$S$5</f>
        <v>130.64636667470546</v>
      </c>
    </row>
    <row r="40" spans="3:22" x14ac:dyDescent="0.2">
      <c r="C40" s="88" t="s">
        <v>150</v>
      </c>
      <c r="D40" s="57">
        <f>755.4305269*Deflactores!$A$5</f>
        <v>2813.0064541877518</v>
      </c>
      <c r="E40" s="57">
        <f>1103.577093162*Deflactores!$B$5</f>
        <v>3817.435284031425</v>
      </c>
      <c r="F40" s="57">
        <f>1024.6277267603*Deflactores!$C$5</f>
        <v>3312.7178804256046</v>
      </c>
      <c r="G40" s="57">
        <f>463.337413956*Deflactores!$D$5</f>
        <v>1406.6995146063109</v>
      </c>
      <c r="H40" s="57">
        <f>778.31883264*Deflactores!$E$5</f>
        <v>2239.8630583090694</v>
      </c>
      <c r="I40" s="57">
        <f>1204.990084524*Deflactores!$F$5</f>
        <v>3307.1780100395372</v>
      </c>
      <c r="J40" s="57">
        <f>2103.068013912*Deflactores!$G$5</f>
        <v>5524.6246997796361</v>
      </c>
      <c r="K40" s="57">
        <f>2402.465895128*Deflactores!$H$5</f>
        <v>5971.1016503802102</v>
      </c>
      <c r="L40" s="57">
        <f>1836.708768756*Deflactores!$I$5</f>
        <v>4239.6029701998305</v>
      </c>
      <c r="M40" s="57">
        <f>2949.415764808*Deflactores!$J$5</f>
        <v>6674.4120679886964</v>
      </c>
      <c r="N40" s="57">
        <f>3062.035879225*Deflactores!$K$5</f>
        <v>6716.2788380618777</v>
      </c>
      <c r="O40" s="57">
        <f>4520.3639*Deflactores!$L$5</f>
        <v>9558.7552517709519</v>
      </c>
      <c r="P40" s="57">
        <f>7125.9928*Deflactores!$M$5</f>
        <v>14709.69789184993</v>
      </c>
      <c r="Q40" s="57">
        <f>7395.17038583815*Deflactores!$N$5</f>
        <v>14974.830987914165</v>
      </c>
      <c r="R40" s="57">
        <f>6203.34130566*Deflactores!$O$5</f>
        <v>12117.92378933164</v>
      </c>
      <c r="S40" s="57">
        <f>5665.762970535*Deflactores!$P$5</f>
        <v>10366.011809117566</v>
      </c>
      <c r="T40" s="57">
        <f>4251.187426047*Deflactores!$Q$5</f>
        <v>7355.0084169641605</v>
      </c>
      <c r="U40" s="57">
        <f>4141.523138378*Deflactores!$R$5</f>
        <v>6883.7328114706579</v>
      </c>
      <c r="V40" s="57">
        <f>3342.387506921*Deflactores!$S$5</f>
        <v>5384.2496538378027</v>
      </c>
    </row>
    <row r="41" spans="3:22" x14ac:dyDescent="0.2">
      <c r="C41" s="87" t="s">
        <v>151</v>
      </c>
      <c r="D41" s="56">
        <f>163.813340699*Deflactores!$A$5</f>
        <v>609.99386212167667</v>
      </c>
      <c r="E41" s="56">
        <f>171.472019614*Deflactores!$B$5</f>
        <v>593.14690559866699</v>
      </c>
      <c r="F41" s="56">
        <f>168.675695*Deflactores!$C$5</f>
        <v>545.34439799561937</v>
      </c>
      <c r="G41" s="56">
        <f>213.440121445*Deflactores!$D$5</f>
        <v>648.00749128087</v>
      </c>
      <c r="H41" s="56">
        <f>233.407374258*Deflactores!$E$5</f>
        <v>671.70487621905875</v>
      </c>
      <c r="I41" s="56">
        <f>187.918046283*Deflactores!$F$5</f>
        <v>515.75397867462823</v>
      </c>
      <c r="J41" s="56">
        <f>214.679664155*Deflactores!$G$5</f>
        <v>563.94969981257952</v>
      </c>
      <c r="K41" s="56">
        <f>384.558452865*Deflactores!$H$5</f>
        <v>955.78364597243183</v>
      </c>
      <c r="L41" s="56">
        <f>443.669079992*Deflactores!$I$5</f>
        <v>1024.1039740850665</v>
      </c>
      <c r="M41" s="56">
        <f>721.815874974*Deflactores!$J$5</f>
        <v>1633.4409832199112</v>
      </c>
      <c r="N41" s="56">
        <f>635.328425819*Deflactores!$K$5</f>
        <v>1393.5313072253425</v>
      </c>
      <c r="O41" s="56">
        <f>1145.79693681*Deflactores!$L$5</f>
        <v>2422.900618066536</v>
      </c>
      <c r="P41" s="56">
        <f>3079.534603837*Deflactores!$M$5</f>
        <v>6356.8719392952553</v>
      </c>
      <c r="Q41" s="56">
        <f>3596.473839854*Deflactores!$N$5</f>
        <v>7282.6703232429109</v>
      </c>
      <c r="R41" s="56">
        <f>3718.86679761*Deflactores!$O$5</f>
        <v>7264.6243718681126</v>
      </c>
      <c r="S41" s="56">
        <f>3889.412206489*Deflactores!$P$5</f>
        <v>7116.0218090069357</v>
      </c>
      <c r="T41" s="56">
        <f>3243.988700619*Deflactores!$Q$5</f>
        <v>5612.4470192497192</v>
      </c>
      <c r="U41" s="56">
        <f>3847.385042274*Deflactores!$R$5</f>
        <v>6394.8382681825087</v>
      </c>
      <c r="V41" s="56">
        <f>3805.344905369*Deflactores!$S$5</f>
        <v>6130.0273971945398</v>
      </c>
    </row>
    <row r="42" spans="3:22" ht="21.75" customHeight="1" x14ac:dyDescent="0.2">
      <c r="C42" s="79" t="s">
        <v>152</v>
      </c>
      <c r="D42" s="44">
        <f t="shared" ref="D42:V42" si="0">+SUM(D13:D41)</f>
        <v>111363.29711017628</v>
      </c>
      <c r="E42" s="44">
        <f t="shared" si="0"/>
        <v>126557.22322319912</v>
      </c>
      <c r="F42" s="44">
        <f t="shared" si="0"/>
        <v>125259.72411381542</v>
      </c>
      <c r="G42" s="44">
        <f t="shared" si="0"/>
        <v>119958.23013911309</v>
      </c>
      <c r="H42" s="44">
        <f t="shared" si="0"/>
        <v>135550.78170708034</v>
      </c>
      <c r="I42" s="44">
        <f t="shared" si="0"/>
        <v>148634.38925074885</v>
      </c>
      <c r="J42" s="44">
        <f t="shared" si="0"/>
        <v>157677.0628477603</v>
      </c>
      <c r="K42" s="44">
        <f t="shared" si="0"/>
        <v>174524.85549177523</v>
      </c>
      <c r="L42" s="44">
        <f t="shared" si="0"/>
        <v>179117.91843452977</v>
      </c>
      <c r="M42" s="44">
        <f t="shared" si="0"/>
        <v>212262.50103120386</v>
      </c>
      <c r="N42" s="44">
        <f t="shared" si="0"/>
        <v>213335.40940976515</v>
      </c>
      <c r="O42" s="44">
        <f t="shared" si="0"/>
        <v>218298.15315507204</v>
      </c>
      <c r="P42" s="44">
        <f t="shared" si="0"/>
        <v>239372.80233480575</v>
      </c>
      <c r="Q42" s="44">
        <f t="shared" si="0"/>
        <v>263274.65709161002</v>
      </c>
      <c r="R42" s="44">
        <f t="shared" si="0"/>
        <v>282460.578191237</v>
      </c>
      <c r="S42" s="44">
        <f t="shared" si="0"/>
        <v>271438.84044545511</v>
      </c>
      <c r="T42" s="44">
        <f t="shared" si="0"/>
        <v>260145.0112238788</v>
      </c>
      <c r="U42" s="44">
        <f t="shared" si="0"/>
        <v>273741.81192111556</v>
      </c>
      <c r="V42" s="44">
        <f t="shared" si="0"/>
        <v>276409.41956844338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55" t="s">
        <v>165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</row>
    <row r="48" spans="3:22" ht="11.25" hidden="1" customHeight="1" x14ac:dyDescent="0.2">
      <c r="H48" s="27"/>
      <c r="I48" s="27"/>
      <c r="J48" s="27"/>
      <c r="L48" s="177"/>
      <c r="M48" s="156"/>
      <c r="N48" s="156"/>
      <c r="O48" s="156"/>
      <c r="P48" s="156"/>
      <c r="Q48" s="156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76" t="s">
        <v>120</v>
      </c>
      <c r="D50" s="180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60"/>
      <c r="D51" s="181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401.562902397599*Deflactores!$A$5</f>
        <v>1495.3049896490913</v>
      </c>
      <c r="E52" s="56">
        <f>655.357267947299*Deflactores!$B$5</f>
        <v>2266.9770637774604</v>
      </c>
      <c r="F52" s="56">
        <f>642.00975351002*Deflactores!$C$5</f>
        <v>2075.6779602137572</v>
      </c>
      <c r="G52" s="56">
        <f>495.732007228729*Deflactores!$D$5</f>
        <v>1505.0499979906383</v>
      </c>
      <c r="H52" s="56">
        <f>564.83055554719*Deflactores!$E$5</f>
        <v>1625.4817980994599</v>
      </c>
      <c r="I52" s="56">
        <f>604.20264785228*Deflactores!$F$5</f>
        <v>1658.2756457901162</v>
      </c>
      <c r="J52" s="56">
        <f>939.17885066853*Deflactores!$G$5</f>
        <v>2467.1625651623467</v>
      </c>
      <c r="K52" s="56">
        <f>1327.2030640308*Deflactores!$H$5</f>
        <v>3298.6376298181567</v>
      </c>
      <c r="L52" s="56">
        <f>1812.44610594656*Deflactores!$I$5</f>
        <v>4183.5984151709299</v>
      </c>
      <c r="M52" s="56">
        <f>1460.67791351741*Deflactores!$J$5</f>
        <v>3305.4567652857845</v>
      </c>
      <c r="N52" s="56">
        <f>1485.68058675064*Deflactores!$K$5</f>
        <v>3258.6963309646676</v>
      </c>
      <c r="O52" s="56">
        <f>1623.77477761456*Deflactores!$L$5</f>
        <v>3433.6318992407632</v>
      </c>
      <c r="P52" s="56">
        <f>2063.32092329037*Deflactores!$M$5</f>
        <v>4259.1717796198454</v>
      </c>
      <c r="Q52" s="56">
        <f>3490.06262437414*Deflactores!$N$5</f>
        <v>7067.193209952733</v>
      </c>
      <c r="R52" s="56">
        <f>3176.98374440098*Deflactores!$O$5</f>
        <v>6206.0823349297452</v>
      </c>
      <c r="S52" s="56">
        <f>3602.31536883316*Deflactores!$P$5</f>
        <v>6590.7528867138935</v>
      </c>
      <c r="T52" s="56">
        <f>2390.59160018062*Deflactores!$Q$5</f>
        <v>4135.9788639574999</v>
      </c>
      <c r="U52" s="56">
        <f>2699.23496411302*Deflactores!$R$5</f>
        <v>4486.4683034490226</v>
      </c>
      <c r="V52" s="56">
        <f>2170.62983904853*Deflactores!$S$5</f>
        <v>3496.6660614027028</v>
      </c>
    </row>
    <row r="53" spans="3:22" x14ac:dyDescent="0.2">
      <c r="C53" s="88" t="s">
        <v>124</v>
      </c>
      <c r="D53" s="57">
        <f>111.71647603154*Deflactores!$A$5</f>
        <v>416.00009123993647</v>
      </c>
      <c r="E53" s="57">
        <f>145.529671246229*Deflactores!$B$5</f>
        <v>503.40851158578357</v>
      </c>
      <c r="F53" s="57">
        <f>145.93318715294*Deflactores!$C$5</f>
        <v>471.81572956021984</v>
      </c>
      <c r="G53" s="57">
        <f>188.698885050549*Deflactores!$D$5</f>
        <v>572.89271708277499</v>
      </c>
      <c r="H53" s="57">
        <f>320.46235781308*Deflactores!$E$5</f>
        <v>922.23362296071389</v>
      </c>
      <c r="I53" s="57">
        <f>295.811797347989*Deflactores!$F$5</f>
        <v>811.875785422744</v>
      </c>
      <c r="J53" s="57">
        <f>417.54211007788*Deflactores!$G$5</f>
        <v>1096.8563257464327</v>
      </c>
      <c r="K53" s="57">
        <f>492.173980797919*Deflactores!$H$5</f>
        <v>1223.251857591958</v>
      </c>
      <c r="L53" s="57">
        <f>1431.79979438725*Deflactores!$I$5</f>
        <v>3304.9674310245009</v>
      </c>
      <c r="M53" s="57">
        <f>1669.79983861474*Deflactores!$J$5</f>
        <v>3778.6914706822649</v>
      </c>
      <c r="N53" s="57">
        <f>1798.6087716106*Deflactores!$K$5</f>
        <v>3945.073966206488</v>
      </c>
      <c r="O53" s="57">
        <f>1345.39371754306*Deflactores!$L$5</f>
        <v>2844.9676945841388</v>
      </c>
      <c r="P53" s="57">
        <f>328.030049500889*Deflactores!$M$5</f>
        <v>677.12991902077908</v>
      </c>
      <c r="Q53" s="57">
        <f>446.095253882899*Deflactores!$N$5</f>
        <v>903.31942103724168</v>
      </c>
      <c r="R53" s="57">
        <f>492.379107002891*Deflactores!$O$5</f>
        <v>961.83849962861075</v>
      </c>
      <c r="S53" s="57">
        <f>489.098494941389*Deflactores!$P$5</f>
        <v>894.84872571457436</v>
      </c>
      <c r="T53" s="57">
        <f>585.47431989696*Deflactores!$Q$5</f>
        <v>1012.9331217849015</v>
      </c>
      <c r="U53" s="57">
        <f>616.44551041553*Deflactores!$R$5</f>
        <v>1024.6100395307892</v>
      </c>
      <c r="V53" s="57">
        <f>580.91628927783*Deflactores!$S$5</f>
        <v>935.79763656255932</v>
      </c>
    </row>
    <row r="54" spans="3:22" x14ac:dyDescent="0.2">
      <c r="C54" s="87" t="s">
        <v>125</v>
      </c>
      <c r="D54" s="56">
        <f>30.6376890675*Deflactores!$A$5</f>
        <v>114.08596028272976</v>
      </c>
      <c r="E54" s="56">
        <f>67.4455294714*Deflactores!$B$5</f>
        <v>233.30399439208767</v>
      </c>
      <c r="F54" s="56">
        <f>58.918551371*Deflactores!$C$5</f>
        <v>190.48922210275742</v>
      </c>
      <c r="G54" s="56">
        <f>45.38866796965*Deflactores!$D$5</f>
        <v>137.80069400481634</v>
      </c>
      <c r="H54" s="56">
        <f>65.31782981817*Deflactores!$E$5</f>
        <v>187.97308753584778</v>
      </c>
      <c r="I54" s="56">
        <f>57.117453983*Deflactores!$F$5</f>
        <v>156.76277359298095</v>
      </c>
      <c r="J54" s="56">
        <f>82.4744618108*Deflactores!$G$5</f>
        <v>216.65511804985479</v>
      </c>
      <c r="K54" s="56">
        <f>79.03975975004*Deflactores!$H$5</f>
        <v>196.44584376669127</v>
      </c>
      <c r="L54" s="56">
        <f>134.279198797*Deflactores!$I$5</f>
        <v>309.95141948464385</v>
      </c>
      <c r="M54" s="56">
        <f>142.27880729255*Deflactores!$J$5</f>
        <v>321.97135437575463</v>
      </c>
      <c r="N54" s="56">
        <f>351.17318956412*Deflactores!$K$5</f>
        <v>770.26434522418015</v>
      </c>
      <c r="O54" s="56">
        <f>366.99315033341*Deflactores!$L$5</f>
        <v>776.04320818362623</v>
      </c>
      <c r="P54" s="56">
        <f>407.80303115372*Deflactores!$M$5</f>
        <v>841.79981035791752</v>
      </c>
      <c r="Q54" s="56">
        <f>424.28876876883*Deflactores!$N$5</f>
        <v>859.162435871762</v>
      </c>
      <c r="R54" s="56">
        <f>373.12421581008*Deflactores!$O$5</f>
        <v>728.87990332165361</v>
      </c>
      <c r="S54" s="56">
        <f>351.76707124661*Deflactores!$P$5</f>
        <v>643.58880411418613</v>
      </c>
      <c r="T54" s="56">
        <f>304.86812616273*Deflactores!$Q$5</f>
        <v>527.45442843859689</v>
      </c>
      <c r="U54" s="56">
        <f>378.87878355873*Deflactores!$R$5</f>
        <v>629.74423341620263</v>
      </c>
      <c r="V54" s="56">
        <f>330.47588643464*Deflactores!$S$5</f>
        <v>532.36337003203982</v>
      </c>
    </row>
    <row r="55" spans="3:22" x14ac:dyDescent="0.2">
      <c r="C55" s="88" t="s">
        <v>126</v>
      </c>
      <c r="D55" s="57">
        <f>163.960278908499*Deflactores!$A$5</f>
        <v>610.54101783880606</v>
      </c>
      <c r="E55" s="57">
        <f>233.795782397589*Deflactores!$B$5</f>
        <v>808.73395661473239</v>
      </c>
      <c r="F55" s="57">
        <f>213.844156069889*Deflactores!$C$5</f>
        <v>691.37828397158762</v>
      </c>
      <c r="G55" s="57">
        <f>162.8509699379*Deflactores!$D$5</f>
        <v>494.41804927621337</v>
      </c>
      <c r="H55" s="57">
        <f>150.92430422829*Deflactores!$E$5</f>
        <v>434.33328279531179</v>
      </c>
      <c r="I55" s="57">
        <f>166.20342096814*Deflactores!$F$5</f>
        <v>456.15669878006287</v>
      </c>
      <c r="J55" s="57">
        <f>255.05094186147*Deflactores!$G$5</f>
        <v>670.00245535991371</v>
      </c>
      <c r="K55" s="57">
        <f>253.300905111349*Deflactores!$H$5</f>
        <v>629.55543120107188</v>
      </c>
      <c r="L55" s="57">
        <f>219.588431773639*Deflactores!$I$5</f>
        <v>506.86738333567479</v>
      </c>
      <c r="M55" s="57">
        <f>348.358090318799*Deflactores!$J$5</f>
        <v>788.3206802336482</v>
      </c>
      <c r="N55" s="57">
        <f>325.799093404139*Deflactores!$K$5</f>
        <v>714.60872530461199</v>
      </c>
      <c r="O55" s="57">
        <f>436.87325290573*Deflactores!$L$5</f>
        <v>923.8115764465125</v>
      </c>
      <c r="P55" s="57">
        <f>618.51211542444*Deflactores!$M$5</f>
        <v>1276.7521123993454</v>
      </c>
      <c r="Q55" s="57">
        <f>842.970307449705*Deflactores!$N$5</f>
        <v>1706.970525799275</v>
      </c>
      <c r="R55" s="57">
        <f>627.170602974148*Deflactores!$O$5</f>
        <v>1225.147093360084</v>
      </c>
      <c r="S55" s="57">
        <f>608.947990546139*Deflactores!$P$5</f>
        <v>1114.1239218737794</v>
      </c>
      <c r="T55" s="57">
        <f>579.441556189679*Deflactores!$Q$5</f>
        <v>1002.4957960690916</v>
      </c>
      <c r="U55" s="57">
        <f>677.30919084806*Deflactores!$R$5</f>
        <v>1125.7731382318043</v>
      </c>
      <c r="V55" s="57">
        <f>517.57039609358*Deflactores!$S$5</f>
        <v>833.75378235861126</v>
      </c>
    </row>
    <row r="56" spans="3:22" x14ac:dyDescent="0.2">
      <c r="C56" s="87" t="s">
        <v>127</v>
      </c>
      <c r="D56" s="56">
        <f>168.793936681919*Deflactores!$A$5</f>
        <v>628.54017200293902</v>
      </c>
      <c r="E56" s="56">
        <f>203.409355607469*Deflactores!$B$5</f>
        <v>703.62284249049799</v>
      </c>
      <c r="F56" s="56">
        <f>189.84707649563*Deflactores!$C$5</f>
        <v>613.79346705960006</v>
      </c>
      <c r="G56" s="56">
        <f>223.61736213158*Deflactores!$D$5</f>
        <v>678.90575052484121</v>
      </c>
      <c r="H56" s="56">
        <f>224.132323363319*Deflactores!$E$5</f>
        <v>645.01293071843941</v>
      </c>
      <c r="I56" s="56">
        <f>249.61787514109*Deflactores!$F$5</f>
        <v>685.09339469420797</v>
      </c>
      <c r="J56" s="56">
        <f>297.62011859314*Deflactores!$G$5</f>
        <v>781.82895058752331</v>
      </c>
      <c r="K56" s="56">
        <f>286.39307326238*Deflactores!$H$5</f>
        <v>711.80288381298624</v>
      </c>
      <c r="L56" s="56">
        <f>312.0485894547*Deflactores!$I$5</f>
        <v>720.28954682611641</v>
      </c>
      <c r="M56" s="56">
        <f>335.88749799144*Deflactores!$J$5</f>
        <v>760.10021945025289</v>
      </c>
      <c r="N56" s="56">
        <f>368.035832550679*Deflactores!$K$5</f>
        <v>807.25091778945114</v>
      </c>
      <c r="O56" s="56">
        <f>375.311224208419*Deflactores!$L$5</f>
        <v>793.63259569673357</v>
      </c>
      <c r="P56" s="56">
        <f>382.08341104164*Deflactores!$M$5</f>
        <v>788.70856365586576</v>
      </c>
      <c r="Q56" s="56">
        <f>428.707244751663*Deflactores!$N$5</f>
        <v>868.10961729083942</v>
      </c>
      <c r="R56" s="56">
        <f>454.902859662509*Deflactores!$O$5</f>
        <v>888.63048368943714</v>
      </c>
      <c r="S56" s="56">
        <f>468.02706454525*Deflactores!$P$5</f>
        <v>856.29669001217894</v>
      </c>
      <c r="T56" s="56">
        <f>507.71892556345*Deflactores!$Q$5</f>
        <v>878.40798269473646</v>
      </c>
      <c r="U56" s="56">
        <f>551.0496349074*Deflactores!$R$5</f>
        <v>915.91386207891821</v>
      </c>
      <c r="V56" s="56">
        <f>579.751784429928*Deflactores!$S$5</f>
        <v>933.92173653264797</v>
      </c>
    </row>
    <row r="57" spans="3:22" x14ac:dyDescent="0.2">
      <c r="C57" s="88" t="s">
        <v>128</v>
      </c>
      <c r="D57" s="57">
        <f>49.5501893557*Deflactores!$A$5</f>
        <v>184.51068298205058</v>
      </c>
      <c r="E57" s="57">
        <f>66.92937225184*Deflactores!$B$5</f>
        <v>231.51853074458637</v>
      </c>
      <c r="F57" s="57">
        <f>60.51507642412*Deflactores!$C$5</f>
        <v>195.65093786731168</v>
      </c>
      <c r="G57" s="57">
        <f>65.70814833924*Deflactores!$D$5</f>
        <v>199.49094890762692</v>
      </c>
      <c r="H57" s="57">
        <f>95.14983942536*Deflactores!$E$5</f>
        <v>273.82430103869848</v>
      </c>
      <c r="I57" s="57">
        <f>101.110335255209*Deflactores!$F$5</f>
        <v>277.50425637389753</v>
      </c>
      <c r="J57" s="57">
        <f>121.14806983556*Deflactores!$G$5</f>
        <v>318.24820429805123</v>
      </c>
      <c r="K57" s="57">
        <f>132.78610442671*Deflactores!$H$5</f>
        <v>330.02729774344772</v>
      </c>
      <c r="L57" s="57">
        <f>175.63195114676*Deflactores!$I$5</f>
        <v>405.40435936837076</v>
      </c>
      <c r="M57" s="57">
        <f>176.85385177531*Deflactores!$J$5</f>
        <v>400.21332246328933</v>
      </c>
      <c r="N57" s="57">
        <f>201.84512557791*Deflactores!$K$5</f>
        <v>442.727714159892</v>
      </c>
      <c r="O57" s="57">
        <f>226.43918947459*Deflactores!$L$5</f>
        <v>478.82799692232624</v>
      </c>
      <c r="P57" s="57">
        <f>333.901338332869*Deflactores!$M$5</f>
        <v>689.24961761971929</v>
      </c>
      <c r="Q57" s="57">
        <f>392.665975381419*Deflactores!$N$5</f>
        <v>795.12794286683334</v>
      </c>
      <c r="R57" s="57">
        <f>379.755159107159*Deflactores!$O$5</f>
        <v>741.83312668404824</v>
      </c>
      <c r="S57" s="57">
        <f>420.96978830496*Deflactores!$P$5</f>
        <v>770.20126319172141</v>
      </c>
      <c r="T57" s="57">
        <f>359.560593072379*Deflactores!$Q$5</f>
        <v>622.07823918858548</v>
      </c>
      <c r="U57" s="57">
        <f>390.03882353523*Deflactores!$R$5</f>
        <v>648.29362473836341</v>
      </c>
      <c r="V57" s="57">
        <f>387.771585459175*Deflactores!$S$5</f>
        <v>624.66097077416077</v>
      </c>
    </row>
    <row r="58" spans="3:22" x14ac:dyDescent="0.2">
      <c r="C58" s="87" t="s">
        <v>129</v>
      </c>
      <c r="D58" s="56">
        <f>5881.91373975177*Deflactores!$A$5</f>
        <v>21902.558506333171</v>
      </c>
      <c r="E58" s="56">
        <f>6947.40810941065*Deflactores!$B$5</f>
        <v>24032.105245534545</v>
      </c>
      <c r="F58" s="56">
        <f>7730.99037241553*Deflactores!$C$5</f>
        <v>24995.019528776073</v>
      </c>
      <c r="G58" s="56">
        <f>8808.48702220741*Deflactores!$D$5</f>
        <v>26742.702068371778</v>
      </c>
      <c r="H58" s="56">
        <f>10078.3201526931*Deflactores!$E$5</f>
        <v>29003.61144193256</v>
      </c>
      <c r="I58" s="56">
        <f>10852.1433011549*Deflactores!$F$5</f>
        <v>29784.452294107265</v>
      </c>
      <c r="J58" s="56">
        <f>12144.4291571101*Deflactores!$G$5</f>
        <v>31902.635978610764</v>
      </c>
      <c r="K58" s="56">
        <f>13431.0951703976*Deflactores!$H$5</f>
        <v>33381.716136329138</v>
      </c>
      <c r="L58" s="56">
        <f>17327.3184244465*Deflactores!$I$5</f>
        <v>39995.971003958686</v>
      </c>
      <c r="M58" s="56">
        <f>18623.6404871569*Deflactores!$J$5</f>
        <v>42144.567171747876</v>
      </c>
      <c r="N58" s="56">
        <f>18833.9624423044*Deflactores!$K$5</f>
        <v>41310.470672903044</v>
      </c>
      <c r="O58" s="56">
        <f>19775.5839186463*Deflactores!$L$5</f>
        <v>41817.42240689903</v>
      </c>
      <c r="P58" s="56">
        <f>21824.7604315287*Deflactores!$M$5</f>
        <v>45051.355161316955</v>
      </c>
      <c r="Q58" s="56">
        <f>24283.2640073708*Deflactores!$N$5</f>
        <v>49172.332126606329</v>
      </c>
      <c r="R58" s="56">
        <f>24948.0287152259*Deflactores!$O$5</f>
        <v>48734.75370270633</v>
      </c>
      <c r="S58" s="56">
        <f>24916.987124885*Deflactores!$P$5</f>
        <v>45587.820056616096</v>
      </c>
      <c r="T58" s="56">
        <f>26624.7216499076*Deflactores!$Q$5</f>
        <v>46063.612870742734</v>
      </c>
      <c r="U58" s="56">
        <f>27747.0714475556*Deflactores!$R$5</f>
        <v>46119.125684895815</v>
      </c>
      <c r="V58" s="56">
        <f>29320.7494564517*Deflactores!$S$5</f>
        <v>47232.774411784085</v>
      </c>
    </row>
    <row r="59" spans="3:22" x14ac:dyDescent="0.2">
      <c r="C59" s="88" t="s">
        <v>130</v>
      </c>
      <c r="D59" s="57">
        <f>26.603475762*Deflactores!$A$5</f>
        <v>99.06370785601014</v>
      </c>
      <c r="E59" s="57">
        <f>64.91539123375*Deflactores!$B$5</f>
        <v>224.5518745431626</v>
      </c>
      <c r="F59" s="57">
        <f>18.90077657762*Deflactores!$C$5</f>
        <v>61.107989650624425</v>
      </c>
      <c r="G59" s="57">
        <f>25.20614692689*Deflactores!$D$5</f>
        <v>76.526249724609272</v>
      </c>
      <c r="H59" s="57">
        <f>74.30795957286*Deflactores!$E$5</f>
        <v>213.84508071200318</v>
      </c>
      <c r="I59" s="57">
        <f>58.92850796696*Deflactores!$F$5</f>
        <v>161.73333558155781</v>
      </c>
      <c r="J59" s="57">
        <f>78.58331069448*Deflactores!$G$5</f>
        <v>206.43331379740513</v>
      </c>
      <c r="K59" s="57">
        <f>65.84680082625*Deflactores!$H$5</f>
        <v>163.65599273779927</v>
      </c>
      <c r="L59" s="57">
        <f>135.390795605289*Deflactores!$I$5</f>
        <v>312.51727489419721</v>
      </c>
      <c r="M59" s="57">
        <f>124.95618072685*Deflactores!$J$5</f>
        <v>282.77093062441003</v>
      </c>
      <c r="N59" s="57">
        <f>136.58452152435*Deflactores!$K$5</f>
        <v>299.58490615497863</v>
      </c>
      <c r="O59" s="57">
        <f>167.797271041419*Deflactores!$L$5</f>
        <v>354.82387729890456</v>
      </c>
      <c r="P59" s="57">
        <f>310.366959062489*Deflactores!$M$5</f>
        <v>640.66921361769653</v>
      </c>
      <c r="Q59" s="57">
        <f>369.69504137496*Deflactores!$N$5</f>
        <v>748.61300995332113</v>
      </c>
      <c r="R59" s="57">
        <f>337.52356759051*Deflactores!$O$5</f>
        <v>659.33577851556981</v>
      </c>
      <c r="S59" s="57">
        <f>428.83673213947*Deflactores!$P$5</f>
        <v>784.59452904387456</v>
      </c>
      <c r="T59" s="57">
        <f>401.467906677349*Deflactores!$Q$5</f>
        <v>694.5823688367858</v>
      </c>
      <c r="U59" s="57">
        <f>583.23011535326*Deflactores!$R$5</f>
        <v>969.40187161852293</v>
      </c>
      <c r="V59" s="57">
        <f>564.946889308079*Deflactores!$S$5</f>
        <v>910.07254152762232</v>
      </c>
    </row>
    <row r="60" spans="3:22" x14ac:dyDescent="0.2">
      <c r="C60" s="87" t="s">
        <v>131</v>
      </c>
      <c r="D60" s="56">
        <f>4824.89185791948*Deflactores!$A$5</f>
        <v>17966.512410852152</v>
      </c>
      <c r="E60" s="56">
        <f>7355.61319561733*Deflactores!$B$5</f>
        <v>25444.146605274625</v>
      </c>
      <c r="F60" s="56">
        <f>8511.17258616029*Deflactores!$C$5</f>
        <v>27517.422057969892</v>
      </c>
      <c r="G60" s="56">
        <f>9920.95650570156*Deflactores!$D$5</f>
        <v>30120.176529335909</v>
      </c>
      <c r="H60" s="56">
        <f>11347.2944263595*Deflactores!$E$5</f>
        <v>32655.493522042303</v>
      </c>
      <c r="I60" s="56">
        <f>12394.2352991389*Deflactores!$F$5</f>
        <v>34016.829647822364</v>
      </c>
      <c r="J60" s="56">
        <f>13268.6244936411*Deflactores!$G$5</f>
        <v>34855.824977963843</v>
      </c>
      <c r="K60" s="56">
        <f>14282.8304844543*Deflactores!$H$5</f>
        <v>35498.62366445041</v>
      </c>
      <c r="L60" s="56">
        <f>16167.5134576142*Deflactores!$I$5</f>
        <v>37318.838588695544</v>
      </c>
      <c r="M60" s="56">
        <f>18681.8026112268*Deflactores!$J$5</f>
        <v>42276.18577480274</v>
      </c>
      <c r="N60" s="56">
        <f>20347.653712593*Deflactores!$K$5</f>
        <v>44630.6057225849</v>
      </c>
      <c r="O60" s="56">
        <f>21735.8963187225*Deflactores!$L$5</f>
        <v>45962.696297202441</v>
      </c>
      <c r="P60" s="56">
        <f>23217.9549224761*Deflactores!$M$5</f>
        <v>47927.230936328393</v>
      </c>
      <c r="Q60" s="56">
        <f>25135.9094865312*Deflactores!$N$5</f>
        <v>50898.894366130568</v>
      </c>
      <c r="R60" s="56">
        <f>26899.5731738877*Deflactores!$O$5</f>
        <v>52547.000338237871</v>
      </c>
      <c r="S60" s="56">
        <f>29024.3217353681*Deflactores!$P$5</f>
        <v>53102.550075800908</v>
      </c>
      <c r="T60" s="56">
        <f>31329.8772504467*Deflactores!$Q$5</f>
        <v>54204.034728658851</v>
      </c>
      <c r="U60" s="56">
        <f>35535.1420296253*Deflactores!$R$5</f>
        <v>59063.879393271556</v>
      </c>
      <c r="V60" s="56">
        <f>38208.6798079095*Deflactores!$S$5</f>
        <v>61550.33508333379</v>
      </c>
    </row>
    <row r="61" spans="3:22" x14ac:dyDescent="0.2">
      <c r="C61" s="88" t="s">
        <v>132</v>
      </c>
      <c r="D61" s="57">
        <f>7.42959174125*Deflactores!$A$5</f>
        <v>27.665667160526112</v>
      </c>
      <c r="E61" s="57">
        <f>7.34176456840999*Deflactores!$B$5</f>
        <v>25.396242169359571</v>
      </c>
      <c r="F61" s="57">
        <f>7.08431658021*Deflactores!$C$5</f>
        <v>22.904262292471998</v>
      </c>
      <c r="G61" s="57">
        <f>7.32479480762*Deflactores!$D$5</f>
        <v>22.238189686638087</v>
      </c>
      <c r="H61" s="57">
        <f>8.91585595388999*Deflactores!$E$5</f>
        <v>25.658246398311331</v>
      </c>
      <c r="I61" s="57">
        <f>15.05970762703*Deflactores!$F$5</f>
        <v>41.332401437487796</v>
      </c>
      <c r="J61" s="57">
        <f>10.14335852377*Deflactores!$G$5</f>
        <v>26.645951851505313</v>
      </c>
      <c r="K61" s="57">
        <f>11.96833879616*Deflactores!$H$5</f>
        <v>29.746173580646381</v>
      </c>
      <c r="L61" s="57">
        <f>12.5750975601899*Deflactores!$I$5</f>
        <v>29.026605564061654</v>
      </c>
      <c r="M61" s="57">
        <f>11.03232457438*Deflactores!$J$5</f>
        <v>24.965717331480921</v>
      </c>
      <c r="N61" s="57">
        <f>13.01217580674*Deflactores!$K$5</f>
        <v>28.540946107420481</v>
      </c>
      <c r="O61" s="57">
        <f>15.8675247722536*Deflactores!$L$5</f>
        <v>33.553445940355545</v>
      </c>
      <c r="P61" s="57">
        <f>24.18997858279*Deflactores!$M$5</f>
        <v>49.933712669925939</v>
      </c>
      <c r="Q61" s="57">
        <f>23.16104684216*Deflactores!$N$5</f>
        <v>46.899901404394747</v>
      </c>
      <c r="R61" s="57">
        <f>27.61587641765*Deflactores!$O$5</f>
        <v>53.946263685241327</v>
      </c>
      <c r="S61" s="57">
        <f>27.58369218661*Deflactores!$P$5</f>
        <v>50.466791574668271</v>
      </c>
      <c r="T61" s="57">
        <f>36.02331163942*Deflactores!$Q$5</f>
        <v>62.324177638346221</v>
      </c>
      <c r="U61" s="57">
        <f>43.6476806825499*Deflactores!$R$5</f>
        <v>72.547939881059193</v>
      </c>
      <c r="V61" s="57">
        <f>44.53824278432*Deflactores!$S$5</f>
        <v>71.746623572958129</v>
      </c>
    </row>
    <row r="62" spans="3:22" x14ac:dyDescent="0.2">
      <c r="C62" s="87" t="s">
        <v>133</v>
      </c>
      <c r="D62" s="56">
        <f>621.54403203644*Deflactores!$A$5</f>
        <v>2314.4515761829011</v>
      </c>
      <c r="E62" s="56">
        <f>661.88006743621*Deflactores!$B$5</f>
        <v>2289.5403854284073</v>
      </c>
      <c r="F62" s="56">
        <f>691.7716481624*Deflactores!$C$5</f>
        <v>2236.5628493041718</v>
      </c>
      <c r="G62" s="56">
        <f>724.631717967719*Deflactores!$D$5</f>
        <v>2199.9930401267516</v>
      </c>
      <c r="H62" s="56">
        <f>787.042144125849*Deflactores!$E$5</f>
        <v>2264.9671960015899</v>
      </c>
      <c r="I62" s="56">
        <f>869.795175450029*Deflactores!$F$5</f>
        <v>2387.2125708180665</v>
      </c>
      <c r="J62" s="56">
        <f>957.45615143064*Deflactores!$G$5</f>
        <v>2515.175861245827</v>
      </c>
      <c r="K62" s="56">
        <f>1092.26572364482*Deflactores!$H$5</f>
        <v>2714.7231011001863</v>
      </c>
      <c r="L62" s="56">
        <f>1260.01080119122*Deflactores!$I$5</f>
        <v>2908.4336210972933</v>
      </c>
      <c r="M62" s="56">
        <f>1456.19661795323*Deflactores!$J$5</f>
        <v>3295.3157693805388</v>
      </c>
      <c r="N62" s="56">
        <f>1536.28448403538*Deflactores!$K$5</f>
        <v>3369.6910736333843</v>
      </c>
      <c r="O62" s="56">
        <f>1679.74086024359*Deflactores!$L$5</f>
        <v>3551.9777001731368</v>
      </c>
      <c r="P62" s="56">
        <f>1962.82257856516*Deflactores!$M$5</f>
        <v>4051.7199436400465</v>
      </c>
      <c r="Q62" s="56">
        <f>2245.90387120121*Deflactores!$N$5</f>
        <v>4547.8371871926111</v>
      </c>
      <c r="R62" s="56">
        <f>2520.68938212396*Deflactores!$O$5</f>
        <v>4924.0434024298365</v>
      </c>
      <c r="S62" s="56">
        <f>2773.00677977144*Deflactores!$P$5</f>
        <v>5073.4598632811358</v>
      </c>
      <c r="T62" s="56">
        <f>3150.99100117048*Deflactores!$Q$5</f>
        <v>5451.5510639193781</v>
      </c>
      <c r="U62" s="56">
        <f>3410.07057018236*Deflactores!$R$5</f>
        <v>5667.9665642501295</v>
      </c>
      <c r="V62" s="56">
        <f>3602.7946200902*Deflactores!$S$5</f>
        <v>5803.7392869323739</v>
      </c>
    </row>
    <row r="63" spans="3:22" x14ac:dyDescent="0.2">
      <c r="C63" s="88" t="s">
        <v>134</v>
      </c>
      <c r="D63" s="57">
        <f>6806.96581948345*Deflactores!$A$5</f>
        <v>25347.186937518454</v>
      </c>
      <c r="E63" s="57">
        <f>6718.53843976681*Deflactores!$B$5</f>
        <v>23240.411436595768</v>
      </c>
      <c r="F63" s="57">
        <f>6077.78524182914*Deflactores!$C$5</f>
        <v>19650.051738941835</v>
      </c>
      <c r="G63" s="57">
        <f>5156.32402788919*Deflactores!$D$5</f>
        <v>15654.679049668515</v>
      </c>
      <c r="H63" s="57">
        <f>6087.24669545592*Deflactores!$E$5</f>
        <v>17518.012449625716</v>
      </c>
      <c r="I63" s="57">
        <f>6814.3126595591*Deflactores!$F$5</f>
        <v>18702.3488995183</v>
      </c>
      <c r="J63" s="57">
        <f>6107.26892976481*Deflactores!$G$5</f>
        <v>16043.403520180796</v>
      </c>
      <c r="K63" s="57">
        <f>6361.61671797591*Deflactores!$H$5</f>
        <v>15811.196388187838</v>
      </c>
      <c r="L63" s="57">
        <f>7157.64035577201*Deflactores!$I$5</f>
        <v>16521.701114600863</v>
      </c>
      <c r="M63" s="57">
        <f>6509.19753798562*Deflactores!$J$5</f>
        <v>14730.058447111374</v>
      </c>
      <c r="N63" s="57">
        <f>7320.81183237073*Deflactores!$K$5</f>
        <v>16057.491004850372</v>
      </c>
      <c r="O63" s="57">
        <f>8177.26581419854*Deflactores!$L$5</f>
        <v>17291.634982439657</v>
      </c>
      <c r="P63" s="57">
        <f>9290.26038949927*Deflactores!$M$5</f>
        <v>19177.246946720788</v>
      </c>
      <c r="Q63" s="57">
        <f>11990.3701812185*Deflactores!$N$5</f>
        <v>24279.86883035456</v>
      </c>
      <c r="R63" s="57">
        <f>13066.1136840597*Deflactores!$O$5</f>
        <v>25524.013921612339</v>
      </c>
      <c r="S63" s="57">
        <f>16781.4199862878*Deflactores!$P$5</f>
        <v>30703.084237072264</v>
      </c>
      <c r="T63" s="57">
        <f>17624.9703852634*Deflactores!$Q$5</f>
        <v>30493.081706561105</v>
      </c>
      <c r="U63" s="57">
        <f>20425.6630397675*Deflactores!$R$5</f>
        <v>33950.023255926557</v>
      </c>
      <c r="V63" s="57">
        <f>11445.7082551185*Deflactores!$S$5</f>
        <v>18437.883274438307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54.06818210638*Deflactores!$A$5</f>
        <v>201.33439120547891</v>
      </c>
      <c r="E65" s="57">
        <f>156.03351264116*Deflactores!$B$5</f>
        <v>539.7428420166467</v>
      </c>
      <c r="F65" s="57">
        <f>116.737053168769*Deflactores!$C$5</f>
        <v>377.4218803966092</v>
      </c>
      <c r="G65" s="57">
        <f>102.91874749474*Deflactores!$D$5</f>
        <v>312.46290021916644</v>
      </c>
      <c r="H65" s="57">
        <f>230.08568841876*Deflactores!$E$5</f>
        <v>662.14565563925373</v>
      </c>
      <c r="I65" s="57">
        <f>452.764051823859*Deflactores!$F$5</f>
        <v>1242.6420226683986</v>
      </c>
      <c r="J65" s="57">
        <f>1245.57530626533*Deflactores!$G$5</f>
        <v>3272.046389802098</v>
      </c>
      <c r="K65" s="57">
        <f>1476.65727996834*Deflactores!$H$5</f>
        <v>3670.0919415112594</v>
      </c>
      <c r="L65" s="57">
        <f>2174.34734881444*Deflactores!$I$5</f>
        <v>5018.9608908566452</v>
      </c>
      <c r="M65" s="57">
        <f>2234.54215901973*Deflactores!$J$5</f>
        <v>5056.6811673503371</v>
      </c>
      <c r="N65" s="57">
        <f>3283.93712709223*Deflactores!$K$5</f>
        <v>7202.9977120312478</v>
      </c>
      <c r="O65" s="57">
        <f>3428.9067537989*Deflactores!$L$5</f>
        <v>7250.7614797800061</v>
      </c>
      <c r="P65" s="57">
        <f>5324.01164781371*Deflactores!$M$5</f>
        <v>10989.991866400678</v>
      </c>
      <c r="Q65" s="57">
        <f>5703.66861035763*Deflactores!$N$5</f>
        <v>11549.628878699114</v>
      </c>
      <c r="R65" s="57">
        <f>8200.45284064014*Deflactores!$O$5</f>
        <v>16019.183479428548</v>
      </c>
      <c r="S65" s="57">
        <f>9198.92187971639*Deflactores!$P$5</f>
        <v>16830.236868748831</v>
      </c>
      <c r="T65" s="57">
        <f>8072.71119149081*Deflactores!$Q$5</f>
        <v>13966.652798544301</v>
      </c>
      <c r="U65" s="57">
        <f>8425.60075274613*Deflactores!$R$5</f>
        <v>14004.409107501826</v>
      </c>
      <c r="V65" s="57">
        <f>8160.46466088949*Deflactores!$S$5</f>
        <v>13145.686708847661</v>
      </c>
    </row>
    <row r="66" spans="3:22" x14ac:dyDescent="0.2">
      <c r="C66" s="87" t="s">
        <v>137</v>
      </c>
      <c r="D66" s="56">
        <f>52.36382960982*Deflactores!$A$5</f>
        <v>194.98787170128506</v>
      </c>
      <c r="E66" s="56">
        <f>56.64597756318*Deflactores!$B$5</f>
        <v>195.94675785499689</v>
      </c>
      <c r="F66" s="56">
        <f>66.7935527438599*Deflactores!$C$5</f>
        <v>215.94984275054523</v>
      </c>
      <c r="G66" s="56">
        <f>55.5134419879299*Deflactores!$D$5</f>
        <v>168.5396636369243</v>
      </c>
      <c r="H66" s="56">
        <f>87.6846844124899*Deflactores!$E$5</f>
        <v>252.34091372149535</v>
      </c>
      <c r="I66" s="56">
        <f>179.8454649801*Deflactores!$F$5</f>
        <v>493.59822510280253</v>
      </c>
      <c r="J66" s="56">
        <f>82.0608690253499*Deflactores!$G$5</f>
        <v>215.56863634644191</v>
      </c>
      <c r="K66" s="56">
        <f>122.86258941415*Deflactores!$H$5</f>
        <v>305.36334018665877</v>
      </c>
      <c r="L66" s="56">
        <f>133.09034554109*Deflactores!$I$5</f>
        <v>307.20723604052517</v>
      </c>
      <c r="M66" s="56">
        <f>123.828854965*Deflactores!$J$5</f>
        <v>280.21983668939271</v>
      </c>
      <c r="N66" s="56">
        <f>152.95341866069*Deflactores!$K$5</f>
        <v>335.48849506623503</v>
      </c>
      <c r="O66" s="56">
        <f>179.75661791419*Deflactores!$L$5</f>
        <v>380.11309565759694</v>
      </c>
      <c r="P66" s="56">
        <f>252.452546651291*Deflactores!$M$5</f>
        <v>521.12046664833019</v>
      </c>
      <c r="Q66" s="56">
        <f>314.463332573849*Deflactores!$N$5</f>
        <v>636.77170524799499</v>
      </c>
      <c r="R66" s="56">
        <f>514.93637249642*Deflactores!$O$5</f>
        <v>1005.9030143276326</v>
      </c>
      <c r="S66" s="56">
        <f>330.83620690153*Deflactores!$P$5</f>
        <v>605.2939463687253</v>
      </c>
      <c r="T66" s="56">
        <f>293.586107415039*Deflactores!$Q$5</f>
        <v>507.93533070576098</v>
      </c>
      <c r="U66" s="56">
        <f>321.564264145469*Deflactores!$R$5</f>
        <v>534.48028711521567</v>
      </c>
      <c r="V66" s="56">
        <f>553.610203594419*Deflactores!$S$5</f>
        <v>891.81028258755362</v>
      </c>
    </row>
    <row r="67" spans="3:22" x14ac:dyDescent="0.2">
      <c r="C67" s="88" t="s">
        <v>138</v>
      </c>
      <c r="D67" s="57">
        <f>144.637709481219*Deflactores!$A$5</f>
        <v>538.58931536593957</v>
      </c>
      <c r="E67" s="57">
        <f>169.40609887143*Deflactores!$B$5</f>
        <v>586.00058226016563</v>
      </c>
      <c r="F67" s="57">
        <f>165.34751289257*Deflactores!$C$5</f>
        <v>534.58407198779582</v>
      </c>
      <c r="G67" s="57">
        <f>206.74813731476*Deflactores!$D$5</f>
        <v>627.69052454298492</v>
      </c>
      <c r="H67" s="57">
        <f>191.91146700714*Deflactores!$E$5</f>
        <v>552.2870414906381</v>
      </c>
      <c r="I67" s="57">
        <f>222.00826227328*Deflactores!$F$5</f>
        <v>609.31691676725848</v>
      </c>
      <c r="J67" s="57">
        <f>236.00417173566*Deflactores!$G$5</f>
        <v>619.9678126417549</v>
      </c>
      <c r="K67" s="57">
        <f>224.50955914967*Deflactores!$H$5</f>
        <v>557.99726517795352</v>
      </c>
      <c r="L67" s="57">
        <f>291.45233544477*Deflactores!$I$5</f>
        <v>672.74801974197715</v>
      </c>
      <c r="M67" s="57">
        <f>243.07101533208*Deflactores!$J$5</f>
        <v>550.06016359864134</v>
      </c>
      <c r="N67" s="57">
        <f>248.66384747855*Deflactores!$K$5</f>
        <v>545.42004159465705</v>
      </c>
      <c r="O67" s="57">
        <f>255.05853423416*Deflactores!$L$5</f>
        <v>539.34642377348814</v>
      </c>
      <c r="P67" s="57">
        <f>156.5973138412*Deflactores!$M$5</f>
        <v>323.25308794576119</v>
      </c>
      <c r="Q67" s="57">
        <f>156.48146447372*Deflactores!$N$5</f>
        <v>316.86673341870136</v>
      </c>
      <c r="R67" s="57">
        <f>97.06348776836*Deflactores!$O$5</f>
        <v>189.60877526286112</v>
      </c>
      <c r="S67" s="57">
        <f>78.46766439643*Deflactores!$P$5</f>
        <v>143.56349533105526</v>
      </c>
      <c r="T67" s="57">
        <f>91.8446310290399*Deflactores!$Q$5</f>
        <v>158.901023778124</v>
      </c>
      <c r="U67" s="57">
        <f>91.9497718633*Deflactores!$R$5</f>
        <v>152.83209593041977</v>
      </c>
      <c r="V67" s="57">
        <f>93.36722012821*Deflactores!$S$5</f>
        <v>150.40518839127967</v>
      </c>
    </row>
    <row r="68" spans="3:22" x14ac:dyDescent="0.2">
      <c r="C68" s="87" t="s">
        <v>139</v>
      </c>
      <c r="D68" s="56">
        <f>413.40173080963*Deflactores!$A$5</f>
        <v>1539.3893886072938</v>
      </c>
      <c r="E68" s="56">
        <f>533.22403580734*Deflactores!$B$5</f>
        <v>1844.500272067324</v>
      </c>
      <c r="F68" s="56">
        <f>512.80101290003*Deflactores!$C$5</f>
        <v>1657.9339404619657</v>
      </c>
      <c r="G68" s="56">
        <f>557.405157613669*Deflactores!$D$5</f>
        <v>1692.2906310532978</v>
      </c>
      <c r="H68" s="56">
        <f>697.622031276819*Deflactores!$E$5</f>
        <v>2007.6320281488406</v>
      </c>
      <c r="I68" s="56">
        <f>792.303419785259*Deflactores!$F$5</f>
        <v>2174.5311275553026</v>
      </c>
      <c r="J68" s="56">
        <f>970.124627974879*Deflactores!$G$5</f>
        <v>2548.4551360775968</v>
      </c>
      <c r="K68" s="56">
        <f>982.30386412967*Deflactores!$H$5</f>
        <v>2441.4233043533086</v>
      </c>
      <c r="L68" s="56">
        <f>1297.2355110867*Deflactores!$I$5</f>
        <v>2994.3579621372687</v>
      </c>
      <c r="M68" s="56">
        <f>1367.38956487006*Deflactores!$J$5</f>
        <v>3094.348895231004</v>
      </c>
      <c r="N68" s="56">
        <f>2095.37806691872*Deflactores!$K$5</f>
        <v>4596.0086438135113</v>
      </c>
      <c r="O68" s="56">
        <f>5649.93438843847*Deflactores!$L$5</f>
        <v>11947.343444550454</v>
      </c>
      <c r="P68" s="56">
        <f>1643.26308366034*Deflactores!$M$5</f>
        <v>3392.0752091516733</v>
      </c>
      <c r="Q68" s="56">
        <f>2148.34818906695*Deflactores!$N$5</f>
        <v>4350.2920630574281</v>
      </c>
      <c r="R68" s="56">
        <f>2486.82270968169*Deflactores!$O$5</f>
        <v>4857.8865144831361</v>
      </c>
      <c r="S68" s="56">
        <f>2490.18155755272*Deflactores!$P$5</f>
        <v>4556.0062372324774</v>
      </c>
      <c r="T68" s="56">
        <f>2636.15104992493*Deflactores!$Q$5</f>
        <v>4560.8229460293869</v>
      </c>
      <c r="U68" s="56">
        <f>2949.40497780709*Deflactores!$R$5</f>
        <v>4902.2823588514475</v>
      </c>
      <c r="V68" s="56">
        <f>3070.80131481369*Deflactores!$S$5</f>
        <v>4946.7516504456207</v>
      </c>
    </row>
    <row r="69" spans="3:22" x14ac:dyDescent="0.2">
      <c r="C69" s="88" t="s">
        <v>140</v>
      </c>
      <c r="D69" s="57">
        <f>309.757081501569*Deflactores!$A$5</f>
        <v>1153.4464632637487</v>
      </c>
      <c r="E69" s="57">
        <f>441.925348982909*Deflactores!$B$5</f>
        <v>1528.6847022907632</v>
      </c>
      <c r="F69" s="57">
        <f>332.931425775439*Deflactores!$C$5</f>
        <v>1076.3986356382288</v>
      </c>
      <c r="G69" s="57">
        <f>406.223466201749*Deflactores!$D$5</f>
        <v>1233.3006908480709</v>
      </c>
      <c r="H69" s="57">
        <f>709.127706727039*Deflactores!$E$5</f>
        <v>2040.7433140654714</v>
      </c>
      <c r="I69" s="57">
        <f>681.70120858793*Deflactores!$F$5</f>
        <v>1870.9757660370808</v>
      </c>
      <c r="J69" s="57">
        <f>624.019105144749*Deflactores!$G$5</f>
        <v>1639.2581403034553</v>
      </c>
      <c r="K69" s="57">
        <f>2377.9116898085*Deflactores!$H$5</f>
        <v>5910.0744964862188</v>
      </c>
      <c r="L69" s="57">
        <f>1504.33899665569*Deflactores!$I$5</f>
        <v>3472.4068327547484</v>
      </c>
      <c r="M69" s="57">
        <f>6162.70369877785*Deflactores!$J$5</f>
        <v>13945.956493942822</v>
      </c>
      <c r="N69" s="57">
        <f>1133.38981735684*Deflactores!$K$5</f>
        <v>2485.9806827329526</v>
      </c>
      <c r="O69" s="57">
        <f>1701.3820327694*Deflactores!$L$5</f>
        <v>3597.7400936688391</v>
      </c>
      <c r="P69" s="57">
        <f>2081.58133547163*Deflactores!$M$5</f>
        <v>4296.8654953035029</v>
      </c>
      <c r="Q69" s="57">
        <f>2711.56927480003*Deflactores!$N$5</f>
        <v>5490.7851318626963</v>
      </c>
      <c r="R69" s="57">
        <f>2343.60665189978*Deflactores!$O$5</f>
        <v>4578.1209513621407</v>
      </c>
      <c r="S69" s="57">
        <f>2577.39333589426*Deflactores!$P$5</f>
        <v>4715.567858303466</v>
      </c>
      <c r="T69" s="57">
        <f>2531.02105345927*Deflactores!$Q$5</f>
        <v>4378.9368207217258</v>
      </c>
      <c r="U69" s="57">
        <f>3120.89471841559*Deflactores!$R$5</f>
        <v>5187.3198957224004</v>
      </c>
      <c r="V69" s="57">
        <f>3447.35700163345*Deflactores!$S$5</f>
        <v>5553.3449380915672</v>
      </c>
    </row>
    <row r="70" spans="3:22" x14ac:dyDescent="0.2">
      <c r="C70" s="87" t="s">
        <v>141</v>
      </c>
      <c r="D70" s="56">
        <f>352.64739156511*Deflactores!$A$5</f>
        <v>1313.1576673184211</v>
      </c>
      <c r="E70" s="56">
        <f>367.45480569193*Deflactores!$B$5</f>
        <v>1271.0801531011571</v>
      </c>
      <c r="F70" s="56">
        <f>390.875434072709*Deflactores!$C$5</f>
        <v>1263.7370682578655</v>
      </c>
      <c r="G70" s="56">
        <f>396.75453811597*Deflactores!$D$5</f>
        <v>1204.5528795535306</v>
      </c>
      <c r="H70" s="56">
        <f>451.44203439654*Deflactores!$E$5</f>
        <v>1299.1698175706399</v>
      </c>
      <c r="I70" s="56">
        <f>471.625958027559*Deflactores!$F$5</f>
        <v>1294.4098191220487</v>
      </c>
      <c r="J70" s="56">
        <f>528.43712089638*Deflactores!$G$5</f>
        <v>1388.1704020375719</v>
      </c>
      <c r="K70" s="56">
        <f>590.76663871212*Deflactores!$H$5</f>
        <v>1468.2945795638723</v>
      </c>
      <c r="L70" s="56">
        <f>671.67641867565*Deflactores!$I$5</f>
        <v>1550.4043907620551</v>
      </c>
      <c r="M70" s="56">
        <f>758.944049642529*Deflactores!$J$5</f>
        <v>1717.4605846700831</v>
      </c>
      <c r="N70" s="56">
        <f>858.19037791544*Deflactores!$K$5</f>
        <v>1882.357392781636</v>
      </c>
      <c r="O70" s="56">
        <f>906.069902489629*Deflactores!$L$5</f>
        <v>1915.9741628089578</v>
      </c>
      <c r="P70" s="56">
        <f>1026.3630100729*Deflactores!$M$5</f>
        <v>2118.6507240846613</v>
      </c>
      <c r="Q70" s="56">
        <f>1162.62648058361*Deflactores!$N$5</f>
        <v>2354.2574599976315</v>
      </c>
      <c r="R70" s="56">
        <f>1298.27226840443*Deflactores!$O$5</f>
        <v>2536.1113682352452</v>
      </c>
      <c r="S70" s="56">
        <f>1456.69575508222*Deflactores!$P$5</f>
        <v>2665.15303905272</v>
      </c>
      <c r="T70" s="56">
        <f>1494.51239856958*Deflactores!$Q$5</f>
        <v>2585.6661137515862</v>
      </c>
      <c r="U70" s="56">
        <f>1697.94734207123*Deflactores!$R$5</f>
        <v>2822.2022285604639</v>
      </c>
      <c r="V70" s="56">
        <f>1803.85482749127*Deflactores!$S$5</f>
        <v>2905.8284565695276</v>
      </c>
    </row>
    <row r="71" spans="3:22" x14ac:dyDescent="0.2">
      <c r="C71" s="88" t="s">
        <v>142</v>
      </c>
      <c r="D71" s="57">
        <f>336.83319619929*Deflactores!$A$5</f>
        <v>1254.2701428568548</v>
      </c>
      <c r="E71" s="57">
        <f>1043.56592753335*Deflactores!$B$5</f>
        <v>3609.84784630175</v>
      </c>
      <c r="F71" s="57">
        <f>836.097785681349*Deflactores!$C$5</f>
        <v>2703.1828361392886</v>
      </c>
      <c r="G71" s="57">
        <f>387.801293198419*Deflactores!$D$5</f>
        <v>1177.3706902886111</v>
      </c>
      <c r="H71" s="57">
        <f>255.34552804986*Deflactores!$E$5</f>
        <v>734.83897780467271</v>
      </c>
      <c r="I71" s="57">
        <f>147.23123168022*Deflactores!$F$5</f>
        <v>404.08622283079205</v>
      </c>
      <c r="J71" s="57">
        <f>246.22332915672*Deflactores!$G$5</f>
        <v>646.81288333174496</v>
      </c>
      <c r="K71" s="57">
        <f>370.03487913985*Deflactores!$H$5</f>
        <v>919.68667776342352</v>
      </c>
      <c r="L71" s="57">
        <f>571.82257794053*Deflactores!$I$5</f>
        <v>1319.9156780342319</v>
      </c>
      <c r="M71" s="57">
        <f>1046.57592461201*Deflactores!$J$5</f>
        <v>2368.3602239616948</v>
      </c>
      <c r="N71" s="57">
        <f>931.634053139369*Deflactores!$K$5</f>
        <v>2043.4489740536392</v>
      </c>
      <c r="O71" s="57">
        <f>804.37928149938*Deflactores!$L$5</f>
        <v>1700.9393162899878</v>
      </c>
      <c r="P71" s="57">
        <f>899.834267707099*Deflactores!$M$5</f>
        <v>1857.4661246788571</v>
      </c>
      <c r="Q71" s="57">
        <f>482.379970939109*Deflactores!$N$5</f>
        <v>976.7940642180896</v>
      </c>
      <c r="R71" s="57">
        <f>327.581717551169*Deflactores!$O$5</f>
        <v>639.91486079308754</v>
      </c>
      <c r="S71" s="57">
        <f>290.39337988307*Deflactores!$P$5</f>
        <v>531.300236316314</v>
      </c>
      <c r="T71" s="57">
        <f>436.670964527079*Deflactores!$Q$5</f>
        <v>755.48741978825558</v>
      </c>
      <c r="U71" s="57">
        <f>415.70359143943*Deflactores!$R$5</f>
        <v>690.95169980349806</v>
      </c>
      <c r="V71" s="57">
        <f>364.110666396392*Deflactores!$S$5</f>
        <v>586.54561311156863</v>
      </c>
    </row>
    <row r="72" spans="3:22" x14ac:dyDescent="0.2">
      <c r="C72" s="87" t="s">
        <v>143</v>
      </c>
      <c r="D72" s="56">
        <f>762.28565926158*Deflactores!$A$5</f>
        <v>2838.5329995030015</v>
      </c>
      <c r="E72" s="56">
        <f>772.33627741254*Deflactores!$B$5</f>
        <v>2671.6246420849816</v>
      </c>
      <c r="F72" s="56">
        <f>979.07513374427*Deflactores!$C$5</f>
        <v>3165.4420597125713</v>
      </c>
      <c r="G72" s="56">
        <f>803.92326195932*Deflactores!$D$5</f>
        <v>2440.7233871389662</v>
      </c>
      <c r="H72" s="56">
        <f>707.358496502559*Deflactores!$E$5</f>
        <v>2035.6518419617396</v>
      </c>
      <c r="I72" s="56">
        <f>642.02551454637*Deflactores!$F$5</f>
        <v>1762.0830999873542</v>
      </c>
      <c r="J72" s="56">
        <f>214.75170458604*Deflactores!$G$5</f>
        <v>564.13894540143997</v>
      </c>
      <c r="K72" s="56">
        <f>356.116927279849*Deflactores!$H$5</f>
        <v>885.09492539362088</v>
      </c>
      <c r="L72" s="56">
        <f>317.12580321259*Deflactores!$I$5</f>
        <v>732.00908064359203</v>
      </c>
      <c r="M72" s="56">
        <f>293.70969434575*Deflactores!$J$5</f>
        <v>664.65350589666991</v>
      </c>
      <c r="N72" s="56">
        <f>282.71764181632*Deflactores!$K$5</f>
        <v>620.11373797432316</v>
      </c>
      <c r="O72" s="56">
        <f>307.59308730923*Deflactores!$L$5</f>
        <v>650.43591705648805</v>
      </c>
      <c r="P72" s="56">
        <f>851.40714584752*Deflactores!$M$5</f>
        <v>1757.5013404980189</v>
      </c>
      <c r="Q72" s="56">
        <f>598.2181961041*Deflactores!$N$5</f>
        <v>1211.3603761867196</v>
      </c>
      <c r="R72" s="56">
        <f>653.539564976409*Deflactores!$O$5</f>
        <v>1276.6575707306636</v>
      </c>
      <c r="S72" s="56">
        <f>662.58467391706*Deflactores!$P$5</f>
        <v>1212.2569528735505</v>
      </c>
      <c r="T72" s="56">
        <f>788.16224678059*Deflactores!$Q$5</f>
        <v>1363.6048891862083</v>
      </c>
      <c r="U72" s="56">
        <f>1810.42298979981*Deflactores!$R$5</f>
        <v>3009.1509140781</v>
      </c>
      <c r="V72" s="56">
        <f>1458.5010537872*Deflactores!$S$5</f>
        <v>2349.4983085339218</v>
      </c>
    </row>
    <row r="73" spans="3:22" x14ac:dyDescent="0.2">
      <c r="C73" s="88" t="s">
        <v>144</v>
      </c>
      <c r="D73" s="57">
        <f>693.862779051269*Deflactores!$A$5</f>
        <v>2583.7458327259842</v>
      </c>
      <c r="E73" s="57">
        <f>784.09983190526*Deflactores!$B$5</f>
        <v>2712.3165051767282</v>
      </c>
      <c r="F73" s="57">
        <f>812.050661123999*Deflactores!$C$5</f>
        <v>2625.4362190866441</v>
      </c>
      <c r="G73" s="57">
        <f>812.517173549489*Deflactores!$D$5</f>
        <v>2466.8146348956352</v>
      </c>
      <c r="H73" s="57">
        <f>1029.04818081038*Deflactores!$E$5</f>
        <v>2961.417492108189</v>
      </c>
      <c r="I73" s="57">
        <f>1073.3435872458*Deflactores!$F$5</f>
        <v>2945.865160673497</v>
      </c>
      <c r="J73" s="57">
        <f>1206.12366606426*Deflactores!$G$5</f>
        <v>3168.4094629600495</v>
      </c>
      <c r="K73" s="57">
        <f>1307.56467704721*Deflactores!$H$5</f>
        <v>3249.8282772415728</v>
      </c>
      <c r="L73" s="57">
        <f>1451.32637262575*Deflactores!$I$5</f>
        <v>3350.0398673878631</v>
      </c>
      <c r="M73" s="57">
        <f>1672.32797060951*Deflactores!$J$5</f>
        <v>3784.4125341202166</v>
      </c>
      <c r="N73" s="57">
        <f>1821.33226706957*Deflactores!$K$5</f>
        <v>3994.9157504629493</v>
      </c>
      <c r="O73" s="57">
        <f>2040.10172878113*Deflactores!$L$5</f>
        <v>4313.9962944429371</v>
      </c>
      <c r="P73" s="57">
        <f>2328.11987771129*Deflactores!$M$5</f>
        <v>4805.7780885133197</v>
      </c>
      <c r="Q73" s="57">
        <f>2773.10784260678*Deflactores!$N$5</f>
        <v>5615.3974942646655</v>
      </c>
      <c r="R73" s="57">
        <f>3002.92687640084*Deflactores!$O$5</f>
        <v>5866.0707576994237</v>
      </c>
      <c r="S73" s="57">
        <f>3180.34400385011*Deflactores!$P$5</f>
        <v>5818.7191508743026</v>
      </c>
      <c r="T73" s="57">
        <f>3463.96809289669*Deflactores!$Q$5</f>
        <v>5993.0348690932478</v>
      </c>
      <c r="U73" s="57">
        <f>3755.62860572644*Deflactores!$R$5</f>
        <v>6242.3275198848578</v>
      </c>
      <c r="V73" s="57">
        <f>4164.08767681703*Deflactores!$S$5</f>
        <v>6707.9258721577917</v>
      </c>
    </row>
    <row r="74" spans="3:22" x14ac:dyDescent="0.2">
      <c r="C74" s="87" t="s">
        <v>145</v>
      </c>
      <c r="D74" s="56">
        <f>198.42565235831*Deflactores!$A$5</f>
        <v>738.88017611741168</v>
      </c>
      <c r="E74" s="56">
        <f>176.0110872857*Deflactores!$B$5</f>
        <v>608.84820747772869</v>
      </c>
      <c r="F74" s="56">
        <f>192.58197455976*Deflactores!$C$5</f>
        <v>622.63564991447049</v>
      </c>
      <c r="G74" s="56">
        <f>295.891924976569*Deflactores!$D$5</f>
        <v>898.3324348592173</v>
      </c>
      <c r="H74" s="56">
        <f>142.20019158814*Deflactores!$E$5</f>
        <v>409.22683952331977</v>
      </c>
      <c r="I74" s="56">
        <f>191.68116008835*Deflactores!$F$5</f>
        <v>526.08210285271718</v>
      </c>
      <c r="J74" s="56">
        <f>475.68494288053*Deflactores!$G$5</f>
        <v>1249.593815971092</v>
      </c>
      <c r="K74" s="56">
        <f>419.03946525936*Deflactores!$H$5</f>
        <v>1041.4829395325487</v>
      </c>
      <c r="L74" s="56">
        <f>348.54694123238*Deflactores!$I$5</f>
        <v>804.53726384924289</v>
      </c>
      <c r="M74" s="56">
        <f>402.955098376899*Deflactores!$J$5</f>
        <v>911.87156573682535</v>
      </c>
      <c r="N74" s="56">
        <f>716.36426021535*Deflactores!$K$5</f>
        <v>1571.2755535855922</v>
      </c>
      <c r="O74" s="56">
        <f>564.839845555461*Deflactores!$L$5</f>
        <v>1194.409556299827</v>
      </c>
      <c r="P74" s="56">
        <f>410.429861251859*Deflactores!$M$5</f>
        <v>847.22219545446762</v>
      </c>
      <c r="Q74" s="56">
        <f>537.560049782133*Deflactores!$N$5</f>
        <v>1088.5308209744262</v>
      </c>
      <c r="R74" s="56">
        <f>1073.65827488547*Deflactores!$O$5</f>
        <v>2097.338919426611</v>
      </c>
      <c r="S74" s="56">
        <f>819.10191569458*Deflactores!$P$5</f>
        <v>1498.6190165592254</v>
      </c>
      <c r="T74" s="56">
        <f>684.70982323829*Deflactores!$Q$5</f>
        <v>1184.621144257211</v>
      </c>
      <c r="U74" s="56">
        <f>732.16183776984*Deflactores!$R$5</f>
        <v>1216.9451425392226</v>
      </c>
      <c r="V74" s="56">
        <f>1770.72394119793*Deflactores!$S$5</f>
        <v>2852.4579354414777</v>
      </c>
    </row>
    <row r="75" spans="3:22" x14ac:dyDescent="0.2">
      <c r="C75" s="88" t="s">
        <v>146</v>
      </c>
      <c r="D75" s="57">
        <f>143.2508931459*Deflactores!$A$5</f>
        <v>533.42520938516316</v>
      </c>
      <c r="E75" s="57">
        <f>153.719172539669*Deflactores!$B$5</f>
        <v>531.73719962208884</v>
      </c>
      <c r="F75" s="57">
        <f>171.52468133569*Deflactores!$C$5</f>
        <v>554.55543897063717</v>
      </c>
      <c r="G75" s="57">
        <f>182.30649268251*Deflactores!$D$5</f>
        <v>553.4853155424637</v>
      </c>
      <c r="H75" s="57">
        <f>181.273906226719*Deflactores!$E$5</f>
        <v>521.67403506785365</v>
      </c>
      <c r="I75" s="57">
        <f>229.0185196803*Deflactores!$F$5</f>
        <v>628.55704947787046</v>
      </c>
      <c r="J75" s="57">
        <f>233.03605428581*Deflactores!$G$5</f>
        <v>612.17075859175952</v>
      </c>
      <c r="K75" s="57">
        <f>212.8868617293*Deflactores!$H$5</f>
        <v>529.11015053071571</v>
      </c>
      <c r="L75" s="57">
        <f>216.20465437638*Deflactores!$I$5</f>
        <v>499.05674239577729</v>
      </c>
      <c r="M75" s="57">
        <f>214.900023112499*Deflactores!$J$5</f>
        <v>486.3103143298228</v>
      </c>
      <c r="N75" s="57">
        <f>224.71179654166*Deflactores!$K$5</f>
        <v>492.88354000528631</v>
      </c>
      <c r="O75" s="57">
        <f>255.712782508129*Deflactores!$L$5</f>
        <v>540.7298962688692</v>
      </c>
      <c r="P75" s="57">
        <f>392.528971326293*Deflactores!$M$5</f>
        <v>810.27061688981689</v>
      </c>
      <c r="Q75" s="57">
        <f>410.622261718789*Deflactores!$N$5</f>
        <v>831.48847805986145</v>
      </c>
      <c r="R75" s="57">
        <f>475.539221088322*Deflactores!$O$5</f>
        <v>928.94260625779214</v>
      </c>
      <c r="S75" s="57">
        <f>595.572082704371*Deflactores!$P$5</f>
        <v>1089.6515217104627</v>
      </c>
      <c r="T75" s="57">
        <f>693.598866892939*Deflactores!$Q$5</f>
        <v>1200.000139428802</v>
      </c>
      <c r="U75" s="57">
        <f>633.48167668526*Deflactores!$R$5</f>
        <v>1052.9262924682384</v>
      </c>
      <c r="V75" s="57">
        <f>623.73979111704*Deflactores!$S$5</f>
        <v>1004.7819851685928</v>
      </c>
    </row>
    <row r="76" spans="3:22" x14ac:dyDescent="0.2">
      <c r="C76" s="90" t="s">
        <v>147</v>
      </c>
      <c r="D76" s="58">
        <f>4618.66673075931*Deflactores!$A$5</f>
        <v>17198.589229222453</v>
      </c>
      <c r="E76" s="58">
        <f>6179.43822516236*Deflactores!$B$5</f>
        <v>21375.584598840956</v>
      </c>
      <c r="F76" s="58">
        <f>7174.48003727636*Deflactores!$C$5</f>
        <v>23195.769235514726</v>
      </c>
      <c r="G76" s="58">
        <f>8335.44949941893*Deflactores!$D$5</f>
        <v>25306.55287416853</v>
      </c>
      <c r="H76" s="58">
        <f>10914.3628109887*Deflactores!$E$5</f>
        <v>31409.593395542794</v>
      </c>
      <c r="I76" s="58">
        <f>13936.8118548657*Deflactores!$F$5</f>
        <v>38250.536903527667</v>
      </c>
      <c r="J76" s="58">
        <f>15738.9955851166*Deflactores!$G$5</f>
        <v>41345.331289364665</v>
      </c>
      <c r="K76" s="58">
        <f>17048.3915029718*Deflactores!$H$5</f>
        <v>42372.163886346963</v>
      </c>
      <c r="L76" s="58">
        <f>18672.0854487718*Deflactores!$I$5</f>
        <v>43100.0440979298</v>
      </c>
      <c r="M76" s="58">
        <f>21054.915548604*Deflactores!$J$5</f>
        <v>47646.447172643188</v>
      </c>
      <c r="N76" s="58">
        <f>21943.0843924487*Deflactores!$K$5</f>
        <v>48130.028242552755</v>
      </c>
      <c r="O76" s="58">
        <f>23981.3250425867*Deflactores!$L$5</f>
        <v>50710.876771503252</v>
      </c>
      <c r="P76" s="58">
        <f>26819.6956422381*Deflactores!$M$5</f>
        <v>55362.057122578975</v>
      </c>
      <c r="Q76" s="58">
        <f>27898.0382791028*Deflactores!$N$5</f>
        <v>56492.059861657312</v>
      </c>
      <c r="R76" s="58">
        <f>34641.9495015201*Deflactores!$O$5</f>
        <v>67671.353757413919</v>
      </c>
      <c r="S76" s="58">
        <f>34274.8472402257*Deflactores!$P$5</f>
        <v>62708.848410284096</v>
      </c>
      <c r="T76" s="58">
        <f>35760.7535055644*Deflactores!$Q$5</f>
        <v>61869.924016730198</v>
      </c>
      <c r="U76" s="58">
        <f>38141.8044969005*Deflactores!$R$5</f>
        <v>63396.480553490794</v>
      </c>
      <c r="V76" s="58">
        <f>46553.4148375807*Deflactores!$S$5</f>
        <v>74992.86279798075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0.24945068766497933</v>
      </c>
      <c r="V77" s="59">
        <f>134.3385293323*Deflactores!$S$5</f>
        <v>216.40584120086942</v>
      </c>
    </row>
    <row r="78" spans="3:22" x14ac:dyDescent="0.2">
      <c r="C78" s="87" t="s">
        <v>149</v>
      </c>
      <c r="D78" s="56">
        <f>31.97698756911*Deflactores!$A$5</f>
        <v>119.07312348961409</v>
      </c>
      <c r="E78" s="56">
        <f>25.194439005*Deflactores!$B$5</f>
        <v>87.151265656930477</v>
      </c>
      <c r="F78" s="56">
        <f>18.40647352277*Deflactores!$C$5</f>
        <v>59.509861349599376</v>
      </c>
      <c r="G78" s="56">
        <f>18.58136757409*Deflactores!$D$5</f>
        <v>56.413317724598933</v>
      </c>
      <c r="H78" s="56">
        <f>20.34691229709*Deflactores!$E$5</f>
        <v>58.554791807262035</v>
      </c>
      <c r="I78" s="56">
        <f>43.90940696811*Deflactores!$F$5</f>
        <v>120.51238182277169</v>
      </c>
      <c r="J78" s="56">
        <f>35.07592224111*Deflactores!$G$5</f>
        <v>92.142196590364165</v>
      </c>
      <c r="K78" s="56">
        <f>36.93826685253*Deflactores!$H$5</f>
        <v>91.806566999601571</v>
      </c>
      <c r="L78" s="56">
        <f>37.47967777791*Deflactores!$I$5</f>
        <v>86.512873424664832</v>
      </c>
      <c r="M78" s="56">
        <f>41.92273279157*Deflactores!$J$5</f>
        <v>94.869498225976699</v>
      </c>
      <c r="N78" s="56">
        <f>109.66908352528*Deflactores!$K$5</f>
        <v>240.5485023437752</v>
      </c>
      <c r="O78" s="56">
        <f>120.72715453567*Deflactores!$L$5</f>
        <v>255.28947402867252</v>
      </c>
      <c r="P78" s="56">
        <f>142.633829439109*Deflactores!$M$5</f>
        <v>294.42922538554126</v>
      </c>
      <c r="Q78" s="56">
        <f>49.83694406615*Deflactores!$N$5</f>
        <v>100.91718992356174</v>
      </c>
      <c r="R78" s="56">
        <f>65.1505238825199*Deflactores!$O$5</f>
        <v>127.26836141082036</v>
      </c>
      <c r="S78" s="56">
        <f>66.8349346890599*Deflactores!$P$5</f>
        <v>122.28039292349293</v>
      </c>
      <c r="T78" s="56">
        <f>73.85757080003*Deflactores!$Q$5</f>
        <v>127.78148795849899</v>
      </c>
      <c r="U78" s="56">
        <f>77.42554996118*Deflactores!$R$5</f>
        <v>128.69101074796174</v>
      </c>
      <c r="V78" s="56">
        <f>74.70577058422*Deflactores!$S$5</f>
        <v>120.34347261497228</v>
      </c>
    </row>
    <row r="79" spans="3:22" x14ac:dyDescent="0.2">
      <c r="C79" s="88" t="s">
        <v>150</v>
      </c>
      <c r="D79" s="57">
        <f>540.76940650167*Deflactores!$A$5</f>
        <v>2013.670055086144</v>
      </c>
      <c r="E79" s="57">
        <f>937.81543040784*Deflactores!$B$5</f>
        <v>3244.04134167949</v>
      </c>
      <c r="F79" s="57">
        <f>866.420986196669*Deflactores!$C$5</f>
        <v>2801.2205974796384</v>
      </c>
      <c r="G79" s="57">
        <f>448.847284720979*Deflactores!$D$5</f>
        <v>1362.7072593997793</v>
      </c>
      <c r="H79" s="57">
        <f>751.77634544792*Deflactores!$E$5</f>
        <v>2163.4785047765199</v>
      </c>
      <c r="I79" s="57">
        <f>1163.1195614873*Deflactores!$F$5</f>
        <v>3192.2614851367384</v>
      </c>
      <c r="J79" s="57">
        <f>1678.84852985793*Deflactores!$G$5</f>
        <v>4410.2273411448268</v>
      </c>
      <c r="K79" s="57">
        <f>2330.46813377025*Deflactores!$H$5</f>
        <v>5792.1580272724877</v>
      </c>
      <c r="L79" s="57">
        <f>1801.31871208463*Deflactores!$I$5</f>
        <v>4157.9134873967932</v>
      </c>
      <c r="M79" s="57">
        <f>2879.78989731811*Deflactores!$J$5</f>
        <v>6516.8514636942537</v>
      </c>
      <c r="N79" s="57">
        <f>2948.79071172323*Deflactores!$K$5</f>
        <v>6467.8865422154249</v>
      </c>
      <c r="O79" s="57">
        <f>4351.94906129453*Deflactores!$L$5</f>
        <v>9202.6254667436733</v>
      </c>
      <c r="P79" s="57">
        <f>6816.53588490856*Deflactores!$M$5</f>
        <v>14070.907219546843</v>
      </c>
      <c r="Q79" s="57">
        <f>7319.63066334455*Deflactores!$N$5</f>
        <v>14821.867023840823</v>
      </c>
      <c r="R79" s="57">
        <f>6086.32505653574*Deflactores!$O$5</f>
        <v>11889.338270797067</v>
      </c>
      <c r="S79" s="57">
        <f>5516.92195970397*Deflactores!$P$5</f>
        <v>10093.694085277142</v>
      </c>
      <c r="T79" s="57">
        <f>4236.3281000596*Deflactores!$Q$5</f>
        <v>7329.3001955298087</v>
      </c>
      <c r="U79" s="57">
        <f>4080.65132792842*Deflactores!$R$5</f>
        <v>6782.5561996578581</v>
      </c>
      <c r="V79" s="57">
        <f>3322.07399703353*Deflactores!$S$5</f>
        <v>5351.5266352310837</v>
      </c>
    </row>
    <row r="80" spans="3:22" x14ac:dyDescent="0.2">
      <c r="C80" s="87" t="s">
        <v>151</v>
      </c>
      <c r="D80" s="56">
        <f>158.69702701501*Deflactores!$A$5</f>
        <v>590.94217847609616</v>
      </c>
      <c r="E80" s="56">
        <f>167.73073958185*Deflactores!$B$5</f>
        <v>580.20526836220517</v>
      </c>
      <c r="F80" s="56">
        <f>151.27687048185*Deflactores!$C$5</f>
        <v>489.09236071969809</v>
      </c>
      <c r="G80" s="56">
        <f>197.80711719422*Deflactores!$D$5</f>
        <v>600.5454499498004</v>
      </c>
      <c r="H80" s="56">
        <f>232.43541347651*Deflactores!$E$5</f>
        <v>668.90774610054382</v>
      </c>
      <c r="I80" s="56">
        <f>183.9221173644*Deflactores!$F$5</f>
        <v>504.78687743537176</v>
      </c>
      <c r="J80" s="56">
        <f>210.84903539402*Deflactores!$G$5</f>
        <v>553.88688390334471</v>
      </c>
      <c r="K80" s="56">
        <f>380.06764234456*Deflactores!$H$5</f>
        <v>944.62216136425366</v>
      </c>
      <c r="L80" s="56">
        <f>437.96980219007*Deflactores!$I$5</f>
        <v>1010.9485541795899</v>
      </c>
      <c r="M80" s="56">
        <f>699.936934699939*Deflactores!$J$5</f>
        <v>1583.9298004485995</v>
      </c>
      <c r="N80" s="56">
        <f>631.28187687535*Deflactores!$K$5</f>
        <v>1384.6555944285687</v>
      </c>
      <c r="O80" s="56">
        <f>1129.74048121473*Deflactores!$L$5</f>
        <v>2388.9476592691003</v>
      </c>
      <c r="P80" s="56">
        <f>3068.20442008798*Deflactores!$M$5</f>
        <v>6333.4838185540675</v>
      </c>
      <c r="Q80" s="56">
        <f>3553.8750003447*Deflactores!$N$5</f>
        <v>7196.4099142664454</v>
      </c>
      <c r="R80" s="56">
        <f>3703.31563520317*Deflactores!$O$5</f>
        <v>7234.24593682867</v>
      </c>
      <c r="S80" s="56">
        <f>3872.94695041037*Deflactores!$P$5</f>
        <v>7085.8971744539467</v>
      </c>
      <c r="T80" s="56">
        <f>3234.86632313391*Deflactores!$Q$5</f>
        <v>5596.6643316235586</v>
      </c>
      <c r="U80" s="56">
        <f>3844.84661822783*Deflactores!$R$5</f>
        <v>6390.6190878683565</v>
      </c>
      <c r="V80" s="56">
        <f>3791.48388269373*Deflactores!$S$5</f>
        <v>6107.6986856413087</v>
      </c>
    </row>
    <row r="81" spans="3:22" x14ac:dyDescent="0.2">
      <c r="C81" s="79" t="s">
        <v>154</v>
      </c>
      <c r="D81" s="44">
        <f t="shared" ref="D81:V81" si="1">+SUM(D52:D80)</f>
        <v>103918.45576422365</v>
      </c>
      <c r="E81" s="44">
        <f t="shared" si="1"/>
        <v>121391.0288739449</v>
      </c>
      <c r="F81" s="44">
        <f t="shared" si="1"/>
        <v>120064.74372609057</v>
      </c>
      <c r="G81" s="44">
        <f t="shared" si="1"/>
        <v>118506.65593852267</v>
      </c>
      <c r="H81" s="44">
        <f t="shared" si="1"/>
        <v>133548.10935519016</v>
      </c>
      <c r="I81" s="44">
        <f t="shared" si="1"/>
        <v>145159.82286493669</v>
      </c>
      <c r="J81" s="44">
        <f t="shared" si="1"/>
        <v>153427.05331732248</v>
      </c>
      <c r="K81" s="44">
        <f t="shared" si="1"/>
        <v>164168.58094004478</v>
      </c>
      <c r="L81" s="44">
        <f t="shared" si="1"/>
        <v>175594.62974155566</v>
      </c>
      <c r="M81" s="44">
        <f t="shared" si="1"/>
        <v>200811.05084402894</v>
      </c>
      <c r="N81" s="44">
        <f t="shared" si="1"/>
        <v>197629.01573152587</v>
      </c>
      <c r="O81" s="44">
        <f t="shared" si="1"/>
        <v>214852.55273316981</v>
      </c>
      <c r="P81" s="44">
        <f t="shared" si="1"/>
        <v>233212.04031860174</v>
      </c>
      <c r="Q81" s="44">
        <f t="shared" si="1"/>
        <v>254927.7557701359</v>
      </c>
      <c r="R81" s="44">
        <f t="shared" si="1"/>
        <v>270113.4499932584</v>
      </c>
      <c r="S81" s="44">
        <f t="shared" si="1"/>
        <v>265848.8762313191</v>
      </c>
      <c r="T81" s="44">
        <f t="shared" si="1"/>
        <v>256727.86887561734</v>
      </c>
      <c r="U81" s="44">
        <f t="shared" si="1"/>
        <v>271188.17175619712</v>
      </c>
      <c r="V81" s="44">
        <f t="shared" si="1"/>
        <v>269247.58915126737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55" t="s">
        <v>166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3:22" ht="0.75" customHeight="1" x14ac:dyDescent="0.2">
      <c r="H87" s="27"/>
      <c r="I87" s="27"/>
      <c r="J87" s="27"/>
      <c r="L87" s="177"/>
      <c r="M87" s="156"/>
      <c r="N87" s="156"/>
      <c r="O87" s="156"/>
      <c r="P87" s="156"/>
      <c r="Q87" s="156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6" t="s">
        <v>120</v>
      </c>
      <c r="D89" s="180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60"/>
      <c r="D90" s="181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88.112629661936779</v>
      </c>
      <c r="E91" s="60">
        <f t="shared" si="2"/>
        <v>95.164628868594335</v>
      </c>
      <c r="F91" s="60">
        <f t="shared" si="2"/>
        <v>89.060164159619291</v>
      </c>
      <c r="G91" s="60">
        <f t="shared" si="2"/>
        <v>97.795838687636248</v>
      </c>
      <c r="H91" s="60">
        <f t="shared" si="2"/>
        <v>95.202017592951066</v>
      </c>
      <c r="I91" s="60">
        <f t="shared" si="2"/>
        <v>94.592749332951726</v>
      </c>
      <c r="J91" s="60">
        <f t="shared" si="2"/>
        <v>97.584450270200421</v>
      </c>
      <c r="K91" s="60">
        <f t="shared" si="2"/>
        <v>97.824047655007462</v>
      </c>
      <c r="L91" s="60">
        <f t="shared" si="2"/>
        <v>99.524538660960218</v>
      </c>
      <c r="M91" s="60">
        <f t="shared" si="2"/>
        <v>93.104410922117395</v>
      </c>
      <c r="N91" s="60">
        <f t="shared" si="2"/>
        <v>92.205018897521043</v>
      </c>
      <c r="O91" s="60">
        <f t="shared" si="2"/>
        <v>96.427671902866635</v>
      </c>
      <c r="P91" s="60">
        <f t="shared" si="2"/>
        <v>93.542546179289275</v>
      </c>
      <c r="Q91" s="60">
        <f t="shared" si="2"/>
        <v>94.98119318632348</v>
      </c>
      <c r="R91" s="60">
        <f t="shared" si="2"/>
        <v>94.588719170442062</v>
      </c>
      <c r="S91" s="60">
        <f t="shared" si="2"/>
        <v>96.308130211765047</v>
      </c>
      <c r="T91" s="60">
        <f t="shared" si="2"/>
        <v>94.105845191807376</v>
      </c>
      <c r="U91" s="60">
        <f t="shared" si="2"/>
        <v>96.781280924303999</v>
      </c>
      <c r="V91" s="60">
        <f t="shared" si="2"/>
        <v>91.842197334092347</v>
      </c>
    </row>
    <row r="92" spans="3:22" x14ac:dyDescent="0.2">
      <c r="C92" s="88" t="s">
        <v>124</v>
      </c>
      <c r="D92" s="62">
        <f t="shared" ref="D92:V92" si="3">+IFERROR(IF(D53&gt;0,+((D53/D14)*100)," "),"")</f>
        <v>78.810057230129217</v>
      </c>
      <c r="E92" s="62">
        <f t="shared" si="3"/>
        <v>91.653526801232573</v>
      </c>
      <c r="F92" s="62">
        <f t="shared" si="3"/>
        <v>86.543649547935388</v>
      </c>
      <c r="G92" s="62">
        <f t="shared" si="3"/>
        <v>93.32063371236498</v>
      </c>
      <c r="H92" s="62">
        <f t="shared" si="3"/>
        <v>97.430444371239986</v>
      </c>
      <c r="I92" s="62">
        <f t="shared" si="3"/>
        <v>97.173746206564942</v>
      </c>
      <c r="J92" s="62">
        <f t="shared" si="3"/>
        <v>97.646980483089678</v>
      </c>
      <c r="K92" s="62">
        <f t="shared" si="3"/>
        <v>96.963780996384131</v>
      </c>
      <c r="L92" s="62">
        <f t="shared" si="3"/>
        <v>98.538304586985433</v>
      </c>
      <c r="M92" s="62">
        <f t="shared" si="3"/>
        <v>98.451670964393273</v>
      </c>
      <c r="N92" s="62">
        <f t="shared" si="3"/>
        <v>95.223353620681166</v>
      </c>
      <c r="O92" s="62">
        <f t="shared" si="3"/>
        <v>98.415506093146078</v>
      </c>
      <c r="P92" s="62">
        <f t="shared" si="3"/>
        <v>88.350793724097514</v>
      </c>
      <c r="Q92" s="62">
        <f t="shared" si="3"/>
        <v>88.961209343788568</v>
      </c>
      <c r="R92" s="62">
        <f t="shared" si="3"/>
        <v>94.588279956733402</v>
      </c>
      <c r="S92" s="62">
        <f t="shared" si="3"/>
        <v>76.010205288930536</v>
      </c>
      <c r="T92" s="62">
        <f t="shared" si="3"/>
        <v>95.477286760442226</v>
      </c>
      <c r="U92" s="62">
        <f t="shared" si="3"/>
        <v>96.477165518698229</v>
      </c>
      <c r="V92" s="62">
        <f t="shared" si="3"/>
        <v>98.204678826664932</v>
      </c>
    </row>
    <row r="93" spans="3:22" x14ac:dyDescent="0.2">
      <c r="C93" s="87" t="s">
        <v>125</v>
      </c>
      <c r="D93" s="60">
        <f t="shared" ref="D93:V93" si="4">+IFERROR(IF(D54&gt;0,+((D54/D15)*100)," "),"")</f>
        <v>79.351893112970075</v>
      </c>
      <c r="E93" s="60">
        <f t="shared" si="4"/>
        <v>99.730130729293535</v>
      </c>
      <c r="F93" s="60">
        <f t="shared" si="4"/>
        <v>89.553985529051374</v>
      </c>
      <c r="G93" s="60">
        <f t="shared" si="4"/>
        <v>99.71051438132281</v>
      </c>
      <c r="H93" s="60">
        <f t="shared" si="4"/>
        <v>99.484597485145471</v>
      </c>
      <c r="I93" s="60">
        <f t="shared" si="4"/>
        <v>99.562415884202252</v>
      </c>
      <c r="J93" s="60">
        <f t="shared" si="4"/>
        <v>99.578143328395811</v>
      </c>
      <c r="K93" s="60">
        <f t="shared" si="4"/>
        <v>98.915325951661288</v>
      </c>
      <c r="L93" s="60">
        <f t="shared" si="4"/>
        <v>99.673789805886599</v>
      </c>
      <c r="M93" s="60">
        <f t="shared" si="4"/>
        <v>76.082675096162461</v>
      </c>
      <c r="N93" s="60">
        <f t="shared" si="4"/>
        <v>98.454498192379489</v>
      </c>
      <c r="O93" s="60">
        <f t="shared" si="4"/>
        <v>96.684811844372604</v>
      </c>
      <c r="P93" s="60">
        <f t="shared" si="4"/>
        <v>95.910309967919162</v>
      </c>
      <c r="Q93" s="60">
        <f t="shared" si="4"/>
        <v>98.637334187480747</v>
      </c>
      <c r="R93" s="60">
        <f t="shared" si="4"/>
        <v>99.032864903881318</v>
      </c>
      <c r="S93" s="60">
        <f t="shared" si="4"/>
        <v>99.176953271400293</v>
      </c>
      <c r="T93" s="60">
        <f t="shared" si="4"/>
        <v>99.462226440432104</v>
      </c>
      <c r="U93" s="60">
        <f t="shared" si="4"/>
        <v>99.618059487305459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+IFERROR(IF(D55&gt;0,+((D55/D16)*100)," "),"")</f>
        <v>76.354754598687634</v>
      </c>
      <c r="E94" s="62">
        <f t="shared" si="5"/>
        <v>91.025572317199774</v>
      </c>
      <c r="F94" s="62">
        <f t="shared" si="5"/>
        <v>86.751826825854579</v>
      </c>
      <c r="G94" s="62">
        <f t="shared" si="5"/>
        <v>94.097332200555201</v>
      </c>
      <c r="H94" s="62">
        <f t="shared" si="5"/>
        <v>97.057429614156149</v>
      </c>
      <c r="I94" s="62">
        <f t="shared" si="5"/>
        <v>96.137789757505587</v>
      </c>
      <c r="J94" s="62">
        <f t="shared" si="5"/>
        <v>97.597202460700032</v>
      </c>
      <c r="K94" s="62">
        <f t="shared" si="5"/>
        <v>91.24644023441202</v>
      </c>
      <c r="L94" s="62">
        <f t="shared" si="5"/>
        <v>94.939076258439243</v>
      </c>
      <c r="M94" s="62">
        <f t="shared" si="5"/>
        <v>92.866710677761077</v>
      </c>
      <c r="N94" s="62">
        <f t="shared" si="5"/>
        <v>93.630894969980616</v>
      </c>
      <c r="O94" s="62">
        <f t="shared" si="5"/>
        <v>94.295128733059599</v>
      </c>
      <c r="P94" s="62">
        <f t="shared" si="5"/>
        <v>96.521528682237019</v>
      </c>
      <c r="Q94" s="62">
        <f t="shared" si="5"/>
        <v>96.51539360291271</v>
      </c>
      <c r="R94" s="62">
        <f t="shared" si="5"/>
        <v>92.714840687924777</v>
      </c>
      <c r="S94" s="62">
        <f t="shared" si="5"/>
        <v>96.169820470237994</v>
      </c>
      <c r="T94" s="62">
        <f t="shared" si="5"/>
        <v>99.036303991831815</v>
      </c>
      <c r="U94" s="62">
        <f t="shared" si="5"/>
        <v>99.092686428854165</v>
      </c>
      <c r="V94" s="62">
        <f t="shared" si="5"/>
        <v>98.904866993113117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86.959021208309778</v>
      </c>
      <c r="E95" s="60">
        <f t="shared" si="6"/>
        <v>91.272537025985088</v>
      </c>
      <c r="F95" s="60">
        <f t="shared" si="6"/>
        <v>96.629632365026197</v>
      </c>
      <c r="G95" s="60">
        <f t="shared" si="6"/>
        <v>97.066717937068049</v>
      </c>
      <c r="H95" s="60">
        <f t="shared" si="6"/>
        <v>97.366980045354538</v>
      </c>
      <c r="I95" s="60">
        <f t="shared" si="6"/>
        <v>98.83608316623021</v>
      </c>
      <c r="J95" s="60">
        <f t="shared" si="6"/>
        <v>98.629825963280226</v>
      </c>
      <c r="K95" s="60">
        <f t="shared" si="6"/>
        <v>98.631172724872513</v>
      </c>
      <c r="L95" s="60">
        <f t="shared" si="6"/>
        <v>97.148146364111838</v>
      </c>
      <c r="M95" s="60">
        <f t="shared" si="6"/>
        <v>96.03114091469709</v>
      </c>
      <c r="N95" s="60">
        <f t="shared" si="6"/>
        <v>96.932464935688898</v>
      </c>
      <c r="O95" s="60">
        <f t="shared" si="6"/>
        <v>92.945516398760432</v>
      </c>
      <c r="P95" s="60">
        <f t="shared" si="6"/>
        <v>89.430163683767745</v>
      </c>
      <c r="Q95" s="60">
        <f t="shared" si="6"/>
        <v>91.628131763743937</v>
      </c>
      <c r="R95" s="60">
        <f t="shared" si="6"/>
        <v>96.406606805279168</v>
      </c>
      <c r="S95" s="60">
        <f t="shared" si="6"/>
        <v>98.283377980229261</v>
      </c>
      <c r="T95" s="60">
        <f t="shared" si="6"/>
        <v>98.730632387700709</v>
      </c>
      <c r="U95" s="60">
        <f t="shared" si="6"/>
        <v>99.171703527289253</v>
      </c>
      <c r="V95" s="60">
        <f t="shared" si="6"/>
        <v>98.689471775469514</v>
      </c>
    </row>
    <row r="96" spans="3:22" x14ac:dyDescent="0.2">
      <c r="C96" s="88" t="s">
        <v>128</v>
      </c>
      <c r="D96" s="62">
        <f t="shared" ref="D96:V96" si="7">+IFERROR(IF(D57&gt;0,+((D57/D18)*100)," "),"")</f>
        <v>76.878335661193887</v>
      </c>
      <c r="E96" s="62">
        <f t="shared" si="7"/>
        <v>98.860392552212886</v>
      </c>
      <c r="F96" s="62">
        <f t="shared" si="7"/>
        <v>91.010285911426877</v>
      </c>
      <c r="G96" s="62">
        <f t="shared" si="7"/>
        <v>99.416377176135057</v>
      </c>
      <c r="H96" s="62">
        <f t="shared" si="7"/>
        <v>99.404615191863243</v>
      </c>
      <c r="I96" s="62">
        <f t="shared" si="7"/>
        <v>96.311630608301144</v>
      </c>
      <c r="J96" s="62">
        <f t="shared" si="7"/>
        <v>99.301781019084828</v>
      </c>
      <c r="K96" s="62">
        <f t="shared" si="7"/>
        <v>93.405749902552017</v>
      </c>
      <c r="L96" s="62">
        <f t="shared" si="7"/>
        <v>98.580938058691146</v>
      </c>
      <c r="M96" s="62">
        <f t="shared" si="7"/>
        <v>93.073043884598988</v>
      </c>
      <c r="N96" s="62">
        <f t="shared" si="7"/>
        <v>95.417734262035111</v>
      </c>
      <c r="O96" s="62">
        <f t="shared" si="7"/>
        <v>97.27485674680932</v>
      </c>
      <c r="P96" s="62">
        <f t="shared" si="7"/>
        <v>98.720893657942781</v>
      </c>
      <c r="Q96" s="62">
        <f t="shared" si="7"/>
        <v>97.046051699309771</v>
      </c>
      <c r="R96" s="62">
        <f t="shared" si="7"/>
        <v>99.510274795327462</v>
      </c>
      <c r="S96" s="62">
        <f t="shared" si="7"/>
        <v>99.277630583695796</v>
      </c>
      <c r="T96" s="62">
        <f t="shared" si="7"/>
        <v>99.470546407199052</v>
      </c>
      <c r="U96" s="62">
        <f t="shared" si="7"/>
        <v>99.827310658200787</v>
      </c>
      <c r="V96" s="62">
        <f t="shared" si="7"/>
        <v>99.316435170029592</v>
      </c>
    </row>
    <row r="97" spans="3:22" x14ac:dyDescent="0.2">
      <c r="C97" s="87" t="s">
        <v>129</v>
      </c>
      <c r="D97" s="60">
        <f t="shared" ref="D97:V97" si="8">+IFERROR(IF(D58&gt;0,+((D58/D19)*100)," "),"")</f>
        <v>98.353667128223691</v>
      </c>
      <c r="E97" s="60">
        <f t="shared" si="8"/>
        <v>98.377736559795053</v>
      </c>
      <c r="F97" s="60">
        <f t="shared" si="8"/>
        <v>97.228601269035337</v>
      </c>
      <c r="G97" s="60">
        <f t="shared" si="8"/>
        <v>98.562758575355318</v>
      </c>
      <c r="H97" s="60">
        <f t="shared" si="8"/>
        <v>99.14471740197925</v>
      </c>
      <c r="I97" s="60">
        <f t="shared" si="8"/>
        <v>99.32248395045174</v>
      </c>
      <c r="J97" s="60">
        <f t="shared" si="8"/>
        <v>99.446873892867615</v>
      </c>
      <c r="K97" s="60">
        <f t="shared" si="8"/>
        <v>98.409132602559509</v>
      </c>
      <c r="L97" s="60">
        <f t="shared" si="8"/>
        <v>99.654103044601371</v>
      </c>
      <c r="M97" s="60">
        <f t="shared" si="8"/>
        <v>97.830554675296227</v>
      </c>
      <c r="N97" s="60">
        <f t="shared" si="8"/>
        <v>97.608228062920332</v>
      </c>
      <c r="O97" s="60">
        <f t="shared" si="8"/>
        <v>98.564977948783508</v>
      </c>
      <c r="P97" s="60">
        <f t="shared" si="8"/>
        <v>99.639162053731994</v>
      </c>
      <c r="Q97" s="60">
        <f t="shared" si="8"/>
        <v>99.73886095738662</v>
      </c>
      <c r="R97" s="60">
        <f t="shared" si="8"/>
        <v>99.548624455954737</v>
      </c>
      <c r="S97" s="60">
        <f t="shared" si="8"/>
        <v>99.289243113989059</v>
      </c>
      <c r="T97" s="60">
        <f t="shared" si="8"/>
        <v>99.817970855705056</v>
      </c>
      <c r="U97" s="60">
        <f t="shared" si="8"/>
        <v>99.881789470797017</v>
      </c>
      <c r="V97" s="60">
        <f t="shared" si="8"/>
        <v>99.804786876421474</v>
      </c>
    </row>
    <row r="98" spans="3:22" x14ac:dyDescent="0.2">
      <c r="C98" s="88" t="s">
        <v>130</v>
      </c>
      <c r="D98" s="62">
        <f t="shared" ref="D98:V98" si="9">+IFERROR(IF(D59&gt;0,+((D59/D20)*100)," "),"")</f>
        <v>85.891649490864694</v>
      </c>
      <c r="E98" s="62">
        <f t="shared" si="9"/>
        <v>99.63295562035043</v>
      </c>
      <c r="F98" s="62">
        <f t="shared" si="9"/>
        <v>85.596680665463026</v>
      </c>
      <c r="G98" s="62">
        <f t="shared" si="9"/>
        <v>97.674173749385886</v>
      </c>
      <c r="H98" s="62">
        <f t="shared" si="9"/>
        <v>99.672797568018723</v>
      </c>
      <c r="I98" s="62">
        <f t="shared" si="9"/>
        <v>99.826569777142169</v>
      </c>
      <c r="J98" s="62">
        <f t="shared" si="9"/>
        <v>98.487926835232273</v>
      </c>
      <c r="K98" s="62">
        <f t="shared" si="9"/>
        <v>96.994325684656729</v>
      </c>
      <c r="L98" s="62">
        <f t="shared" si="9"/>
        <v>98.768673160197949</v>
      </c>
      <c r="M98" s="62">
        <f t="shared" si="9"/>
        <v>97.820843593109672</v>
      </c>
      <c r="N98" s="62">
        <f t="shared" si="9"/>
        <v>98.157621487863565</v>
      </c>
      <c r="O98" s="62">
        <f t="shared" si="9"/>
        <v>99.188010484918422</v>
      </c>
      <c r="P98" s="62">
        <f t="shared" si="9"/>
        <v>93.49055241303023</v>
      </c>
      <c r="Q98" s="62">
        <f t="shared" si="9"/>
        <v>95.106497090523945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98.209410454110795</v>
      </c>
      <c r="U98" s="62">
        <f t="shared" si="9"/>
        <v>98.774834821462321</v>
      </c>
      <c r="V98" s="62">
        <f t="shared" si="9"/>
        <v>99.253891851061951</v>
      </c>
    </row>
    <row r="99" spans="3:22" x14ac:dyDescent="0.2">
      <c r="C99" s="87" t="s">
        <v>131</v>
      </c>
      <c r="D99" s="60">
        <f t="shared" ref="D99:V99" si="10">+IFERROR(IF(D60&gt;0,+((D60/D21)*100)," "),"")</f>
        <v>94.855387122504709</v>
      </c>
      <c r="E99" s="60">
        <f t="shared" si="10"/>
        <v>96.841543939489725</v>
      </c>
      <c r="F99" s="60">
        <f t="shared" si="10"/>
        <v>99.630795680354794</v>
      </c>
      <c r="G99" s="60">
        <f t="shared" si="10"/>
        <v>99.662614973410541</v>
      </c>
      <c r="H99" s="60">
        <f t="shared" si="10"/>
        <v>99.950685356979747</v>
      </c>
      <c r="I99" s="60">
        <f t="shared" si="10"/>
        <v>99.813748332164806</v>
      </c>
      <c r="J99" s="60">
        <f t="shared" si="10"/>
        <v>99.474541698500829</v>
      </c>
      <c r="K99" s="60">
        <f t="shared" si="10"/>
        <v>99.785001292275595</v>
      </c>
      <c r="L99" s="60">
        <f t="shared" si="10"/>
        <v>99.651961840912051</v>
      </c>
      <c r="M99" s="60">
        <f t="shared" si="10"/>
        <v>99.385238410513679</v>
      </c>
      <c r="N99" s="60">
        <f t="shared" si="10"/>
        <v>97.604124029773601</v>
      </c>
      <c r="O99" s="60">
        <f t="shared" si="10"/>
        <v>99.893585707544105</v>
      </c>
      <c r="P99" s="60">
        <f t="shared" si="10"/>
        <v>99.398426548391853</v>
      </c>
      <c r="Q99" s="60">
        <f t="shared" si="10"/>
        <v>99.547200235847242</v>
      </c>
      <c r="R99" s="60">
        <f t="shared" si="10"/>
        <v>99.947895969910078</v>
      </c>
      <c r="S99" s="60">
        <f t="shared" si="10"/>
        <v>99.936525746486311</v>
      </c>
      <c r="T99" s="60">
        <f t="shared" si="10"/>
        <v>99.186079597932533</v>
      </c>
      <c r="U99" s="60">
        <f t="shared" si="10"/>
        <v>99.911641724660853</v>
      </c>
      <c r="V99" s="60">
        <f t="shared" si="10"/>
        <v>99.970428526934683</v>
      </c>
    </row>
    <row r="100" spans="3:22" x14ac:dyDescent="0.2">
      <c r="C100" s="88" t="s">
        <v>132</v>
      </c>
      <c r="D100" s="62">
        <f t="shared" ref="D100:V100" si="11">+IFERROR(IF(D61&gt;0,+((D61/D22)*100)," "),"")</f>
        <v>96.837791727358692</v>
      </c>
      <c r="E100" s="62">
        <f t="shared" si="11"/>
        <v>94.770962614055236</v>
      </c>
      <c r="F100" s="62">
        <f t="shared" si="11"/>
        <v>97.68175564781869</v>
      </c>
      <c r="G100" s="62">
        <f t="shared" si="11"/>
        <v>94.038785732305357</v>
      </c>
      <c r="H100" s="62">
        <f t="shared" si="11"/>
        <v>95.488074399499141</v>
      </c>
      <c r="I100" s="62">
        <f t="shared" si="11"/>
        <v>95.016246702612747</v>
      </c>
      <c r="J100" s="62">
        <f t="shared" si="11"/>
        <v>96.763401276653667</v>
      </c>
      <c r="K100" s="62">
        <f t="shared" si="11"/>
        <v>92.525032720068751</v>
      </c>
      <c r="L100" s="62">
        <f t="shared" si="11"/>
        <v>94.016193636928932</v>
      </c>
      <c r="M100" s="62">
        <f t="shared" si="11"/>
        <v>86.578819821664638</v>
      </c>
      <c r="N100" s="62">
        <f t="shared" si="11"/>
        <v>74.752823580357855</v>
      </c>
      <c r="O100" s="62">
        <f t="shared" si="11"/>
        <v>86.588548950372157</v>
      </c>
      <c r="P100" s="62">
        <f t="shared" si="11"/>
        <v>90.758360403522786</v>
      </c>
      <c r="Q100" s="62">
        <f t="shared" si="11"/>
        <v>91.408811901205127</v>
      </c>
      <c r="R100" s="62">
        <f t="shared" si="11"/>
        <v>92.903061536443587</v>
      </c>
      <c r="S100" s="62">
        <f t="shared" si="11"/>
        <v>93.704057544805295</v>
      </c>
      <c r="T100" s="62">
        <f t="shared" si="11"/>
        <v>97.2926175444573</v>
      </c>
      <c r="U100" s="62">
        <f t="shared" si="11"/>
        <v>98.326928980580803</v>
      </c>
      <c r="V100" s="62">
        <f t="shared" si="11"/>
        <v>94.717302143233127</v>
      </c>
    </row>
    <row r="101" spans="3:22" x14ac:dyDescent="0.2">
      <c r="C101" s="87" t="s">
        <v>133</v>
      </c>
      <c r="D101" s="60">
        <f t="shared" ref="D101:V101" si="12">+IFERROR(IF(D62&gt;0,+((D62/D23)*100)," "),"")</f>
        <v>96.1047305792234</v>
      </c>
      <c r="E101" s="60">
        <f t="shared" si="12"/>
        <v>98.509838701782854</v>
      </c>
      <c r="F101" s="60">
        <f t="shared" si="12"/>
        <v>98.222342937053824</v>
      </c>
      <c r="G101" s="60">
        <f t="shared" si="12"/>
        <v>98.411980048831182</v>
      </c>
      <c r="H101" s="60">
        <f t="shared" si="12"/>
        <v>99.594112006610004</v>
      </c>
      <c r="I101" s="60">
        <f t="shared" si="12"/>
        <v>99.725717934029063</v>
      </c>
      <c r="J101" s="60">
        <f t="shared" si="12"/>
        <v>99.700131567578296</v>
      </c>
      <c r="K101" s="60">
        <f t="shared" si="12"/>
        <v>99.054693624747628</v>
      </c>
      <c r="L101" s="60">
        <f t="shared" si="12"/>
        <v>98.031601784633096</v>
      </c>
      <c r="M101" s="60">
        <f t="shared" si="12"/>
        <v>98.652758681883341</v>
      </c>
      <c r="N101" s="60">
        <f t="shared" si="12"/>
        <v>94.693490559041948</v>
      </c>
      <c r="O101" s="60">
        <f t="shared" si="12"/>
        <v>97.701199197238495</v>
      </c>
      <c r="P101" s="60">
        <f t="shared" si="12"/>
        <v>96.105652325379836</v>
      </c>
      <c r="Q101" s="60">
        <f t="shared" si="12"/>
        <v>98.453934961258085</v>
      </c>
      <c r="R101" s="60">
        <f t="shared" si="12"/>
        <v>93.638062848173689</v>
      </c>
      <c r="S101" s="60">
        <f t="shared" si="12"/>
        <v>92.116521200355777</v>
      </c>
      <c r="T101" s="60">
        <f t="shared" si="12"/>
        <v>97.318091100046345</v>
      </c>
      <c r="U101" s="60">
        <f t="shared" si="12"/>
        <v>99.38379894790576</v>
      </c>
      <c r="V101" s="60">
        <f t="shared" si="12"/>
        <v>96.899832341804668</v>
      </c>
    </row>
    <row r="102" spans="3:22" x14ac:dyDescent="0.2">
      <c r="C102" s="88" t="s">
        <v>134</v>
      </c>
      <c r="D102" s="62">
        <f t="shared" ref="D102:V102" si="13">+IFERROR(IF(D63&gt;0,+((D63/D24)*100)," "),"")</f>
        <v>94.090103484460002</v>
      </c>
      <c r="E102" s="62">
        <f t="shared" si="13"/>
        <v>94.363325382107575</v>
      </c>
      <c r="F102" s="62">
        <f t="shared" si="13"/>
        <v>95.643976449876675</v>
      </c>
      <c r="G102" s="62">
        <f t="shared" si="13"/>
        <v>98.499328951191018</v>
      </c>
      <c r="H102" s="62">
        <f t="shared" si="13"/>
        <v>96.303790001636401</v>
      </c>
      <c r="I102" s="62">
        <f t="shared" si="13"/>
        <v>91.750656111667283</v>
      </c>
      <c r="J102" s="62">
        <f t="shared" si="13"/>
        <v>95.897772395153041</v>
      </c>
      <c r="K102" s="62">
        <f t="shared" si="13"/>
        <v>83.548686410379077</v>
      </c>
      <c r="L102" s="62">
        <f t="shared" si="13"/>
        <v>88.156923621818152</v>
      </c>
      <c r="M102" s="62">
        <f t="shared" si="13"/>
        <v>76.145415559425615</v>
      </c>
      <c r="N102" s="62">
        <f t="shared" si="13"/>
        <v>78.514094134904482</v>
      </c>
      <c r="O102" s="62">
        <f t="shared" si="13"/>
        <v>97.441909606471469</v>
      </c>
      <c r="P102" s="62">
        <f t="shared" si="13"/>
        <v>92.690419363207297</v>
      </c>
      <c r="Q102" s="62">
        <f t="shared" si="13"/>
        <v>84.815722584343362</v>
      </c>
      <c r="R102" s="62">
        <f t="shared" si="13"/>
        <v>75.769687355950097</v>
      </c>
      <c r="S102" s="62">
        <f t="shared" si="13"/>
        <v>93.385875884126847</v>
      </c>
      <c r="T102" s="62">
        <f t="shared" si="13"/>
        <v>95.49144704704895</v>
      </c>
      <c r="U102" s="62">
        <f t="shared" si="13"/>
        <v>97.394763690016035</v>
      </c>
      <c r="V102" s="62">
        <f t="shared" si="13"/>
        <v>89.982831380500599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59.296454906106511</v>
      </c>
      <c r="E104" s="62">
        <f t="shared" si="15"/>
        <v>95.911038955637238</v>
      </c>
      <c r="F104" s="62">
        <f t="shared" si="15"/>
        <v>91.136118519898744</v>
      </c>
      <c r="G104" s="62">
        <f t="shared" si="15"/>
        <v>98.304520609703232</v>
      </c>
      <c r="H104" s="62">
        <f t="shared" si="15"/>
        <v>99.256006550003974</v>
      </c>
      <c r="I104" s="62">
        <f t="shared" si="15"/>
        <v>99.624661182966619</v>
      </c>
      <c r="J104" s="62">
        <f t="shared" si="15"/>
        <v>99.660068265660144</v>
      </c>
      <c r="K104" s="62">
        <f t="shared" si="15"/>
        <v>95.274586227263185</v>
      </c>
      <c r="L104" s="62">
        <f t="shared" si="15"/>
        <v>99.735487271412467</v>
      </c>
      <c r="M104" s="62">
        <f t="shared" si="15"/>
        <v>98.737057953807707</v>
      </c>
      <c r="N104" s="62">
        <f t="shared" si="15"/>
        <v>99.756756045364853</v>
      </c>
      <c r="O104" s="62">
        <f t="shared" si="15"/>
        <v>98.844789475590289</v>
      </c>
      <c r="P104" s="62">
        <f t="shared" si="15"/>
        <v>95.847884629841076</v>
      </c>
      <c r="Q104" s="62">
        <f t="shared" si="15"/>
        <v>97.840598586051811</v>
      </c>
      <c r="R104" s="62">
        <f t="shared" si="15"/>
        <v>98.276144507946412</v>
      </c>
      <c r="S104" s="62">
        <f t="shared" si="15"/>
        <v>98.8106251970285</v>
      </c>
      <c r="T104" s="62">
        <f t="shared" si="15"/>
        <v>98.60756324667301</v>
      </c>
      <c r="U104" s="62">
        <f t="shared" si="15"/>
        <v>98.485190777239211</v>
      </c>
      <c r="V104" s="62">
        <f t="shared" si="15"/>
        <v>98.587500778165591</v>
      </c>
    </row>
    <row r="105" spans="3:22" x14ac:dyDescent="0.2">
      <c r="C105" s="87" t="s">
        <v>137</v>
      </c>
      <c r="D105" s="60">
        <f t="shared" ref="D105:V105" si="16">+IFERROR(IF(D66&gt;0,+((D66/D27)*100)," "),"")</f>
        <v>68.835260632756302</v>
      </c>
      <c r="E105" s="60">
        <f t="shared" si="16"/>
        <v>96.995871883680593</v>
      </c>
      <c r="F105" s="60">
        <f t="shared" si="16"/>
        <v>91.677525811660132</v>
      </c>
      <c r="G105" s="60">
        <f t="shared" si="16"/>
        <v>98.442808265805752</v>
      </c>
      <c r="H105" s="60">
        <f t="shared" si="16"/>
        <v>98.431251899628379</v>
      </c>
      <c r="I105" s="60">
        <f t="shared" si="16"/>
        <v>99.525123945231059</v>
      </c>
      <c r="J105" s="60">
        <f t="shared" si="16"/>
        <v>99.448586240867272</v>
      </c>
      <c r="K105" s="60">
        <f t="shared" si="16"/>
        <v>96.788861440641369</v>
      </c>
      <c r="L105" s="60">
        <f t="shared" si="16"/>
        <v>98.347513010073399</v>
      </c>
      <c r="M105" s="60">
        <f t="shared" si="16"/>
        <v>90.821793325683871</v>
      </c>
      <c r="N105" s="60">
        <f t="shared" si="16"/>
        <v>87.770628344177084</v>
      </c>
      <c r="O105" s="60">
        <f t="shared" si="16"/>
        <v>94.276110420362812</v>
      </c>
      <c r="P105" s="60">
        <f t="shared" si="16"/>
        <v>91.307286685509141</v>
      </c>
      <c r="Q105" s="60">
        <f t="shared" si="16"/>
        <v>84.946548621178849</v>
      </c>
      <c r="R105" s="60">
        <f t="shared" si="16"/>
        <v>97.051140029453364</v>
      </c>
      <c r="S105" s="60">
        <f t="shared" si="16"/>
        <v>97.679795210883057</v>
      </c>
      <c r="T105" s="60">
        <f t="shared" si="16"/>
        <v>98.924587477658619</v>
      </c>
      <c r="U105" s="60">
        <f t="shared" si="16"/>
        <v>97.700542097772114</v>
      </c>
      <c r="V105" s="60">
        <f t="shared" si="16"/>
        <v>97.930409743170145</v>
      </c>
    </row>
    <row r="106" spans="3:22" x14ac:dyDescent="0.2">
      <c r="C106" s="88" t="s">
        <v>138</v>
      </c>
      <c r="D106" s="62">
        <f t="shared" ref="D106:V106" si="17">+IFERROR(IF(D67&gt;0,+((D67/D28)*100)," "),"")</f>
        <v>96.565877970042919</v>
      </c>
      <c r="E106" s="62">
        <f t="shared" si="17"/>
        <v>97.382618947799031</v>
      </c>
      <c r="F106" s="62">
        <f t="shared" si="17"/>
        <v>94.521954409523616</v>
      </c>
      <c r="G106" s="62">
        <f t="shared" si="17"/>
        <v>98.560901045029183</v>
      </c>
      <c r="H106" s="62">
        <f t="shared" si="17"/>
        <v>99.045758404258549</v>
      </c>
      <c r="I106" s="62">
        <f t="shared" si="17"/>
        <v>96.524499227844856</v>
      </c>
      <c r="J106" s="62">
        <f t="shared" si="17"/>
        <v>96.039670216369842</v>
      </c>
      <c r="K106" s="62">
        <f t="shared" si="17"/>
        <v>93.698020812370558</v>
      </c>
      <c r="L106" s="62">
        <f t="shared" si="17"/>
        <v>92.763803803759075</v>
      </c>
      <c r="M106" s="62">
        <f t="shared" si="17"/>
        <v>84.696514841733674</v>
      </c>
      <c r="N106" s="62">
        <f t="shared" si="17"/>
        <v>83.610019140105592</v>
      </c>
      <c r="O106" s="62">
        <f t="shared" si="17"/>
        <v>89.437216576674601</v>
      </c>
      <c r="P106" s="62">
        <f t="shared" si="17"/>
        <v>82.14403697300429</v>
      </c>
      <c r="Q106" s="62">
        <f t="shared" si="17"/>
        <v>77.826982207887866</v>
      </c>
      <c r="R106" s="62">
        <f t="shared" si="17"/>
        <v>86.947147975225874</v>
      </c>
      <c r="S106" s="62">
        <f t="shared" si="17"/>
        <v>95.748235943248574</v>
      </c>
      <c r="T106" s="62">
        <f t="shared" si="17"/>
        <v>97.370917448849355</v>
      </c>
      <c r="U106" s="62">
        <f t="shared" si="17"/>
        <v>98.242303889304935</v>
      </c>
      <c r="V106" s="62">
        <f t="shared" si="17"/>
        <v>97.297851335725866</v>
      </c>
    </row>
    <row r="107" spans="3:22" x14ac:dyDescent="0.2">
      <c r="C107" s="87" t="s">
        <v>139</v>
      </c>
      <c r="D107" s="60">
        <f t="shared" ref="D107:V107" si="18">+IFERROR(IF(D68&gt;0,+((D68/D29)*100)," "),"")</f>
        <v>95.655070934701186</v>
      </c>
      <c r="E107" s="60">
        <f t="shared" si="18"/>
        <v>93.2750522209558</v>
      </c>
      <c r="F107" s="60">
        <f t="shared" si="18"/>
        <v>88.19586725504081</v>
      </c>
      <c r="G107" s="60">
        <f t="shared" si="18"/>
        <v>97.5562290192115</v>
      </c>
      <c r="H107" s="60">
        <f t="shared" si="18"/>
        <v>97.676283343222153</v>
      </c>
      <c r="I107" s="60">
        <f t="shared" si="18"/>
        <v>98.454537250056319</v>
      </c>
      <c r="J107" s="60">
        <f t="shared" si="18"/>
        <v>92.910328643956689</v>
      </c>
      <c r="K107" s="60">
        <f t="shared" si="18"/>
        <v>83.217725044690084</v>
      </c>
      <c r="L107" s="60">
        <f t="shared" si="18"/>
        <v>97.451061798767455</v>
      </c>
      <c r="M107" s="60">
        <f t="shared" si="18"/>
        <v>95.252013322775596</v>
      </c>
      <c r="N107" s="60">
        <f t="shared" si="18"/>
        <v>93.288521553355807</v>
      </c>
      <c r="O107" s="60">
        <f t="shared" si="18"/>
        <v>98.725433877395446</v>
      </c>
      <c r="P107" s="60">
        <f t="shared" si="18"/>
        <v>90.171012389731843</v>
      </c>
      <c r="Q107" s="60">
        <f t="shared" si="18"/>
        <v>92.372344071087596</v>
      </c>
      <c r="R107" s="60">
        <f t="shared" si="18"/>
        <v>96.193681383463641</v>
      </c>
      <c r="S107" s="60">
        <f t="shared" si="18"/>
        <v>94.988076868698641</v>
      </c>
      <c r="T107" s="60">
        <f t="shared" si="18"/>
        <v>97.620877272503733</v>
      </c>
      <c r="U107" s="60">
        <f t="shared" si="18"/>
        <v>93.875224037202926</v>
      </c>
      <c r="V107" s="60">
        <f t="shared" si="18"/>
        <v>91.370490063648163</v>
      </c>
    </row>
    <row r="108" spans="3:22" x14ac:dyDescent="0.2">
      <c r="C108" s="88" t="s">
        <v>140</v>
      </c>
      <c r="D108" s="62">
        <f t="shared" ref="D108:V108" si="19">+IFERROR(IF(D69&gt;0,+((D69/D30)*100)," "),"")</f>
        <v>87.836206812526314</v>
      </c>
      <c r="E108" s="62">
        <f t="shared" si="19"/>
        <v>74.787298206277981</v>
      </c>
      <c r="F108" s="62">
        <f t="shared" si="19"/>
        <v>82.093491145427748</v>
      </c>
      <c r="G108" s="62">
        <f t="shared" si="19"/>
        <v>98.118041680536507</v>
      </c>
      <c r="H108" s="62">
        <f t="shared" si="19"/>
        <v>96.80531056329005</v>
      </c>
      <c r="I108" s="62">
        <f t="shared" si="19"/>
        <v>91.242190875383187</v>
      </c>
      <c r="J108" s="62">
        <f t="shared" si="19"/>
        <v>77.042169110725879</v>
      </c>
      <c r="K108" s="62">
        <f t="shared" si="19"/>
        <v>61.243827411128969</v>
      </c>
      <c r="L108" s="62">
        <f t="shared" si="19"/>
        <v>98.241750939926831</v>
      </c>
      <c r="M108" s="62">
        <f t="shared" si="19"/>
        <v>89.078989498522915</v>
      </c>
      <c r="N108" s="62">
        <f t="shared" si="19"/>
        <v>97.746656595832278</v>
      </c>
      <c r="O108" s="62">
        <f t="shared" si="19"/>
        <v>98.434629451345828</v>
      </c>
      <c r="P108" s="62">
        <f t="shared" si="19"/>
        <v>98.337737270132777</v>
      </c>
      <c r="Q108" s="62">
        <f t="shared" si="19"/>
        <v>98.151326919525246</v>
      </c>
      <c r="R108" s="62">
        <f t="shared" si="19"/>
        <v>98.162265704891468</v>
      </c>
      <c r="S108" s="62">
        <f t="shared" si="19"/>
        <v>99.434977226864305</v>
      </c>
      <c r="T108" s="62">
        <f t="shared" si="19"/>
        <v>97.323537647486688</v>
      </c>
      <c r="U108" s="62">
        <f t="shared" si="19"/>
        <v>97.656599194922435</v>
      </c>
      <c r="V108" s="62">
        <f t="shared" si="19"/>
        <v>99.034394138113086</v>
      </c>
    </row>
    <row r="109" spans="3:22" x14ac:dyDescent="0.2">
      <c r="C109" s="87" t="s">
        <v>141</v>
      </c>
      <c r="D109" s="60">
        <f t="shared" ref="D109:V109" si="20">+IFERROR(IF(D70&gt;0,+((D70/D31)*100)," "),"")</f>
        <v>94.763286566646158</v>
      </c>
      <c r="E109" s="60">
        <f t="shared" si="20"/>
        <v>97.199790240930312</v>
      </c>
      <c r="F109" s="60">
        <f t="shared" si="20"/>
        <v>96.719671626171092</v>
      </c>
      <c r="G109" s="60">
        <f t="shared" si="20"/>
        <v>96.23269066518148</v>
      </c>
      <c r="H109" s="60">
        <f t="shared" si="20"/>
        <v>95.434563349109652</v>
      </c>
      <c r="I109" s="60">
        <f t="shared" si="20"/>
        <v>95.142613861800186</v>
      </c>
      <c r="J109" s="60">
        <f t="shared" si="20"/>
        <v>96.447178826713909</v>
      </c>
      <c r="K109" s="60">
        <f t="shared" si="20"/>
        <v>94.4462103348326</v>
      </c>
      <c r="L109" s="60">
        <f t="shared" si="20"/>
        <v>93.882951785043844</v>
      </c>
      <c r="M109" s="60">
        <f t="shared" si="20"/>
        <v>92.411549788740814</v>
      </c>
      <c r="N109" s="60">
        <f t="shared" si="20"/>
        <v>89.463583241625741</v>
      </c>
      <c r="O109" s="60">
        <f t="shared" si="20"/>
        <v>93.03235519121948</v>
      </c>
      <c r="P109" s="60">
        <f t="shared" si="20"/>
        <v>88.524122798892591</v>
      </c>
      <c r="Q109" s="60">
        <f t="shared" si="20"/>
        <v>89.980117431594408</v>
      </c>
      <c r="R109" s="60">
        <f t="shared" si="20"/>
        <v>94.382265180308565</v>
      </c>
      <c r="S109" s="60">
        <f t="shared" si="20"/>
        <v>95.647591292475397</v>
      </c>
      <c r="T109" s="60">
        <f t="shared" si="20"/>
        <v>96.810068990003217</v>
      </c>
      <c r="U109" s="60">
        <f t="shared" si="20"/>
        <v>96.669982322174747</v>
      </c>
      <c r="V109" s="60">
        <f t="shared" si="20"/>
        <v>96.706903215895608</v>
      </c>
    </row>
    <row r="110" spans="3:22" x14ac:dyDescent="0.2">
      <c r="C110" s="88" t="s">
        <v>142</v>
      </c>
      <c r="D110" s="62">
        <f t="shared" ref="D110:V110" si="21">+IFERROR(IF(D71&gt;0,+((D71/D32)*100)," "),"")</f>
        <v>68.988672511238804</v>
      </c>
      <c r="E110" s="62">
        <f t="shared" si="21"/>
        <v>97.070433998157327</v>
      </c>
      <c r="F110" s="62">
        <f t="shared" si="21"/>
        <v>95.65139537045512</v>
      </c>
      <c r="G110" s="62">
        <f t="shared" si="21"/>
        <v>94.884582248258397</v>
      </c>
      <c r="H110" s="62">
        <f t="shared" si="21"/>
        <v>82.498573778451942</v>
      </c>
      <c r="I110" s="62">
        <f t="shared" si="21"/>
        <v>53.560962553297777</v>
      </c>
      <c r="J110" s="62">
        <f t="shared" si="21"/>
        <v>68.654483340214014</v>
      </c>
      <c r="K110" s="62">
        <f t="shared" si="21"/>
        <v>93.629763222070352</v>
      </c>
      <c r="L110" s="62">
        <f t="shared" si="21"/>
        <v>94.51876211304922</v>
      </c>
      <c r="M110" s="62">
        <f t="shared" si="21"/>
        <v>92.800508646240957</v>
      </c>
      <c r="N110" s="62">
        <f t="shared" si="21"/>
        <v>93.514519420053801</v>
      </c>
      <c r="O110" s="62">
        <f t="shared" si="21"/>
        <v>92.150412232110341</v>
      </c>
      <c r="P110" s="62">
        <f t="shared" si="21"/>
        <v>92.008534154492253</v>
      </c>
      <c r="Q110" s="62">
        <f t="shared" si="21"/>
        <v>81.563221013410256</v>
      </c>
      <c r="R110" s="62">
        <f t="shared" si="21"/>
        <v>85.309691417194202</v>
      </c>
      <c r="S110" s="62">
        <f t="shared" si="21"/>
        <v>92.937563946713595</v>
      </c>
      <c r="T110" s="62">
        <f t="shared" si="21"/>
        <v>96.149858482973912</v>
      </c>
      <c r="U110" s="62">
        <f t="shared" si="21"/>
        <v>97.595464194460604</v>
      </c>
      <c r="V110" s="62">
        <f t="shared" si="21"/>
        <v>95.280581792003474</v>
      </c>
    </row>
    <row r="111" spans="3:22" x14ac:dyDescent="0.2">
      <c r="C111" s="87" t="s">
        <v>143</v>
      </c>
      <c r="D111" s="60">
        <f t="shared" ref="D111:V111" si="22">+IFERROR(IF(D72&gt;0,+((D72/D33)*100)," "),"")</f>
        <v>96.657130309138864</v>
      </c>
      <c r="E111" s="60">
        <f t="shared" si="22"/>
        <v>93.824841280438378</v>
      </c>
      <c r="F111" s="60">
        <f t="shared" si="22"/>
        <v>84.00364088161615</v>
      </c>
      <c r="G111" s="60">
        <f t="shared" si="22"/>
        <v>99.638469249423622</v>
      </c>
      <c r="H111" s="60">
        <f t="shared" si="22"/>
        <v>91.750879459979529</v>
      </c>
      <c r="I111" s="60">
        <f t="shared" si="22"/>
        <v>95.014417287262461</v>
      </c>
      <c r="J111" s="60">
        <f t="shared" si="22"/>
        <v>98.950151384103464</v>
      </c>
      <c r="K111" s="60">
        <f t="shared" si="22"/>
        <v>98.280332745670933</v>
      </c>
      <c r="L111" s="60">
        <f t="shared" si="22"/>
        <v>89.216811977010721</v>
      </c>
      <c r="M111" s="60">
        <f t="shared" si="22"/>
        <v>90.257300557818027</v>
      </c>
      <c r="N111" s="60">
        <f t="shared" si="22"/>
        <v>84.22905023900546</v>
      </c>
      <c r="O111" s="60">
        <f t="shared" si="22"/>
        <v>91.780826295724609</v>
      </c>
      <c r="P111" s="60">
        <f t="shared" si="22"/>
        <v>96.486862219172082</v>
      </c>
      <c r="Q111" s="60">
        <f t="shared" si="22"/>
        <v>93.096366147060095</v>
      </c>
      <c r="R111" s="60">
        <f t="shared" si="22"/>
        <v>94.11816842063844</v>
      </c>
      <c r="S111" s="60">
        <f t="shared" si="22"/>
        <v>96.816251340636654</v>
      </c>
      <c r="T111" s="60">
        <f t="shared" si="22"/>
        <v>98.233898945682469</v>
      </c>
      <c r="U111" s="60">
        <f t="shared" si="22"/>
        <v>98.424576067746898</v>
      </c>
      <c r="V111" s="60">
        <f t="shared" si="22"/>
        <v>98.491227211918101</v>
      </c>
    </row>
    <row r="112" spans="3:22" x14ac:dyDescent="0.2">
      <c r="C112" s="88" t="s">
        <v>144</v>
      </c>
      <c r="D112" s="62">
        <f t="shared" ref="D112:V112" si="23">+IFERROR(IF(D73&gt;0,+((D73/D34)*100)," "),"")</f>
        <v>98.121278107808195</v>
      </c>
      <c r="E112" s="62">
        <f t="shared" si="23"/>
        <v>97.111721859196663</v>
      </c>
      <c r="F112" s="62">
        <f t="shared" si="23"/>
        <v>97.638447484734982</v>
      </c>
      <c r="G112" s="62">
        <f t="shared" si="23"/>
        <v>99.404996752463276</v>
      </c>
      <c r="H112" s="62">
        <f t="shared" si="23"/>
        <v>99.136729475697265</v>
      </c>
      <c r="I112" s="62">
        <f t="shared" si="23"/>
        <v>99.797038151368739</v>
      </c>
      <c r="J112" s="62">
        <f t="shared" si="23"/>
        <v>98.759369858124316</v>
      </c>
      <c r="K112" s="62">
        <f t="shared" si="23"/>
        <v>99.102981727312596</v>
      </c>
      <c r="L112" s="62">
        <f t="shared" si="23"/>
        <v>98.723021636275803</v>
      </c>
      <c r="M112" s="62">
        <f t="shared" si="23"/>
        <v>99.121885520097081</v>
      </c>
      <c r="N112" s="62">
        <f t="shared" si="23"/>
        <v>97.840476790662592</v>
      </c>
      <c r="O112" s="62">
        <f t="shared" si="23"/>
        <v>95.411869613271946</v>
      </c>
      <c r="P112" s="62">
        <f t="shared" si="23"/>
        <v>95.077281970420472</v>
      </c>
      <c r="Q112" s="62">
        <f t="shared" si="23"/>
        <v>97.90816767815808</v>
      </c>
      <c r="R112" s="62">
        <f t="shared" si="23"/>
        <v>99.239921669522118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98.458764750132516</v>
      </c>
      <c r="V112" s="62">
        <f t="shared" si="23"/>
        <v>99.276332714780779</v>
      </c>
    </row>
    <row r="113" spans="3:22" x14ac:dyDescent="0.2">
      <c r="C113" s="87" t="s">
        <v>145</v>
      </c>
      <c r="D113" s="60">
        <f t="shared" ref="D113:V113" si="24">+IFERROR(IF(D74&gt;0,+((D74/D35)*100)," "),"")</f>
        <v>95.738962814650932</v>
      </c>
      <c r="E113" s="60">
        <f t="shared" si="24"/>
        <v>96.964639562676908</v>
      </c>
      <c r="F113" s="60">
        <f t="shared" si="24"/>
        <v>81.306345906809256</v>
      </c>
      <c r="G113" s="60">
        <f t="shared" si="24"/>
        <v>91.360983910360872</v>
      </c>
      <c r="H113" s="60">
        <f t="shared" si="24"/>
        <v>97.526923067284741</v>
      </c>
      <c r="I113" s="60">
        <f t="shared" si="24"/>
        <v>96.87209784469016</v>
      </c>
      <c r="J113" s="60">
        <f t="shared" si="24"/>
        <v>89.584760831834373</v>
      </c>
      <c r="K113" s="60">
        <f t="shared" si="24"/>
        <v>95.727155879049377</v>
      </c>
      <c r="L113" s="60">
        <f t="shared" si="24"/>
        <v>96.816787429809963</v>
      </c>
      <c r="M113" s="60">
        <f t="shared" si="24"/>
        <v>98.295728297813511</v>
      </c>
      <c r="N113" s="60">
        <f t="shared" si="24"/>
        <v>97.703415777826507</v>
      </c>
      <c r="O113" s="60">
        <f t="shared" si="24"/>
        <v>92.518205763725447</v>
      </c>
      <c r="P113" s="60">
        <f t="shared" si="24"/>
        <v>92.434038572815567</v>
      </c>
      <c r="Q113" s="60">
        <f t="shared" si="24"/>
        <v>89.278201448481639</v>
      </c>
      <c r="R113" s="60">
        <f t="shared" si="24"/>
        <v>94.56336616085909</v>
      </c>
      <c r="S113" s="60">
        <f t="shared" si="24"/>
        <v>92.614851317574605</v>
      </c>
      <c r="T113" s="60">
        <f t="shared" si="24"/>
        <v>94.761492919019517</v>
      </c>
      <c r="U113" s="60">
        <f t="shared" si="24"/>
        <v>96.187479388507754</v>
      </c>
      <c r="V113" s="60">
        <f t="shared" si="24"/>
        <v>97.769906596969818</v>
      </c>
    </row>
    <row r="114" spans="3:22" x14ac:dyDescent="0.2">
      <c r="C114" s="88" t="s">
        <v>146</v>
      </c>
      <c r="D114" s="62">
        <f t="shared" ref="D114:V114" si="25">+IFERROR(IF(D75&gt;0,+((D75/D36)*100)," "),"")</f>
        <v>92.434671151338932</v>
      </c>
      <c r="E114" s="62">
        <f t="shared" si="25"/>
        <v>94.467336199807804</v>
      </c>
      <c r="F114" s="62">
        <f t="shared" si="25"/>
        <v>94.505580101151239</v>
      </c>
      <c r="G114" s="62">
        <f t="shared" si="25"/>
        <v>98.685516212359204</v>
      </c>
      <c r="H114" s="62">
        <f t="shared" si="25"/>
        <v>93.319855401441416</v>
      </c>
      <c r="I114" s="62">
        <f t="shared" si="25"/>
        <v>89.888682788890989</v>
      </c>
      <c r="J114" s="62">
        <f t="shared" si="25"/>
        <v>95.248136919595368</v>
      </c>
      <c r="K114" s="62">
        <f t="shared" si="25"/>
        <v>86.023437921090789</v>
      </c>
      <c r="L114" s="62">
        <f t="shared" si="25"/>
        <v>91.888113605219118</v>
      </c>
      <c r="M114" s="62">
        <f t="shared" si="25"/>
        <v>94.108590320071627</v>
      </c>
      <c r="N114" s="62">
        <f t="shared" si="25"/>
        <v>85.140256811611849</v>
      </c>
      <c r="O114" s="62">
        <f t="shared" si="25"/>
        <v>97.848740693640096</v>
      </c>
      <c r="P114" s="62">
        <f t="shared" si="25"/>
        <v>96.394641467210008</v>
      </c>
      <c r="Q114" s="62">
        <f t="shared" si="25"/>
        <v>98.770596851103576</v>
      </c>
      <c r="R114" s="62">
        <f t="shared" si="25"/>
        <v>98.111002954344102</v>
      </c>
      <c r="S114" s="62">
        <f t="shared" si="25"/>
        <v>98.716546870742889</v>
      </c>
      <c r="T114" s="62">
        <f t="shared" si="25"/>
        <v>97.555191043058315</v>
      </c>
      <c r="U114" s="62">
        <f t="shared" si="25"/>
        <v>96.317037440132282</v>
      </c>
      <c r="V114" s="62">
        <f t="shared" si="25"/>
        <v>95.078587965426848</v>
      </c>
    </row>
    <row r="115" spans="3:22" x14ac:dyDescent="0.2">
      <c r="C115" s="90" t="s">
        <v>147</v>
      </c>
      <c r="D115" s="61">
        <f t="shared" ref="D115:V115" si="26">+IFERROR(IF(D76&gt;0,+((D76/D37)*100)," "),"")</f>
        <v>91.823201755151786</v>
      </c>
      <c r="E115" s="61">
        <f t="shared" si="26"/>
        <v>97.886312901795236</v>
      </c>
      <c r="F115" s="61">
        <f t="shared" si="26"/>
        <v>96.609164274489657</v>
      </c>
      <c r="G115" s="61">
        <f t="shared" si="26"/>
        <v>99.416031454880113</v>
      </c>
      <c r="H115" s="61">
        <f t="shared" si="26"/>
        <v>99.288747733599379</v>
      </c>
      <c r="I115" s="61">
        <f t="shared" si="26"/>
        <v>99.005298765342147</v>
      </c>
      <c r="J115" s="61">
        <f t="shared" si="26"/>
        <v>98.503541756182557</v>
      </c>
      <c r="K115" s="61">
        <f t="shared" si="26"/>
        <v>96.793341007733929</v>
      </c>
      <c r="L115" s="61">
        <f t="shared" si="26"/>
        <v>99.643500294751263</v>
      </c>
      <c r="M115" s="61">
        <f t="shared" si="26"/>
        <v>95.770928725925046</v>
      </c>
      <c r="N115" s="61">
        <f t="shared" si="26"/>
        <v>87.541208494844838</v>
      </c>
      <c r="O115" s="61">
        <f t="shared" si="26"/>
        <v>99.152040790570425</v>
      </c>
      <c r="P115" s="61">
        <f t="shared" si="26"/>
        <v>98.626290807785537</v>
      </c>
      <c r="Q115" s="61">
        <f t="shared" si="26"/>
        <v>98.59995562240114</v>
      </c>
      <c r="R115" s="61">
        <f t="shared" si="26"/>
        <v>97.823758349853222</v>
      </c>
      <c r="S115" s="61">
        <f t="shared" si="26"/>
        <v>98.829858075299754</v>
      </c>
      <c r="T115" s="61">
        <f t="shared" si="26"/>
        <v>99.730510976898017</v>
      </c>
      <c r="U115" s="61">
        <f t="shared" si="26"/>
        <v>99.768660174340425</v>
      </c>
      <c r="V115" s="61">
        <f t="shared" si="26"/>
        <v>95.820834546698137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+IFERROR(IF(D78&gt;0,+((D78/D39)*100)," "),"")</f>
        <v>78.376956777950454</v>
      </c>
      <c r="E117" s="60">
        <f t="shared" si="28"/>
        <v>89.469093490342175</v>
      </c>
      <c r="F117" s="60">
        <f t="shared" si="28"/>
        <v>93.493614292259522</v>
      </c>
      <c r="G117" s="60">
        <f t="shared" si="28"/>
        <v>92.700789623709639</v>
      </c>
      <c r="H117" s="60">
        <f t="shared" si="28"/>
        <v>91.809910193529475</v>
      </c>
      <c r="I117" s="60">
        <f t="shared" si="28"/>
        <v>95.414214453943771</v>
      </c>
      <c r="J117" s="60">
        <f t="shared" si="28"/>
        <v>74.817093928372074</v>
      </c>
      <c r="K117" s="60">
        <f t="shared" si="28"/>
        <v>95.962752787025209</v>
      </c>
      <c r="L117" s="60">
        <f t="shared" si="28"/>
        <v>93.437569250872556</v>
      </c>
      <c r="M117" s="60">
        <f t="shared" si="28"/>
        <v>30.648991611240834</v>
      </c>
      <c r="N117" s="60">
        <f t="shared" si="28"/>
        <v>79.395461825216145</v>
      </c>
      <c r="O117" s="60">
        <f t="shared" si="28"/>
        <v>85.377105508356891</v>
      </c>
      <c r="P117" s="60">
        <f t="shared" si="28"/>
        <v>75.81679301880672</v>
      </c>
      <c r="Q117" s="60">
        <f t="shared" si="28"/>
        <v>60.050733047219339</v>
      </c>
      <c r="R117" s="60">
        <f t="shared" si="28"/>
        <v>53.478165518363397</v>
      </c>
      <c r="S117" s="60">
        <f t="shared" si="28"/>
        <v>84.227713205660507</v>
      </c>
      <c r="T117" s="60">
        <f t="shared" si="28"/>
        <v>94.559355845785049</v>
      </c>
      <c r="U117" s="60">
        <f t="shared" si="28"/>
        <v>95.581056068981312</v>
      </c>
      <c r="V117" s="60">
        <f t="shared" si="28"/>
        <v>92.113906936741529</v>
      </c>
    </row>
    <row r="118" spans="3:22" x14ac:dyDescent="0.2">
      <c r="C118" s="88" t="s">
        <v>150</v>
      </c>
      <c r="D118" s="62">
        <f t="shared" ref="D118:V118" si="29">+IFERROR(IF(D79&gt;0,+((D79/D40)*100)," "),"")</f>
        <v>71.584267149062981</v>
      </c>
      <c r="E118" s="62">
        <f t="shared" si="29"/>
        <v>84.979602804257652</v>
      </c>
      <c r="F118" s="62">
        <f t="shared" si="29"/>
        <v>84.559588186837971</v>
      </c>
      <c r="G118" s="62">
        <f t="shared" si="29"/>
        <v>96.872661520833489</v>
      </c>
      <c r="H118" s="62">
        <f t="shared" si="29"/>
        <v>96.589766805198607</v>
      </c>
      <c r="I118" s="62">
        <f t="shared" si="29"/>
        <v>96.525239205330081</v>
      </c>
      <c r="J118" s="62">
        <f t="shared" si="29"/>
        <v>79.828541861327523</v>
      </c>
      <c r="K118" s="62">
        <f t="shared" si="29"/>
        <v>97.003172386182229</v>
      </c>
      <c r="L118" s="62">
        <f t="shared" si="29"/>
        <v>98.073180829024963</v>
      </c>
      <c r="M118" s="62">
        <f t="shared" si="29"/>
        <v>97.639333581902704</v>
      </c>
      <c r="N118" s="62">
        <f t="shared" si="29"/>
        <v>96.301638126773611</v>
      </c>
      <c r="O118" s="62">
        <f t="shared" si="29"/>
        <v>96.274307944423015</v>
      </c>
      <c r="P118" s="62">
        <f t="shared" si="29"/>
        <v>95.657350157700961</v>
      </c>
      <c r="Q118" s="62">
        <f t="shared" si="29"/>
        <v>98.97852627387384</v>
      </c>
      <c r="R118" s="62">
        <f t="shared" si="29"/>
        <v>98.113657731237623</v>
      </c>
      <c r="S118" s="62">
        <f t="shared" si="29"/>
        <v>97.372974979626164</v>
      </c>
      <c r="T118" s="62">
        <f t="shared" si="29"/>
        <v>99.650466457998107</v>
      </c>
      <c r="U118" s="62">
        <f t="shared" si="29"/>
        <v>98.53020716254116</v>
      </c>
      <c r="V118" s="62">
        <f t="shared" si="29"/>
        <v>99.392245517750183</v>
      </c>
    </row>
    <row r="119" spans="3:22" x14ac:dyDescent="0.2">
      <c r="C119" s="87" t="s">
        <v>151</v>
      </c>
      <c r="D119" s="60">
        <f t="shared" ref="D119:V119" si="30">+IFERROR(IF(D80&gt;0,+((D80/D41)*100)," "),"")</f>
        <v>96.876741746332485</v>
      </c>
      <c r="E119" s="60">
        <f t="shared" si="30"/>
        <v>97.818139635509056</v>
      </c>
      <c r="F119" s="60">
        <f t="shared" si="30"/>
        <v>89.685043527966499</v>
      </c>
      <c r="G119" s="60">
        <f t="shared" si="30"/>
        <v>92.675695579189252</v>
      </c>
      <c r="H119" s="60">
        <f t="shared" si="30"/>
        <v>99.58357751781412</v>
      </c>
      <c r="I119" s="60">
        <f t="shared" si="30"/>
        <v>97.873578936329395</v>
      </c>
      <c r="J119" s="60">
        <f t="shared" si="30"/>
        <v>98.21565364560368</v>
      </c>
      <c r="K119" s="60">
        <f t="shared" si="30"/>
        <v>98.832216406379061</v>
      </c>
      <c r="L119" s="60">
        <f t="shared" si="30"/>
        <v>98.715421457354495</v>
      </c>
      <c r="M119" s="60">
        <f t="shared" si="30"/>
        <v>96.968902869468039</v>
      </c>
      <c r="N119" s="60">
        <f t="shared" si="30"/>
        <v>99.363077617936966</v>
      </c>
      <c r="O119" s="60">
        <f t="shared" si="30"/>
        <v>98.598664817522305</v>
      </c>
      <c r="P119" s="60">
        <f t="shared" si="30"/>
        <v>99.632081297774562</v>
      </c>
      <c r="Q119" s="60">
        <f t="shared" si="30"/>
        <v>98.815538735823836</v>
      </c>
      <c r="R119" s="60">
        <f t="shared" si="30"/>
        <v>99.581830615260969</v>
      </c>
      <c r="S119" s="60">
        <f t="shared" si="30"/>
        <v>99.576664667962945</v>
      </c>
      <c r="T119" s="60">
        <f t="shared" si="30"/>
        <v>99.718791329841892</v>
      </c>
      <c r="U119" s="60">
        <f t="shared" si="30"/>
        <v>99.934022095052129</v>
      </c>
      <c r="V119" s="60">
        <f t="shared" si="30"/>
        <v>99.635748584689026</v>
      </c>
    </row>
    <row r="120" spans="3:22" x14ac:dyDescent="0.2">
      <c r="C120" s="91" t="s">
        <v>154</v>
      </c>
      <c r="D120" s="64">
        <f t="shared" ref="D120:V120" si="31">+IFERROR(IF(D81&gt;0,+((D81/D42)*100)," "),"")</f>
        <v>93.314815976948722</v>
      </c>
      <c r="E120" s="64">
        <f t="shared" si="31"/>
        <v>95.91789846704917</v>
      </c>
      <c r="F120" s="64">
        <f t="shared" si="31"/>
        <v>95.852633059446546</v>
      </c>
      <c r="G120" s="64">
        <f t="shared" si="31"/>
        <v>98.789933630308596</v>
      </c>
      <c r="H120" s="64">
        <f t="shared" si="31"/>
        <v>98.522566726160335</v>
      </c>
      <c r="I120" s="64">
        <f t="shared" si="31"/>
        <v>97.662340187000396</v>
      </c>
      <c r="J120" s="64">
        <f t="shared" si="31"/>
        <v>97.304611429411722</v>
      </c>
      <c r="K120" s="64">
        <f t="shared" si="31"/>
        <v>94.066017403338563</v>
      </c>
      <c r="L120" s="64">
        <f t="shared" si="31"/>
        <v>98.032978094114071</v>
      </c>
      <c r="M120" s="64">
        <f t="shared" si="31"/>
        <v>94.6050526439941</v>
      </c>
      <c r="N120" s="64">
        <f t="shared" si="31"/>
        <v>92.637699610348719</v>
      </c>
      <c r="O120" s="64">
        <f t="shared" si="31"/>
        <v>98.42160807496407</v>
      </c>
      <c r="P120" s="64">
        <f t="shared" si="31"/>
        <v>97.426289889196738</v>
      </c>
      <c r="Q120" s="64">
        <f t="shared" si="31"/>
        <v>96.82958420165383</v>
      </c>
      <c r="R120" s="64">
        <f t="shared" si="31"/>
        <v>95.628725156252031</v>
      </c>
      <c r="S120" s="64">
        <f t="shared" si="31"/>
        <v>97.940617413129829</v>
      </c>
      <c r="T120" s="64">
        <f t="shared" si="31"/>
        <v>98.686447096492387</v>
      </c>
      <c r="U120" s="64">
        <f t="shared" si="31"/>
        <v>99.067135507361101</v>
      </c>
      <c r="V120" s="64">
        <f t="shared" si="31"/>
        <v>97.408977440653885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55" t="s">
        <v>167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6" t="s">
        <v>120</v>
      </c>
      <c r="D128" s="180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60"/>
      <c r="D129" s="181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393.803408312179*Deflactores!$A$5</f>
        <v>1466.4108608493327</v>
      </c>
      <c r="E130" s="56">
        <f>463.38114339604*Deflactores!$B$5</f>
        <v>1602.9034470863178</v>
      </c>
      <c r="F130" s="56">
        <f>454.51567656092*Deflactores!$C$5</f>
        <v>1469.4919621566494</v>
      </c>
      <c r="G130" s="56">
        <f>377.88421909743*Deflactores!$D$5</f>
        <v>1147.2623007996915</v>
      </c>
      <c r="H130" s="56">
        <f>447.22584668524*Deflactores!$E$5</f>
        <v>1287.0363798258468</v>
      </c>
      <c r="I130" s="56">
        <f>525.91836065907*Deflactores!$F$5</f>
        <v>1443.4190453399344</v>
      </c>
      <c r="J130" s="56">
        <f>784.23123482629*Deflactores!$G$5</f>
        <v>2060.1251227252496</v>
      </c>
      <c r="K130" s="56">
        <f>1266.19795046168*Deflactores!$H$5</f>
        <v>3147.0151926160679</v>
      </c>
      <c r="L130" s="56">
        <f>1778.46879956156*Deflactores!$I$5</f>
        <v>4105.1699285650757</v>
      </c>
      <c r="M130" s="56">
        <f>1374.11128944067*Deflactores!$J$5</f>
        <v>3109.559894008145</v>
      </c>
      <c r="N130" s="56">
        <f>1313.14245087745*Deflactores!$K$5</f>
        <v>2880.2506574224471</v>
      </c>
      <c r="O130" s="56">
        <f>1323.59800854374*Deflactores!$L$5</f>
        <v>2798.8785184752596</v>
      </c>
      <c r="P130" s="56">
        <f>1883.91099331148*Deflactores!$M$5</f>
        <v>3888.8281737734542</v>
      </c>
      <c r="Q130" s="56">
        <f>3236.99358431459*Deflactores!$N$5</f>
        <v>6554.7417172294954</v>
      </c>
      <c r="R130" s="56">
        <f>3069.6991900535*Deflactores!$O$5</f>
        <v>5996.5072060924886</v>
      </c>
      <c r="S130" s="56">
        <f>3297.93392064388*Deflactores!$P$5</f>
        <v>6033.8602488087736</v>
      </c>
      <c r="T130" s="56">
        <f>2047.0101928436*Deflactores!$Q$5</f>
        <v>3541.5463232059465</v>
      </c>
      <c r="U130" s="56">
        <f>2560.70588145718*Deflactores!$R$5</f>
        <v>4256.215529346593</v>
      </c>
      <c r="V130" s="56">
        <f>1411.49295957732*Deflactores!$S$5</f>
        <v>2273.7730030590105</v>
      </c>
    </row>
    <row r="131" spans="3:22" x14ac:dyDescent="0.2">
      <c r="C131" s="88" t="s">
        <v>124</v>
      </c>
      <c r="D131" s="57">
        <f>105.36411822376*Deflactores!$A$5</f>
        <v>392.34573405381167</v>
      </c>
      <c r="E131" s="57">
        <f>121.12908912543*Deflactores!$B$5</f>
        <v>419.00331351126107</v>
      </c>
      <c r="F131" s="57">
        <f>125.45739772023*Deflactores!$C$5</f>
        <v>405.61557510603899</v>
      </c>
      <c r="G131" s="57">
        <f>148.792439908709*Deflactores!$D$5</f>
        <v>451.73613589630395</v>
      </c>
      <c r="H131" s="57">
        <f>147.79874074354*Deflactores!$E$5</f>
        <v>425.33846744162832</v>
      </c>
      <c r="I131" s="57">
        <f>176.4687692983*Deflactores!$F$5</f>
        <v>484.33065199255924</v>
      </c>
      <c r="J131" s="57">
        <f>231.280849505969*Deflactores!$G$5</f>
        <v>607.55994828237567</v>
      </c>
      <c r="K131" s="57">
        <f>476.33743959263*Deflactores!$H$5</f>
        <v>1183.8916329498607</v>
      </c>
      <c r="L131" s="57">
        <f>1419.32246498877*Deflactores!$I$5</f>
        <v>3276.1664998818974</v>
      </c>
      <c r="M131" s="57">
        <f>1595.72704646408*Deflactores!$J$5</f>
        <v>3611.0676504874318</v>
      </c>
      <c r="N131" s="57">
        <f>1762.0715834062*Deflactores!$K$5</f>
        <v>3864.9331861443015</v>
      </c>
      <c r="O131" s="57">
        <f>1310.79662672547*Deflactores!$L$5</f>
        <v>2771.8087341852574</v>
      </c>
      <c r="P131" s="57">
        <f>300.4257698713*Deflactores!$M$5</f>
        <v>620.14829901782298</v>
      </c>
      <c r="Q131" s="57">
        <f>353.997346306649*Deflactores!$N$5</f>
        <v>716.82600326069178</v>
      </c>
      <c r="R131" s="57">
        <f>387.967362361911*Deflactores!$O$5</f>
        <v>757.87526402264473</v>
      </c>
      <c r="S131" s="57">
        <f>435.979370289326*Deflactores!$P$5</f>
        <v>797.66261392400679</v>
      </c>
      <c r="T131" s="57">
        <f>436.508509026007*Deflactores!$Q$5</f>
        <v>755.20635441568572</v>
      </c>
      <c r="U131" s="57">
        <f>470.6335667799*Deflactores!$R$5</f>
        <v>782.25223367726437</v>
      </c>
      <c r="V131" s="57">
        <f>438.61583760881*Deflactores!$S$5</f>
        <v>706.56594034140869</v>
      </c>
    </row>
    <row r="132" spans="3:22" x14ac:dyDescent="0.2">
      <c r="C132" s="87" t="s">
        <v>125</v>
      </c>
      <c r="D132" s="56">
        <f>26.8834639093999*Deflactores!$A$5</f>
        <v>100.10630335312891</v>
      </c>
      <c r="E132" s="56">
        <f>36.73429106495*Deflactores!$B$5</f>
        <v>127.06930917116745</v>
      </c>
      <c r="F132" s="56">
        <f>21.14463452346*Deflactores!$C$5</f>
        <v>68.36259358548179</v>
      </c>
      <c r="G132" s="56">
        <f>14.32293153221*Deflactores!$D$5</f>
        <v>43.484640409402715</v>
      </c>
      <c r="H132" s="56">
        <f>39.00130637267*Deflactores!$E$5</f>
        <v>112.23881744403788</v>
      </c>
      <c r="I132" s="56">
        <f>31.6833689300399*Deflactores!$F$5</f>
        <v>86.957181104763606</v>
      </c>
      <c r="J132" s="56">
        <f>42.7822032775999*Deflactores!$G$5</f>
        <v>112.38610229194028</v>
      </c>
      <c r="K132" s="56">
        <f>73.76148976697*Deflactores!$H$5</f>
        <v>183.32720317704727</v>
      </c>
      <c r="L132" s="56">
        <f>128.924043614*Deflactores!$I$5</f>
        <v>297.59032435299429</v>
      </c>
      <c r="M132" s="56">
        <f>137.70957373637*Deflactores!$J$5</f>
        <v>311.63135824746649</v>
      </c>
      <c r="N132" s="56">
        <f>334.97356513327*Deflactores!$K$5</f>
        <v>734.73203958150248</v>
      </c>
      <c r="O132" s="56">
        <f>360.75645416604*Deflactores!$L$5</f>
        <v>762.85509909277459</v>
      </c>
      <c r="P132" s="56">
        <f>386.601252510659*Deflactores!$M$5</f>
        <v>798.03443374831681</v>
      </c>
      <c r="Q132" s="56">
        <f>414.57717876032*Deflactores!$N$5</f>
        <v>839.4969770096036</v>
      </c>
      <c r="R132" s="56">
        <f>357.03357931108*Deflactores!$O$5</f>
        <v>697.44763203282207</v>
      </c>
      <c r="S132" s="56">
        <f>348.128329310249*Deflactores!$P$5</f>
        <v>636.93140561749476</v>
      </c>
      <c r="T132" s="56">
        <f>301.586931166029*Deflactores!$Q$5</f>
        <v>521.77761055224062</v>
      </c>
      <c r="U132" s="56">
        <f>378.87148355873*Deflactores!$R$5</f>
        <v>629.73209989724239</v>
      </c>
      <c r="V132" s="56">
        <f>269.02530627727*Deflactores!$S$5</f>
        <v>433.37267423290314</v>
      </c>
    </row>
    <row r="133" spans="3:22" x14ac:dyDescent="0.2">
      <c r="C133" s="88" t="s">
        <v>126</v>
      </c>
      <c r="D133" s="57">
        <f>161.930549002719*Deflactores!$A$5</f>
        <v>602.98288625436089</v>
      </c>
      <c r="E133" s="57">
        <f>176.599411168159*Deflactores!$B$5</f>
        <v>610.88330621369687</v>
      </c>
      <c r="F133" s="57">
        <f>154.481427837409*Deflactores!$C$5</f>
        <v>499.45299626893802</v>
      </c>
      <c r="G133" s="57">
        <f>132.749683040209*Deflactores!$D$5</f>
        <v>403.03007931610063</v>
      </c>
      <c r="H133" s="57">
        <f>124.135312269629*Deflactores!$E$5</f>
        <v>357.2393324227948</v>
      </c>
      <c r="I133" s="57">
        <f>137.49935706698*Deflactores!$F$5</f>
        <v>377.37642485757209</v>
      </c>
      <c r="J133" s="57">
        <f>225.8856260924*Deflactores!$G$5</f>
        <v>593.38704263488398</v>
      </c>
      <c r="K133" s="57">
        <f>248.077515389329*Deflactores!$H$5</f>
        <v>616.57319030725432</v>
      </c>
      <c r="L133" s="57">
        <f>212.877075007539*Deflactores!$I$5</f>
        <v>491.3758211655329</v>
      </c>
      <c r="M133" s="57">
        <f>344.193489125799*Deflactores!$J$5</f>
        <v>778.89635125548909</v>
      </c>
      <c r="N133" s="57">
        <f>318.608721126309*Deflactores!$K$5</f>
        <v>698.83734081658974</v>
      </c>
      <c r="O133" s="57">
        <f>426.4181578584*Deflactores!$L$5</f>
        <v>901.70324691768178</v>
      </c>
      <c r="P133" s="57">
        <f>613.79847621238*Deflactores!$M$5</f>
        <v>1267.0220704632125</v>
      </c>
      <c r="Q133" s="57">
        <f>827.623077298199*Deflactores!$N$5</f>
        <v>1675.8931921259987</v>
      </c>
      <c r="R133" s="57">
        <f>620.064930265388*Deflactores!$O$5</f>
        <v>1211.2665093144951</v>
      </c>
      <c r="S133" s="57">
        <f>605.107398156139*Deflactores!$P$5</f>
        <v>1107.0972202140401</v>
      </c>
      <c r="T133" s="57">
        <f>570.60822934099*Deflactores!$Q$5</f>
        <v>987.21319692424152</v>
      </c>
      <c r="U133" s="57">
        <f>676.349672772529*Deflactores!$R$5</f>
        <v>1124.1782984013744</v>
      </c>
      <c r="V133" s="57">
        <f>436.644704495989*Deflactores!$S$5</f>
        <v>703.39064341416781</v>
      </c>
    </row>
    <row r="134" spans="3:22" x14ac:dyDescent="0.2">
      <c r="C134" s="87" t="s">
        <v>127</v>
      </c>
      <c r="D134" s="56">
        <f>168.145621939619*Deflactores!$A$5</f>
        <v>626.12603398561691</v>
      </c>
      <c r="E134" s="56">
        <f>180.690713609919*Deflactores!$B$5</f>
        <v>625.03572238434106</v>
      </c>
      <c r="F134" s="56">
        <f>184.05198404973*Deflactores!$C$5</f>
        <v>595.05738773745293</v>
      </c>
      <c r="G134" s="56">
        <f>210.33975556671*Deflactores!$D$5</f>
        <v>638.59473279271856</v>
      </c>
      <c r="H134" s="56">
        <f>215.22518708014*Deflactores!$E$5</f>
        <v>619.37977798031864</v>
      </c>
      <c r="I134" s="56">
        <f>236.83228545257*Deflactores!$F$5</f>
        <v>650.00246605808991</v>
      </c>
      <c r="J134" s="56">
        <f>283.22669989996*Deflactores!$G$5</f>
        <v>744.01836343551906</v>
      </c>
      <c r="K134" s="56">
        <f>281.94951835113*Deflactores!$H$5</f>
        <v>700.75884854991489</v>
      </c>
      <c r="L134" s="56">
        <f>303.85727323989*Deflactores!$I$5</f>
        <v>701.38185217963439</v>
      </c>
      <c r="M134" s="56">
        <f>330.79597615344*Deflactores!$J$5</f>
        <v>748.5783054476716</v>
      </c>
      <c r="N134" s="56">
        <f>357.085573734959*Deflactores!$K$5</f>
        <v>783.23258669989673</v>
      </c>
      <c r="O134" s="56">
        <f>360.815398523639*Deflactores!$L$5</f>
        <v>762.97974274983983</v>
      </c>
      <c r="P134" s="56">
        <f>373.405928492964*Deflactores!$M$5</f>
        <v>770.79623195201907</v>
      </c>
      <c r="Q134" s="56">
        <f>423.265552748943*Deflactores!$N$5</f>
        <v>857.0904772606018</v>
      </c>
      <c r="R134" s="56">
        <f>450.194806717395*Deflactores!$O$5</f>
        <v>879.43353256682599</v>
      </c>
      <c r="S134" s="56">
        <f>465.187670096266*Deflactores!$P$5</f>
        <v>851.10176806751235</v>
      </c>
      <c r="T134" s="56">
        <f>498.152825365204*Deflactores!$Q$5</f>
        <v>861.85760737029557</v>
      </c>
      <c r="U134" s="56">
        <f>545.5624354178*Deflactores!$R$5</f>
        <v>906.79344577129905</v>
      </c>
      <c r="V134" s="56">
        <f>542.03879845239*Deflactores!$S$5</f>
        <v>873.16991428753556</v>
      </c>
    </row>
    <row r="135" spans="3:22" x14ac:dyDescent="0.2">
      <c r="C135" s="88" t="s">
        <v>128</v>
      </c>
      <c r="D135" s="57">
        <f>48.3258850163999*Deflactores!$A$5</f>
        <v>179.95172502932658</v>
      </c>
      <c r="E135" s="57">
        <f>55.95457123238*Deflactores!$B$5</f>
        <v>193.5550817870965</v>
      </c>
      <c r="F135" s="57">
        <f>49.5770739967199*Deflactores!$C$5</f>
        <v>160.28734651501208</v>
      </c>
      <c r="G135" s="57">
        <f>56.83442919774*Deflactores!$D$5</f>
        <v>172.55020112185417</v>
      </c>
      <c r="H135" s="57">
        <f>76.69139809583*Deflactores!$E$5</f>
        <v>220.70419252514429</v>
      </c>
      <c r="I135" s="57">
        <f>88.31689792753*Deflactores!$F$5</f>
        <v>242.39178935336392</v>
      </c>
      <c r="J135" s="57">
        <f>109.65787601217*Deflactores!$G$5</f>
        <v>288.06420255296456</v>
      </c>
      <c r="K135" s="57">
        <f>126.07135567179*Deflactores!$H$5</f>
        <v>313.33842509235222</v>
      </c>
      <c r="L135" s="57">
        <f>161.60781300227*Deflactores!$I$5</f>
        <v>373.03299013265763</v>
      </c>
      <c r="M135" s="57">
        <f>166.27372079337*Deflactores!$J$5</f>
        <v>376.27090147627786</v>
      </c>
      <c r="N135" s="57">
        <f>186.91276749066*Deflactores!$K$5</f>
        <v>409.97503438099181</v>
      </c>
      <c r="O135" s="57">
        <f>209.714370750029*Deflactores!$L$5</f>
        <v>443.46171837596523</v>
      </c>
      <c r="P135" s="57">
        <f>318.277578784829*Deflactores!$M$5</f>
        <v>656.99856301767511</v>
      </c>
      <c r="Q135" s="57">
        <f>378.87061234774*Deflactores!$N$5</f>
        <v>767.19305846689144</v>
      </c>
      <c r="R135" s="57">
        <f>373.315783729939*Deflactores!$O$5</f>
        <v>729.25412188209532</v>
      </c>
      <c r="S135" s="57">
        <f>416.8638696565*Deflactores!$P$5</f>
        <v>762.68912379962944</v>
      </c>
      <c r="T135" s="57">
        <f>356.126582057029*Deflactores!$Q$5</f>
        <v>616.1370332640721</v>
      </c>
      <c r="U135" s="57">
        <f>364.2497497416*Deflactores!$R$5</f>
        <v>605.42893763675397</v>
      </c>
      <c r="V135" s="57">
        <f>353.84142500815*Deflactores!$S$5</f>
        <v>570.00289947488625</v>
      </c>
    </row>
    <row r="136" spans="3:22" x14ac:dyDescent="0.2">
      <c r="C136" s="87" t="s">
        <v>129</v>
      </c>
      <c r="D136" s="56">
        <f>5725.60738338768*Deflactores!$A$5</f>
        <v>21320.518499177146</v>
      </c>
      <c r="E136" s="56">
        <f>6383.37834016359*Deflactores!$B$5</f>
        <v>22081.04341604462</v>
      </c>
      <c r="F136" s="56">
        <f>7236.32210848272*Deflactores!$C$5</f>
        <v>23395.710472412164</v>
      </c>
      <c r="G136" s="56">
        <f>7968.10955195402*Deflactores!$D$5</f>
        <v>24191.303144209389</v>
      </c>
      <c r="H136" s="56">
        <f>9084.80563148644*Deflactores!$E$5</f>
        <v>26144.453497114184</v>
      </c>
      <c r="I136" s="56">
        <f>9819.8241768088*Deflactores!$F$5</f>
        <v>26951.181588208194</v>
      </c>
      <c r="J136" s="56">
        <f>11179.4201385227*Deflactores!$G$5</f>
        <v>29367.619220079465</v>
      </c>
      <c r="K136" s="56">
        <f>13274.8979811172*Deflactores!$H$5</f>
        <v>32993.502802442345</v>
      </c>
      <c r="L136" s="56">
        <f>17009.9891571538*Deflactores!$I$5</f>
        <v>39263.49227514166</v>
      </c>
      <c r="M136" s="56">
        <f>18234.1431494603*Deflactores!$J$5</f>
        <v>41263.149990016333</v>
      </c>
      <c r="N136" s="56">
        <f>18400.8529627626*Deflactores!$K$5</f>
        <v>40360.48701929974</v>
      </c>
      <c r="O136" s="56">
        <f>19391.8761238075*Deflactores!$L$5</f>
        <v>41006.034434558831</v>
      </c>
      <c r="P136" s="56">
        <f>21558.9908643047*Deflactores!$M$5</f>
        <v>44502.745283025644</v>
      </c>
      <c r="Q136" s="56">
        <f>23887.0953746789*Deflactores!$N$5</f>
        <v>48370.111486952752</v>
      </c>
      <c r="R136" s="56">
        <f>24363.9853398935*Deflactores!$O$5</f>
        <v>47593.853538872929</v>
      </c>
      <c r="S136" s="56">
        <f>24563.6812411282*Deflactores!$P$5</f>
        <v>44941.415859635032</v>
      </c>
      <c r="T136" s="56">
        <f>26369.5199524868*Deflactores!$Q$5</f>
        <v>45622.086670073935</v>
      </c>
      <c r="U136" s="56">
        <f>27482.0874547281*Deflactores!$R$5</f>
        <v>45678.688931316407</v>
      </c>
      <c r="V136" s="56">
        <f>28105.2096440684*Deflactores!$S$5</f>
        <v>45274.662193946162</v>
      </c>
    </row>
    <row r="137" spans="3:22" x14ac:dyDescent="0.2">
      <c r="C137" s="88" t="s">
        <v>130</v>
      </c>
      <c r="D137" s="57">
        <f>26.603475762*Deflactores!$A$5</f>
        <v>99.06370785601014</v>
      </c>
      <c r="E137" s="57">
        <f>41.29602211315*Deflactores!$B$5</f>
        <v>142.8490069988606</v>
      </c>
      <c r="F137" s="57">
        <f>16.20004219035*Deflactores!$C$5</f>
        <v>52.376261178589218</v>
      </c>
      <c r="G137" s="57">
        <f>15.29404016637*Deflactores!$D$5</f>
        <v>46.432941157748054</v>
      </c>
      <c r="H137" s="57">
        <f>64.21998445681*Deflactores!$E$5</f>
        <v>184.81368400412876</v>
      </c>
      <c r="I137" s="57">
        <f>52.4251838845*Deflactores!$F$5</f>
        <v>143.88451618138134</v>
      </c>
      <c r="J137" s="57">
        <f>74.44447077347*Deflactores!$G$5</f>
        <v>195.56084695145051</v>
      </c>
      <c r="K137" s="57">
        <f>61.98720067825*Deflactores!$H$5</f>
        <v>154.06332178240046</v>
      </c>
      <c r="L137" s="57">
        <f>128.02979135131*Deflactores!$I$5</f>
        <v>295.52615685213556</v>
      </c>
      <c r="M137" s="57">
        <f>109.10136194885*Deflactores!$J$5</f>
        <v>246.89209826367443</v>
      </c>
      <c r="N137" s="57">
        <f>122.24055765635*Deflactores!$K$5</f>
        <v>268.12281205144518</v>
      </c>
      <c r="O137" s="57">
        <f>143.29676863781*Deflactores!$L$5</f>
        <v>303.01514879774908</v>
      </c>
      <c r="P137" s="57">
        <f>281.167887662789*Deflactores!$M$5</f>
        <v>580.39557441164197</v>
      </c>
      <c r="Q137" s="57">
        <f>344.95288635995*Deflactores!$N$5</f>
        <v>698.51144767747712</v>
      </c>
      <c r="R137" s="57">
        <f>314.724108423019*Deflactores!$O$5</f>
        <v>614.79815032194585</v>
      </c>
      <c r="S137" s="57">
        <f>378.48716233881*Deflactores!$P$5</f>
        <v>692.4755615099491</v>
      </c>
      <c r="T137" s="57">
        <f>287.10083077556*Deflactores!$Q$5</f>
        <v>496.71510927363681</v>
      </c>
      <c r="U137" s="57">
        <f>470.91748321387*Deflactores!$R$5</f>
        <v>782.7241385313323</v>
      </c>
      <c r="V137" s="57">
        <f>402.916937432419*Deflactores!$S$5</f>
        <v>649.05860747856286</v>
      </c>
    </row>
    <row r="138" spans="3:22" x14ac:dyDescent="0.2">
      <c r="C138" s="87" t="s">
        <v>131</v>
      </c>
      <c r="D138" s="56">
        <f>4803.05319550981*Deflactores!$A$5</f>
        <v>17885.191500296256</v>
      </c>
      <c r="E138" s="56">
        <f>7252.29680108901*Deflactores!$B$5</f>
        <v>25086.760019113011</v>
      </c>
      <c r="F138" s="56">
        <f>8446.17883693538*Deflactores!$C$5</f>
        <v>27307.291149396868</v>
      </c>
      <c r="G138" s="56">
        <f>9513.82289543656*Deflactores!$D$5</f>
        <v>28884.112627114369</v>
      </c>
      <c r="H138" s="56">
        <f>11163.1452051335*Deflactores!$E$5</f>
        <v>32125.544842217307</v>
      </c>
      <c r="I138" s="56">
        <f>12113.4045782777*Deflactores!$F$5</f>
        <v>33246.070455274654</v>
      </c>
      <c r="J138" s="56">
        <f>12972.3391963743*Deflactores!$G$5</f>
        <v>34077.502517333138</v>
      </c>
      <c r="K138" s="56">
        <f>14212.0325022367*Deflactores!$H$5</f>
        <v>35322.661978867109</v>
      </c>
      <c r="L138" s="56">
        <f>16102.5659931238*Deflactores!$I$5</f>
        <v>37168.922898171048</v>
      </c>
      <c r="M138" s="56">
        <f>18441.1636481761*Deflactores!$J$5</f>
        <v>41731.629250023187</v>
      </c>
      <c r="N138" s="56">
        <f>20047.3993184913*Deflactores!$K$5</f>
        <v>43972.026818652943</v>
      </c>
      <c r="O138" s="56">
        <f>21630.5257947183*Deflactores!$L$5</f>
        <v>45739.879932859076</v>
      </c>
      <c r="P138" s="56">
        <f>22672.737550085*Deflactores!$M$5</f>
        <v>46801.776131874853</v>
      </c>
      <c r="Q138" s="56">
        <f>25105.0376133367*Deflactores!$N$5</f>
        <v>50836.380447012052</v>
      </c>
      <c r="R138" s="56">
        <f>26828.165364997*Deflactores!$O$5</f>
        <v>52407.508676653633</v>
      </c>
      <c r="S138" s="56">
        <f>28970.7400387485*Deflactores!$P$5</f>
        <v>53004.517647900226</v>
      </c>
      <c r="T138" s="56">
        <f>31285.818301969*Deflactores!$Q$5</f>
        <v>54127.808040813805</v>
      </c>
      <c r="U138" s="56">
        <f>35498.264548768*Deflactores!$R$5</f>
        <v>59002.584377766412</v>
      </c>
      <c r="V138" s="56">
        <f>37893.7984956726*Deflactores!$S$5</f>
        <v>61043.093001767571</v>
      </c>
    </row>
    <row r="139" spans="3:22" x14ac:dyDescent="0.2">
      <c r="C139" s="88" t="s">
        <v>132</v>
      </c>
      <c r="D139" s="57">
        <f>7.40450548425*Deflactores!$A$5</f>
        <v>27.57225313985899</v>
      </c>
      <c r="E139" s="57">
        <f>7.29339134641*Deflactores!$B$5</f>
        <v>25.228912088290247</v>
      </c>
      <c r="F139" s="57">
        <f>6.98010958237*Deflactores!$C$5</f>
        <v>22.567351260304704</v>
      </c>
      <c r="G139" s="57">
        <f>6.95238889795*Deflactores!$D$5</f>
        <v>21.107559617513001</v>
      </c>
      <c r="H139" s="57">
        <f>7.62537307432*Deflactores!$E$5</f>
        <v>21.944466378978181</v>
      </c>
      <c r="I139" s="57">
        <f>8.07079730984*Deflactores!$F$5</f>
        <v>22.1508572804007</v>
      </c>
      <c r="J139" s="57">
        <f>8.64039633757*Deflactores!$G$5</f>
        <v>22.697766646943133</v>
      </c>
      <c r="K139" s="57">
        <f>11.94799093916*Deflactores!$H$5</f>
        <v>29.695600907477207</v>
      </c>
      <c r="L139" s="57">
        <f>12.52627463819*Deflactores!$I$5</f>
        <v>28.913909523924161</v>
      </c>
      <c r="M139" s="57">
        <f>10.84248966338*Deflactores!$J$5</f>
        <v>24.536128381688876</v>
      </c>
      <c r="N139" s="57">
        <f>12.5078455849*Deflactores!$K$5</f>
        <v>27.434746660405395</v>
      </c>
      <c r="O139" s="57">
        <f>14.9834368070599*Deflactores!$L$5</f>
        <v>31.683954751753944</v>
      </c>
      <c r="P139" s="57">
        <f>24.15015796679*Deflactores!$M$5</f>
        <v>49.851513705140654</v>
      </c>
      <c r="Q139" s="57">
        <f>23.15240753756*Deflactores!$N$5</f>
        <v>46.882407267074278</v>
      </c>
      <c r="R139" s="57">
        <f>27.59831932885*Deflactores!$O$5</f>
        <v>53.911966771117513</v>
      </c>
      <c r="S139" s="57">
        <f>27.55964734461*Deflactores!$P$5</f>
        <v>50.422799420845983</v>
      </c>
      <c r="T139" s="57">
        <f>35.99369851027*Deflactores!$Q$5</f>
        <v>62.272943761237819</v>
      </c>
      <c r="U139" s="57">
        <f>40.88744353051*Deflactores!$R$5</f>
        <v>67.960078262017532</v>
      </c>
      <c r="V139" s="57">
        <f>40.6103185210099*Deflactores!$S$5</f>
        <v>65.41913317537977</v>
      </c>
    </row>
    <row r="140" spans="3:22" x14ac:dyDescent="0.2">
      <c r="C140" s="87" t="s">
        <v>133</v>
      </c>
      <c r="D140" s="56">
        <f>621.37803659734*Deflactores!$A$5</f>
        <v>2313.8334568126525</v>
      </c>
      <c r="E140" s="56">
        <f>653.47315880602*Deflactores!$B$5</f>
        <v>2260.4596534764942</v>
      </c>
      <c r="F140" s="56">
        <f>677.8079214239*Deflactores!$C$5</f>
        <v>2191.4168064674568</v>
      </c>
      <c r="G140" s="56">
        <f>708.459427648019*Deflactores!$D$5</f>
        <v>2150.8937179965624</v>
      </c>
      <c r="H140" s="56">
        <f>750.68621175725*Deflactores!$E$5</f>
        <v>2160.3412940603566</v>
      </c>
      <c r="I140" s="56">
        <f>843.987911636809*Deflactores!$F$5</f>
        <v>2316.3827636034412</v>
      </c>
      <c r="J140" s="56">
        <f>914.05535962166*Deflactores!$G$5</f>
        <v>2401.1647665823343</v>
      </c>
      <c r="K140" s="56">
        <f>1078.98247458147*Deflactores!$H$5</f>
        <v>2681.7088424730705</v>
      </c>
      <c r="L140" s="56">
        <f>1231.85584145262*Deflactores!$I$5</f>
        <v>2843.4446293942315</v>
      </c>
      <c r="M140" s="56">
        <f>1415.54741033962*Deflactores!$J$5</f>
        <v>3203.3282086277673</v>
      </c>
      <c r="N140" s="56">
        <f>1465.19943727986*Deflactores!$K$5</f>
        <v>3213.7729152388538</v>
      </c>
      <c r="O140" s="56">
        <f>1585.27986689963*Deflactores!$L$5</f>
        <v>3352.230614277225</v>
      </c>
      <c r="P140" s="56">
        <f>1858.98029403109*Deflactores!$M$5</f>
        <v>3837.3654422019181</v>
      </c>
      <c r="Q140" s="56">
        <f>2144.07791018129*Deflactores!$N$5</f>
        <v>4341.644972963808</v>
      </c>
      <c r="R140" s="56">
        <f>2429.000364476*Deflactores!$O$5</f>
        <v>4744.9333916421174</v>
      </c>
      <c r="S140" s="56">
        <f>2705.3494564265*Deflactores!$P$5</f>
        <v>4949.6748379607579</v>
      </c>
      <c r="T140" s="56">
        <f>3076.98586252312*Deflactores!$Q$5</f>
        <v>5323.5142678197853</v>
      </c>
      <c r="U140" s="56">
        <f>3384.05351805426*Deflactores!$R$5</f>
        <v>5624.7229484575864</v>
      </c>
      <c r="V140" s="56">
        <f>3423.72383001481*Deflactores!$S$5</f>
        <v>5515.2742787669786</v>
      </c>
    </row>
    <row r="141" spans="3:22" x14ac:dyDescent="0.2">
      <c r="C141" s="88" t="s">
        <v>134</v>
      </c>
      <c r="D141" s="57">
        <f>6422.74364067031*Deflactores!$A$5</f>
        <v>23916.453825264285</v>
      </c>
      <c r="E141" s="57">
        <f>6371.76234667121*Deflactores!$B$5</f>
        <v>22040.861988130204</v>
      </c>
      <c r="F141" s="57">
        <f>5045.68482714042*Deflactores!$C$5</f>
        <v>16313.173955100779</v>
      </c>
      <c r="G141" s="57">
        <f>4478.51194520436*Deflactores!$D$5</f>
        <v>13596.831142316945</v>
      </c>
      <c r="H141" s="57">
        <f>5026.01335591412*Deflactores!$E$5</f>
        <v>14463.971799699548</v>
      </c>
      <c r="I141" s="57">
        <f>6191.14512643601*Deflactores!$F$5</f>
        <v>16992.022824155294</v>
      </c>
      <c r="J141" s="57">
        <f>5375.47923871345*Deflactores!$G$5</f>
        <v>14121.03896730732</v>
      </c>
      <c r="K141" s="57">
        <f>6314.91043750468*Deflactores!$H$5</f>
        <v>15695.112347631655</v>
      </c>
      <c r="L141" s="57">
        <f>6415.45010543613*Deflactores!$I$5</f>
        <v>14808.532405819375</v>
      </c>
      <c r="M141" s="57">
        <f>6300.18514716519*Deflactores!$J$5</f>
        <v>14257.071613482694</v>
      </c>
      <c r="N141" s="57">
        <f>7288.34073588922*Deflactores!$K$5</f>
        <v>15986.268802776558</v>
      </c>
      <c r="O141" s="57">
        <f>8015.10273975544*Deflactores!$L$5</f>
        <v>16948.725169476078</v>
      </c>
      <c r="P141" s="57">
        <f>9225.06006821759*Deflactores!$M$5</f>
        <v>19042.658398090054</v>
      </c>
      <c r="Q141" s="57">
        <f>11949.9928936194*Deflactores!$N$5</f>
        <v>24198.106947125358</v>
      </c>
      <c r="R141" s="57">
        <f>11865.2409846579*Deflactores!$O$5</f>
        <v>23178.167846890887</v>
      </c>
      <c r="S141" s="57">
        <f>15262.6708485752*Deflactores!$P$5</f>
        <v>27924.399075252066</v>
      </c>
      <c r="T141" s="57">
        <f>15512.2405373538*Deflactores!$Q$5</f>
        <v>26837.833359019834</v>
      </c>
      <c r="U141" s="57">
        <f>18950.5814509122*Deflactores!$R$5</f>
        <v>31498.251964658029</v>
      </c>
      <c r="V141" s="57">
        <f>10510.2364646274*Deflactores!$S$5</f>
        <v>16930.93243355073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53.9438740912599*Deflactores!$A$5</f>
        <v>200.87150383676868</v>
      </c>
      <c r="E143" s="57">
        <f>129.14848443165*Deflactores!$B$5</f>
        <v>446.74357994869268</v>
      </c>
      <c r="F143" s="57">
        <f>73.44060329751*Deflactores!$C$5</f>
        <v>237.44038282288201</v>
      </c>
      <c r="G143" s="57">
        <f>94.96305858495*Deflactores!$D$5</f>
        <v>288.30930633558864</v>
      </c>
      <c r="H143" s="57">
        <f>132.46646337178*Deflactores!$E$5</f>
        <v>381.21490233622404</v>
      </c>
      <c r="I143" s="57">
        <f>282.42553669737*Deflactores!$F$5</f>
        <v>775.13627409483729</v>
      </c>
      <c r="J143" s="57">
        <f>978.975286020329*Deflactores!$G$5</f>
        <v>2571.705246736758</v>
      </c>
      <c r="K143" s="57">
        <f>1415.2149180058*Deflactores!$H$5</f>
        <v>3517.3827648017045</v>
      </c>
      <c r="L143" s="57">
        <f>1707.70671968937*Deflactores!$I$5</f>
        <v>3941.8325889133212</v>
      </c>
      <c r="M143" s="57">
        <f>1937.07071938023*Deflactores!$J$5</f>
        <v>4383.5149795575153</v>
      </c>
      <c r="N143" s="57">
        <f>2736.25918477859*Deflactores!$K$5</f>
        <v>6001.7192426994761</v>
      </c>
      <c r="O143" s="57">
        <f>3119.30618148277*Deflactores!$L$5</f>
        <v>6596.0805377040597</v>
      </c>
      <c r="P143" s="57">
        <f>4911.46759509363*Deflactores!$M$5</f>
        <v>10138.405490591853</v>
      </c>
      <c r="Q143" s="57">
        <f>5227.96582586098*Deflactores!$N$5</f>
        <v>10586.355765755128</v>
      </c>
      <c r="R143" s="57">
        <f>7657.18601168751*Deflactores!$O$5</f>
        <v>14957.938304265735</v>
      </c>
      <c r="S143" s="57">
        <f>8878.75118774026*Deflactores!$P$5</f>
        <v>16244.456420251792</v>
      </c>
      <c r="T143" s="57">
        <f>7027.32346001561*Deflactores!$Q$5</f>
        <v>12158.020340497</v>
      </c>
      <c r="U143" s="57">
        <f>8225.93666496364*Deflactores!$R$5</f>
        <v>13672.542258901052</v>
      </c>
      <c r="V143" s="57">
        <f>7563.95818923557*Deflactores!$S$5</f>
        <v>12184.774858601644</v>
      </c>
    </row>
    <row r="144" spans="3:22" x14ac:dyDescent="0.2">
      <c r="C144" s="87" t="s">
        <v>137</v>
      </c>
      <c r="D144" s="56">
        <f>52.15776226782*Deflactores!$A$5</f>
        <v>194.22053606630342</v>
      </c>
      <c r="E144" s="56">
        <f>49.53838383046*Deflactores!$B$5</f>
        <v>171.36054700668691</v>
      </c>
      <c r="F144" s="56">
        <f>51.5710277378599*Deflactores!$C$5</f>
        <v>166.7339866346399</v>
      </c>
      <c r="G144" s="56">
        <f>45.0607128328199*Deflactores!$D$5</f>
        <v>136.80501716565792</v>
      </c>
      <c r="H144" s="56">
        <f>70.10503070367*Deflactores!$E$5</f>
        <v>201.74979955470693</v>
      </c>
      <c r="I144" s="56">
        <f>147.21931461414*Deflactores!$F$5</f>
        <v>404.05351562482406</v>
      </c>
      <c r="J144" s="56">
        <f>80.2399237883099*Deflactores!$G$5</f>
        <v>210.78513007515198</v>
      </c>
      <c r="K144" s="56">
        <f>110.37895819415*Deflactores!$H$5</f>
        <v>274.3364560458088</v>
      </c>
      <c r="L144" s="56">
        <f>126.965699226679*Deflactores!$I$5</f>
        <v>293.06995464474517</v>
      </c>
      <c r="M144" s="56">
        <f>117.855386439*Deflactores!$J$5</f>
        <v>266.70211196119368</v>
      </c>
      <c r="N144" s="56">
        <f>146.75654274969*Deflactores!$K$5</f>
        <v>321.89624853982309</v>
      </c>
      <c r="O144" s="56">
        <f>175.73268651637*Deflactores!$L$5</f>
        <v>371.6040958884239</v>
      </c>
      <c r="P144" s="56">
        <f>236.349555700429*Deflactores!$M$5</f>
        <v>487.88016755030509</v>
      </c>
      <c r="Q144" s="56">
        <f>300.973418669879*Deflactores!$N$5</f>
        <v>609.45533926671692</v>
      </c>
      <c r="R144" s="56">
        <f>508.07313271056*Deflactores!$O$5</f>
        <v>992.4960111377427</v>
      </c>
      <c r="S144" s="56">
        <f>313.49406574337*Deflactores!$P$5</f>
        <v>573.56497341737452</v>
      </c>
      <c r="T144" s="56">
        <f>282.12197816016*Deflactores!$Q$5</f>
        <v>488.10116233995814</v>
      </c>
      <c r="U144" s="56">
        <f>304.12363144928*Deflactores!$R$5</f>
        <v>505.49176006075055</v>
      </c>
      <c r="V144" s="56">
        <f>525.612777752479*Deflactores!$S$5</f>
        <v>846.70924924367273</v>
      </c>
    </row>
    <row r="145" spans="3:22" x14ac:dyDescent="0.2">
      <c r="C145" s="88" t="s">
        <v>138</v>
      </c>
      <c r="D145" s="57">
        <f>139.684338949539*Deflactores!$A$5</f>
        <v>520.1443852506867</v>
      </c>
      <c r="E145" s="57">
        <f>163.66972713332*Deflactores!$B$5</f>
        <v>566.15762972783432</v>
      </c>
      <c r="F145" s="57">
        <f>160.163848409939*Deflactores!$C$5</f>
        <v>517.82479681960001</v>
      </c>
      <c r="G145" s="57">
        <f>170.93427034018*Deflactores!$D$5</f>
        <v>518.95907361357467</v>
      </c>
      <c r="H145" s="57">
        <f>182.28205063031*Deflactores!$E$5</f>
        <v>524.57529521003119</v>
      </c>
      <c r="I145" s="57">
        <f>210.4206509236*Deflactores!$F$5</f>
        <v>577.51392192379092</v>
      </c>
      <c r="J145" s="57">
        <f>213.248229616399*Deflactores!$G$5</f>
        <v>560.18941314768813</v>
      </c>
      <c r="K145" s="57">
        <f>219.565958508789*Deflactores!$H$5</f>
        <v>545.71041357042532</v>
      </c>
      <c r="L145" s="57">
        <f>277.047934173599*Deflactores!$I$5</f>
        <v>639.49890401277605</v>
      </c>
      <c r="M145" s="57">
        <f>235.32379884835*Deflactores!$J$5</f>
        <v>532.52851688768851</v>
      </c>
      <c r="N145" s="57">
        <f>243.1875267064*Deflactores!$K$5</f>
        <v>533.40826290781206</v>
      </c>
      <c r="O145" s="57">
        <f>250.596835109599*Deflactores!$L$5</f>
        <v>529.91172097473361</v>
      </c>
      <c r="P145" s="57">
        <f>146.34905700431*Deflactores!$M$5</f>
        <v>302.09831467841559</v>
      </c>
      <c r="Q145" s="57">
        <f>153.50597432922*Deflactores!$N$5</f>
        <v>310.84152240998412</v>
      </c>
      <c r="R145" s="57">
        <f>94.67101905836*Deflactores!$O$5</f>
        <v>184.93520467120462</v>
      </c>
      <c r="S145" s="57">
        <f>77.52076228428*Deflactores!$P$5</f>
        <v>141.83105461165496</v>
      </c>
      <c r="T145" s="57">
        <f>91.51380185266*Deflactores!$Q$5</f>
        <v>158.32865395929574</v>
      </c>
      <c r="U145" s="57">
        <f>90.8893260906499*Deflactores!$R$5</f>
        <v>151.06950156209862</v>
      </c>
      <c r="V145" s="57">
        <f>91.984617962*Deflactores!$S$5</f>
        <v>148.17795554667478</v>
      </c>
    </row>
    <row r="146" spans="3:22" x14ac:dyDescent="0.2">
      <c r="C146" s="87" t="s">
        <v>139</v>
      </c>
      <c r="D146" s="56">
        <f>406.52856989331*Deflactores!$A$5</f>
        <v>1513.7957101288512</v>
      </c>
      <c r="E146" s="56">
        <f>477.538254951469*Deflactores!$B$5</f>
        <v>1651.8749756786845</v>
      </c>
      <c r="F146" s="56">
        <f>465.481459095279*Deflactores!$C$5</f>
        <v>1504.945369209461</v>
      </c>
      <c r="G146" s="56">
        <f>507.829281391689*Deflactores!$D$5</f>
        <v>1541.7775083977976</v>
      </c>
      <c r="H146" s="56">
        <f>635.525794427449*Deflactores!$E$5</f>
        <v>1828.9301117283665</v>
      </c>
      <c r="I146" s="56">
        <f>739.419950102909*Deflactores!$F$5</f>
        <v>2029.3888145402138</v>
      </c>
      <c r="J146" s="56">
        <f>853.898149398979*Deflactores!$G$5</f>
        <v>2243.1356361559483</v>
      </c>
      <c r="K146" s="56">
        <f>974.45366554609*Deflactores!$H$5</f>
        <v>2421.9123785943684</v>
      </c>
      <c r="L146" s="56">
        <f>1169.64360324946*Deflactores!$I$5</f>
        <v>2699.8425546638223</v>
      </c>
      <c r="M146" s="56">
        <f>1297.58647593477*Deflactores!$J$5</f>
        <v>2936.3872457641592</v>
      </c>
      <c r="N146" s="56">
        <f>2013.56417317411*Deflactores!$K$5</f>
        <v>4416.5577997053615</v>
      </c>
      <c r="O146" s="56">
        <f>5589.69451416272*Deflactores!$L$5</f>
        <v>11819.960289712113</v>
      </c>
      <c r="P146" s="56">
        <f>1573.64960233017*Deflactores!$M$5</f>
        <v>3248.3768771007713</v>
      </c>
      <c r="Q146" s="56">
        <f>2059.44755585329*Deflactores!$N$5</f>
        <v>4170.2729576636548</v>
      </c>
      <c r="R146" s="56">
        <f>2372.12447060542*Deflactores!$O$5</f>
        <v>4633.8291151863059</v>
      </c>
      <c r="S146" s="56">
        <f>2355.90850861985*Deflactores!$P$5</f>
        <v>4310.3418813243943</v>
      </c>
      <c r="T146" s="56">
        <f>2269.5326915814*Deflactores!$Q$5</f>
        <v>3926.5340189148301</v>
      </c>
      <c r="U146" s="56">
        <f>2631.36299517481*Deflactores!$R$5</f>
        <v>4373.6565470134292</v>
      </c>
      <c r="V146" s="56">
        <f>2696.73278095779*Deflactores!$S$5</f>
        <v>4344.1649157373495</v>
      </c>
    </row>
    <row r="147" spans="3:22" x14ac:dyDescent="0.2">
      <c r="C147" s="88" t="s">
        <v>140</v>
      </c>
      <c r="D147" s="57">
        <f>309.112771896569*Deflactores!$A$5</f>
        <v>1151.047239228154</v>
      </c>
      <c r="E147" s="57">
        <f>429.54614996767*Deflactores!$B$5</f>
        <v>1485.8632343555969</v>
      </c>
      <c r="F147" s="57">
        <f>319.09515175375*Deflactores!$C$5</f>
        <v>1031.6646594310437</v>
      </c>
      <c r="G147" s="57">
        <f>380.698772969659*Deflactores!$D$5</f>
        <v>1155.8073296418343</v>
      </c>
      <c r="H147" s="57">
        <f>606.52980261533*Deflactores!$E$5</f>
        <v>1745.4848086271913</v>
      </c>
      <c r="I147" s="57">
        <f>586.78128322673*Deflactores!$F$5</f>
        <v>1610.4615145914688</v>
      </c>
      <c r="J147" s="57">
        <f>533.616496252209*Deflactores!$G$5</f>
        <v>1401.7762886902897</v>
      </c>
      <c r="K147" s="57">
        <f>2328.31024334159*Deflactores!$H$5</f>
        <v>5786.7947948012006</v>
      </c>
      <c r="L147" s="57">
        <f>1455.81547979564*Deflactores!$I$5</f>
        <v>3360.4018977841688</v>
      </c>
      <c r="M147" s="57">
        <f>6113.57351646796*Deflactores!$J$5</f>
        <v>13834.776820454854</v>
      </c>
      <c r="N147" s="57">
        <f>1067.61759265253*Deflactores!$K$5</f>
        <v>2341.7156844320139</v>
      </c>
      <c r="O147" s="57">
        <f>1598.90016657854*Deflactores!$L$5</f>
        <v>3381.0320811428628</v>
      </c>
      <c r="P147" s="57">
        <f>2033.79039605567*Deflactores!$M$5</f>
        <v>4198.21393888087</v>
      </c>
      <c r="Q147" s="57">
        <f>2565.06923696795*Deflactores!$N$5</f>
        <v>5194.1302622927387</v>
      </c>
      <c r="R147" s="57">
        <f>2270.49003492363*Deflactores!$O$5</f>
        <v>4435.2912167734075</v>
      </c>
      <c r="S147" s="57">
        <f>2481.56696376745*Deflactores!$P$5</f>
        <v>4540.245080019713</v>
      </c>
      <c r="T147" s="57">
        <f>2350.45309284813*Deflactores!$Q$5</f>
        <v>4066.5349581287337</v>
      </c>
      <c r="U147" s="57">
        <f>2910.73853743065*Deflactores!$R$5</f>
        <v>4838.0138674223936</v>
      </c>
      <c r="V147" s="57">
        <f>3224.79879246096*Deflactores!$S$5</f>
        <v>5194.8260774823675</v>
      </c>
    </row>
    <row r="148" spans="3:22" x14ac:dyDescent="0.2">
      <c r="C148" s="87" t="s">
        <v>141</v>
      </c>
      <c r="D148" s="56">
        <f>348.52733106389*Deflactores!$A$5</f>
        <v>1297.8157445751931</v>
      </c>
      <c r="E148" s="56">
        <f>342.22287886696*Deflactores!$B$5</f>
        <v>1183.7992115678771</v>
      </c>
      <c r="F148" s="56">
        <f>361.265386798259*Deflactores!$C$5</f>
        <v>1168.0049984685174</v>
      </c>
      <c r="G148" s="56">
        <f>368.78584386511*Deflactores!$D$5</f>
        <v>1119.6394936671209</v>
      </c>
      <c r="H148" s="56">
        <f>384.818146240969*Deflactores!$E$5</f>
        <v>1107.4381266202784</v>
      </c>
      <c r="I148" s="56">
        <f>433.848110282999*Deflactores!$F$5</f>
        <v>1190.725922522365</v>
      </c>
      <c r="J148" s="56">
        <f>494.884624586879*Deflactores!$G$5</f>
        <v>1300.0301475976169</v>
      </c>
      <c r="K148" s="56">
        <f>573.143308498019*Deflactores!$H$5</f>
        <v>1424.4934599142603</v>
      </c>
      <c r="L148" s="56">
        <f>648.33916652427*Deflactores!$I$5</f>
        <v>1496.5359249386436</v>
      </c>
      <c r="M148" s="56">
        <f>736.36788013875*Deflactores!$J$5</f>
        <v>1666.3715995283801</v>
      </c>
      <c r="N148" s="56">
        <f>828.58921965372*Deflactores!$K$5</f>
        <v>1817.430121953696</v>
      </c>
      <c r="O148" s="56">
        <f>861.591006307649*Deflactores!$L$5</f>
        <v>1821.9191504519931</v>
      </c>
      <c r="P148" s="56">
        <f>1012.69507257343*Deflactores!$M$5</f>
        <v>2090.436938712623</v>
      </c>
      <c r="Q148" s="56">
        <f>1145.42723750982*Deflactores!$N$5</f>
        <v>2319.429897586997</v>
      </c>
      <c r="R148" s="56">
        <f>1269.35594018605*Deflactores!$O$5</f>
        <v>2479.6247355719875</v>
      </c>
      <c r="S148" s="56">
        <f>1365.24767211733*Deflactores!$P$5</f>
        <v>2497.8407259776636</v>
      </c>
      <c r="T148" s="56">
        <f>1469.62255618039*Deflactores!$Q$5</f>
        <v>2542.6040273453823</v>
      </c>
      <c r="U148" s="56">
        <f>1640.14473966604*Deflactores!$R$5</f>
        <v>2726.1270268845819</v>
      </c>
      <c r="V148" s="56">
        <f>1725.79122920126*Deflactores!$S$5</f>
        <v>2780.0758616953585</v>
      </c>
    </row>
    <row r="149" spans="3:22" x14ac:dyDescent="0.2">
      <c r="C149" s="88" t="s">
        <v>142</v>
      </c>
      <c r="D149" s="57">
        <f>90.85086018341*Deflactores!$A$5</f>
        <v>338.30252678982833</v>
      </c>
      <c r="E149" s="57">
        <f>270.11666876848*Deflactores!$B$5</f>
        <v>934.37323821876055</v>
      </c>
      <c r="F149" s="57">
        <f>98.0478043774*Deflactores!$C$5</f>
        <v>316.99777998831104</v>
      </c>
      <c r="G149" s="57">
        <f>92.0517962751*Deflactores!$D$5</f>
        <v>279.47066918951401</v>
      </c>
      <c r="H149" s="57">
        <f>197.501602051*Deflactores!$E$5</f>
        <v>568.37445509366012</v>
      </c>
      <c r="I149" s="57">
        <f>66.74394121854*Deflactores!$F$5</f>
        <v>183.18332867321664</v>
      </c>
      <c r="J149" s="57">
        <f>94.6162414064799*Deflactores!$G$5</f>
        <v>248.55079380063461</v>
      </c>
      <c r="K149" s="57">
        <f>251.21669781646*Deflactores!$H$5</f>
        <v>624.37533118654778</v>
      </c>
      <c r="L149" s="57">
        <f>230.71571702653*Deflactores!$I$5</f>
        <v>532.55206041181748</v>
      </c>
      <c r="M149" s="57">
        <f>405.44593803201*Deflactores!$J$5</f>
        <v>917.50823807439929</v>
      </c>
      <c r="N149" s="57">
        <f>474.437219161439*Deflactores!$K$5</f>
        <v>1040.6320437529907</v>
      </c>
      <c r="O149" s="57">
        <f>338.07461712564*Deflactores!$L$5</f>
        <v>714.89211785364546</v>
      </c>
      <c r="P149" s="57">
        <f>497.118346258096*Deflactores!$M$5</f>
        <v>1026.1672857643973</v>
      </c>
      <c r="Q149" s="57">
        <f>339.42556425911*Deflactores!$N$5</f>
        <v>687.3189112033549</v>
      </c>
      <c r="R149" s="57">
        <f>325.84543045428*Deflactores!$O$5</f>
        <v>636.52310888395061</v>
      </c>
      <c r="S149" s="57">
        <f>290.198030009343*Deflactores!$P$5</f>
        <v>530.94282653611413</v>
      </c>
      <c r="T149" s="57">
        <f>374.654490555369*Deflactores!$Q$5</f>
        <v>648.19229437043725</v>
      </c>
      <c r="U149" s="57">
        <f>415.51293292955*Deflactores!$R$5</f>
        <v>690.63480135903808</v>
      </c>
      <c r="V149" s="57">
        <f>251.050426071488*Deflactores!$S$5</f>
        <v>404.41695251441445</v>
      </c>
    </row>
    <row r="150" spans="3:22" x14ac:dyDescent="0.2">
      <c r="C150" s="87" t="s">
        <v>143</v>
      </c>
      <c r="D150" s="56">
        <f>761.44450446958*Deflactores!$A$5</f>
        <v>2835.40078049065</v>
      </c>
      <c r="E150" s="56">
        <f>512.96438136608*Deflactores!$B$5</f>
        <v>1774.4191511510198</v>
      </c>
      <c r="F150" s="56">
        <f>593.26046287281*Deflactores!$C$5</f>
        <v>1918.0669152125031</v>
      </c>
      <c r="G150" s="56">
        <f>495.3950351705*Deflactores!$D$5</f>
        <v>1504.0269456394383</v>
      </c>
      <c r="H150" s="56">
        <f>609.11668188007*Deflactores!$E$5</f>
        <v>1752.9293866823607</v>
      </c>
      <c r="I150" s="56">
        <f>573.97672880661*Deflactores!$F$5</f>
        <v>1575.3185359475381</v>
      </c>
      <c r="J150" s="56">
        <f>194.720018907709*Deflactores!$G$5</f>
        <v>511.5169927376873</v>
      </c>
      <c r="K150" s="56">
        <f>351.79594114575*Deflactores!$H$5</f>
        <v>874.35552322815795</v>
      </c>
      <c r="L150" s="56">
        <f>311.87358812064*Deflactores!$I$5</f>
        <v>719.88559809548997</v>
      </c>
      <c r="M150" s="56">
        <f>288.33534932997*Deflactores!$J$5</f>
        <v>652.49157414772503</v>
      </c>
      <c r="N150" s="56">
        <f>280.11018148782*Deflactores!$K$5</f>
        <v>614.39452653587887</v>
      </c>
      <c r="O150" s="56">
        <f>290.21996289474*Deflactores!$L$5</f>
        <v>613.69873219473902</v>
      </c>
      <c r="P150" s="56">
        <f>834.5322593546*Deflactores!$M$5</f>
        <v>1722.6676704064475</v>
      </c>
      <c r="Q150" s="56">
        <f>585.73813599634*Deflactores!$N$5</f>
        <v>1186.0889110166127</v>
      </c>
      <c r="R150" s="56">
        <f>642.746154863789*Deflactores!$O$5</f>
        <v>1255.5731720611282</v>
      </c>
      <c r="S150" s="56">
        <f>655.77612519081*Deflactores!$P$5</f>
        <v>1199.800113985955</v>
      </c>
      <c r="T150" s="56">
        <f>718.08801970011*Deflactores!$Q$5</f>
        <v>1242.3689900509794</v>
      </c>
      <c r="U150" s="56">
        <f>1131.63673761574*Deflactores!$R$5</f>
        <v>1880.9227139660356</v>
      </c>
      <c r="V150" s="56">
        <f>558.64661362711*Deflactores!$S$5</f>
        <v>899.92343192136093</v>
      </c>
    </row>
    <row r="151" spans="3:22" x14ac:dyDescent="0.2">
      <c r="C151" s="88" t="s">
        <v>144</v>
      </c>
      <c r="D151" s="57">
        <f>693.18703127138*Deflactores!$A$5</f>
        <v>2581.2295419506681</v>
      </c>
      <c r="E151" s="57">
        <f>773.71666460527*Deflactores!$B$5</f>
        <v>2676.3996041676528</v>
      </c>
      <c r="F151" s="57">
        <f>763.19454848389*Deflactores!$C$5</f>
        <v>2467.4798084957379</v>
      </c>
      <c r="G151" s="57">
        <f>781.96057965096*Deflactores!$D$5</f>
        <v>2374.0443458786449</v>
      </c>
      <c r="H151" s="57">
        <f>864.50179858742*Deflactores!$E$5</f>
        <v>2487.8822935964436</v>
      </c>
      <c r="I151" s="57">
        <f>1018.29315099037*Deflactores!$F$5</f>
        <v>2794.775459135446</v>
      </c>
      <c r="J151" s="57">
        <f>1145.28599044168*Deflactores!$G$5</f>
        <v>3008.5927935997065</v>
      </c>
      <c r="K151" s="57">
        <f>1275.61400602996*Deflactores!$H$5</f>
        <v>3170.4179077421581</v>
      </c>
      <c r="L151" s="57">
        <f>1413.89589815147*Deflactores!$I$5</f>
        <v>3263.6405680233661</v>
      </c>
      <c r="M151" s="57">
        <f>1621.13184757084*Deflactores!$J$5</f>
        <v>3668.557717881456</v>
      </c>
      <c r="N151" s="57">
        <f>1714.92936138701*Deflactores!$K$5</f>
        <v>3761.5312925626895</v>
      </c>
      <c r="O151" s="57">
        <f>1870.43706018619*Deflactores!$L$5</f>
        <v>3955.2236208597633</v>
      </c>
      <c r="P151" s="57">
        <f>2245.8668583066*Deflactores!$M$5</f>
        <v>4635.9888254459393</v>
      </c>
      <c r="Q151" s="57">
        <f>2665.00103771408*Deflactores!$N$5</f>
        <v>5396.4869016146613</v>
      </c>
      <c r="R151" s="57">
        <f>2936.89060138028*Deflactores!$O$5</f>
        <v>5737.0721247690772</v>
      </c>
      <c r="S151" s="57">
        <f>3112.78532762755*Deflactores!$P$5</f>
        <v>5695.1146091429564</v>
      </c>
      <c r="T151" s="57">
        <f>3392.37363584261*Deflactores!$Q$5</f>
        <v>5869.1688096919615</v>
      </c>
      <c r="U151" s="57">
        <f>3690.34656984302*Deflactores!$R$5</f>
        <v>6133.8205582199516</v>
      </c>
      <c r="V151" s="57">
        <f>4064.04925052754*Deflactores!$S$5</f>
        <v>6546.7740425137617</v>
      </c>
    </row>
    <row r="152" spans="3:22" x14ac:dyDescent="0.2">
      <c r="C152" s="87" t="s">
        <v>145</v>
      </c>
      <c r="D152" s="56">
        <f>177.33679243631*Deflactores!$A$5</f>
        <v>660.35131481300175</v>
      </c>
      <c r="E152" s="56">
        <f>127.9117655087*Deflactores!$B$5</f>
        <v>442.46558751649059</v>
      </c>
      <c r="F152" s="56">
        <f>170.28563016976*Deflactores!$C$5</f>
        <v>550.54946992945509</v>
      </c>
      <c r="G152" s="56">
        <f>233.55357986727*Deflactores!$D$5</f>
        <v>709.07226038313013</v>
      </c>
      <c r="H152" s="56">
        <f>131.52460243852*Deflactores!$E$5</f>
        <v>378.50439422309273</v>
      </c>
      <c r="I152" s="56">
        <f>187.81437728384*Deflactores!$F$5</f>
        <v>515.46945198951437</v>
      </c>
      <c r="J152" s="56">
        <f>467.38311832686*Deflactores!$G$5</f>
        <v>1227.7854556712612</v>
      </c>
      <c r="K152" s="56">
        <f>325.35100926236*Deflactores!$H$5</f>
        <v>808.62914736853747</v>
      </c>
      <c r="L152" s="56">
        <f>337.40821311558*Deflactores!$I$5</f>
        <v>778.82617365816247</v>
      </c>
      <c r="M152" s="56">
        <f>376.17067802578*Deflactores!$J$5</f>
        <v>851.25947416307997</v>
      </c>
      <c r="N152" s="56">
        <f>694.00797125235*Deflactores!$K$5</f>
        <v>1522.2392011775348</v>
      </c>
      <c r="O152" s="56">
        <f>542.44112495446*Deflactores!$L$5</f>
        <v>1147.0452526919319</v>
      </c>
      <c r="P152" s="56">
        <f>398.68248306786*Deflactores!$M$5</f>
        <v>822.9728888725225</v>
      </c>
      <c r="Q152" s="56">
        <f>527.42353669713*Deflactores!$N$5</f>
        <v>1068.0049152366241</v>
      </c>
      <c r="R152" s="56">
        <f>1062.96284212772*Deflactores!$O$5</f>
        <v>2076.4459147270177</v>
      </c>
      <c r="S152" s="56">
        <f>810.93330338825*Deflactores!$P$5</f>
        <v>1483.6738216981132</v>
      </c>
      <c r="T152" s="56">
        <f>679.63398142729*Deflactores!$Q$5</f>
        <v>1175.8393956534337</v>
      </c>
      <c r="U152" s="56">
        <f>719.707084555689*Deflactores!$R$5</f>
        <v>1196.2437748311581</v>
      </c>
      <c r="V152" s="56">
        <f>1747.24245680992*Deflactores!$S$5</f>
        <v>2814.6316289686515</v>
      </c>
    </row>
    <row r="153" spans="3:22" x14ac:dyDescent="0.2">
      <c r="C153" s="88" t="s">
        <v>146</v>
      </c>
      <c r="D153" s="57">
        <f>143.244116595899*Deflactores!$A$5</f>
        <v>533.39997545800361</v>
      </c>
      <c r="E153" s="57">
        <f>152.442711379869*Deflactores!$B$5</f>
        <v>527.32173295436883</v>
      </c>
      <c r="F153" s="57">
        <f>168.0850580005*Deflactores!$C$5</f>
        <v>543.43481298441623</v>
      </c>
      <c r="G153" s="57">
        <f>180.51509950736*Deflactores!$D$5</f>
        <v>548.04661831221608</v>
      </c>
      <c r="H153" s="57">
        <f>176.142750066409*Deflactores!$E$5</f>
        <v>506.90748099269445</v>
      </c>
      <c r="I153" s="57">
        <f>219.4003444181*Deflactores!$F$5</f>
        <v>602.1593071790868</v>
      </c>
      <c r="J153" s="57">
        <f>220.52892572786*Deflactores!$G$5</f>
        <v>579.31533456482123</v>
      </c>
      <c r="K153" s="57">
        <f>208.36990485992*Deflactores!$H$5</f>
        <v>517.88368164633061</v>
      </c>
      <c r="L153" s="57">
        <f>212.67738090085*Deflactores!$I$5</f>
        <v>490.91487507421357</v>
      </c>
      <c r="M153" s="57">
        <f>211.940753573229*Deflactores!$J$5</f>
        <v>479.61360355713151</v>
      </c>
      <c r="N153" s="57">
        <f>219.3036359216*Deflactores!$K$5</f>
        <v>481.02126400395423</v>
      </c>
      <c r="O153" s="57">
        <f>251.760463829558*Deflactores!$L$5</f>
        <v>532.37232865678754</v>
      </c>
      <c r="P153" s="57">
        <f>389.411244287013*Deflactores!$M$5</f>
        <v>803.83490692712076</v>
      </c>
      <c r="Q153" s="57">
        <f>410.398488583789*Deflactores!$N$5</f>
        <v>831.0353492336917</v>
      </c>
      <c r="R153" s="57">
        <f>474.505755259905*Deflactores!$O$5</f>
        <v>926.92378131643204</v>
      </c>
      <c r="S153" s="57">
        <f>595.197097293266*Deflactores!$P$5</f>
        <v>1088.9654529109071</v>
      </c>
      <c r="T153" s="57">
        <f>692.927004814836*Deflactores!$Q$5</f>
        <v>1198.8377462562005</v>
      </c>
      <c r="U153" s="57">
        <f>633.468622061237*Deflactores!$R$5</f>
        <v>1052.9045940397316</v>
      </c>
      <c r="V153" s="57">
        <f>609.30578621268*Deflactores!$S$5</f>
        <v>981.53025695070414</v>
      </c>
    </row>
    <row r="154" spans="3:22" x14ac:dyDescent="0.2">
      <c r="C154" s="90" t="s">
        <v>147</v>
      </c>
      <c r="D154" s="58">
        <f>4582.89957835662*Deflactores!$A$5</f>
        <v>17065.402619767359</v>
      </c>
      <c r="E154" s="58">
        <f>5908.73071266371*Deflactores!$B$5</f>
        <v>20439.16754536282</v>
      </c>
      <c r="F154" s="58">
        <f>6983.61162454552*Deflactores!$C$5</f>
        <v>22578.673692276683</v>
      </c>
      <c r="G154" s="58">
        <f>7790.34633583478*Deflactores!$D$5</f>
        <v>23651.611286185725</v>
      </c>
      <c r="H154" s="58">
        <f>9830.43543399968*Deflactores!$E$5</f>
        <v>28290.243345419418</v>
      </c>
      <c r="I154" s="58">
        <f>12960.4452418627*Deflactores!$F$5</f>
        <v>35570.831706172583</v>
      </c>
      <c r="J154" s="58">
        <f>14666.3931050368*Deflactores!$G$5</f>
        <v>38527.673412731812</v>
      </c>
      <c r="K154" s="58">
        <f>16435.8134706668*Deflactores!$H$5</f>
        <v>40849.659151898617</v>
      </c>
      <c r="L154" s="58">
        <f>18293.5902160627*Deflactores!$I$5</f>
        <v>42226.378364909535</v>
      </c>
      <c r="M154" s="58">
        <f>20772.9258817255*Deflactores!$J$5</f>
        <v>47008.31562872215</v>
      </c>
      <c r="N154" s="58">
        <f>21657.5762143991*Deflactores!$K$5</f>
        <v>47503.79373389198</v>
      </c>
      <c r="O154" s="58">
        <f>23701.1242536732*Deflactores!$L$5</f>
        <v>50118.364570753816</v>
      </c>
      <c r="P154" s="58">
        <f>26383.9057952277*Deflactores!$M$5</f>
        <v>54462.486048937353</v>
      </c>
      <c r="Q154" s="58">
        <f>27786.2679619603*Deflactores!$N$5</f>
        <v>56265.730849430671</v>
      </c>
      <c r="R154" s="58">
        <f>33462.1116916858*Deflactores!$O$5</f>
        <v>65366.598310490641</v>
      </c>
      <c r="S154" s="58">
        <f>30877.953514013*Deflactores!$P$5</f>
        <v>56493.932491040607</v>
      </c>
      <c r="T154" s="58">
        <f>32512.2676994041*Deflactores!$Q$5</f>
        <v>56249.6965244518</v>
      </c>
      <c r="U154" s="58">
        <f>35431.7442036581*Deflactores!$R$5</f>
        <v>58892.019190282583</v>
      </c>
      <c r="V154" s="58">
        <f>44169.9852951886*Deflactores!$S$5</f>
        <v>71153.397846056861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0.24945068766497933</v>
      </c>
      <c r="V155" s="59">
        <f>120.54937830268*Deflactores!$S$5</f>
        <v>194.19290763041627</v>
      </c>
    </row>
    <row r="156" spans="3:22" x14ac:dyDescent="0.2">
      <c r="C156" s="87" t="s">
        <v>149</v>
      </c>
      <c r="D156" s="56">
        <f>30.98173367111*Deflactores!$A$5</f>
        <v>115.36708363692473</v>
      </c>
      <c r="E156" s="56">
        <f>22.95268081052*Deflactores!$B$5</f>
        <v>79.39669474122347</v>
      </c>
      <c r="F156" s="56">
        <f>15.9431445177699*Deflactores!$C$5</f>
        <v>51.545686823465495</v>
      </c>
      <c r="G156" s="56">
        <f>17.91791950173*Deflactores!$D$5</f>
        <v>54.399079173502926</v>
      </c>
      <c r="H156" s="56">
        <f>19.46000505066*Deflactores!$E$5</f>
        <v>56.002430622981116</v>
      </c>
      <c r="I156" s="56">
        <f>37.52103815616*Deflactores!$F$5</f>
        <v>102.97906505423639</v>
      </c>
      <c r="J156" s="56">
        <f>31.28842709475*Deflactores!$G$5</f>
        <v>82.192689918464623</v>
      </c>
      <c r="K156" s="56">
        <f>36.35329778853*Deflactores!$H$5</f>
        <v>90.35268174339248</v>
      </c>
      <c r="L156" s="56">
        <f>36.99157433791*Deflactores!$I$5</f>
        <v>85.386203356339124</v>
      </c>
      <c r="M156" s="56">
        <f>41.78251954457*Deflactores!$J$5</f>
        <v>94.552201153439484</v>
      </c>
      <c r="N156" s="56">
        <f>109.15932987828*Deflactores!$K$5</f>
        <v>239.4304071394703</v>
      </c>
      <c r="O156" s="56">
        <f>120.59611987467*Deflactores!$L$5</f>
        <v>255.01238831572851</v>
      </c>
      <c r="P156" s="56">
        <f>142.38121663111*Deflactores!$M$5</f>
        <v>293.90777410239127</v>
      </c>
      <c r="Q156" s="56">
        <f>45.45397412115*Deflactores!$N$5</f>
        <v>92.041906363202827</v>
      </c>
      <c r="R156" s="56">
        <f>64.87346086602*Deflactores!$O$5</f>
        <v>126.72713236128783</v>
      </c>
      <c r="S156" s="56">
        <f>66.65550106906*Deflactores!$P$5</f>
        <v>121.95210332974449</v>
      </c>
      <c r="T156" s="56">
        <f>73.80429481003*Deflactores!$Q$5</f>
        <v>127.68931480413009</v>
      </c>
      <c r="U156" s="56">
        <f>77.4136039071799*Deflactores!$R$5</f>
        <v>128.67115490238501</v>
      </c>
      <c r="V156" s="56">
        <f>73.96503099522*Deflactores!$S$5</f>
        <v>119.15021573874274</v>
      </c>
    </row>
    <row r="157" spans="3:22" x14ac:dyDescent="0.2">
      <c r="C157" s="88" t="s">
        <v>150</v>
      </c>
      <c r="D157" s="57">
        <f>525.42086522344*Deflactores!$A$5</f>
        <v>1956.516492792065</v>
      </c>
      <c r="E157" s="57">
        <f>787.40352863522*Deflactores!$B$5</f>
        <v>2723.7444774886158</v>
      </c>
      <c r="F157" s="57">
        <f>492.14368254742*Deflactores!$C$5</f>
        <v>1591.1468471267895</v>
      </c>
      <c r="G157" s="57">
        <f>357.356206853989*Deflactores!$D$5</f>
        <v>1084.9389399207812</v>
      </c>
      <c r="H157" s="57">
        <f>562.02190754904*Deflactores!$E$5</f>
        <v>1617.3990091047344</v>
      </c>
      <c r="I157" s="57">
        <f>904.34105468814*Deflactores!$F$5</f>
        <v>2482.0261079758379</v>
      </c>
      <c r="J157" s="57">
        <f>1185.26824804579*Deflactores!$G$5</f>
        <v>3113.6236183050555</v>
      </c>
      <c r="K157" s="57">
        <f>2084.45928584942*Deflactores!$H$5</f>
        <v>5180.7263142117135</v>
      </c>
      <c r="L157" s="57">
        <f>1602.85799796059*Deflactores!$I$5</f>
        <v>3699.8143878655515</v>
      </c>
      <c r="M157" s="57">
        <f>2675.72399603092*Deflactores!$J$5</f>
        <v>6055.0583416571253</v>
      </c>
      <c r="N157" s="57">
        <f>2457.9874304287*Deflactores!$K$5</f>
        <v>5391.3571278559521</v>
      </c>
      <c r="O157" s="57">
        <f>3828.39656605024*Deflactores!$L$5</f>
        <v>8095.5220843159568</v>
      </c>
      <c r="P157" s="57">
        <f>6256.62593227124*Deflactores!$M$5</f>
        <v>12915.123530018704</v>
      </c>
      <c r="Q157" s="57">
        <f>6875.96548899567*Deflactores!$N$5</f>
        <v>13923.468386018909</v>
      </c>
      <c r="R157" s="57">
        <f>5619.70666891858*Deflactores!$O$5</f>
        <v>10977.822076341286</v>
      </c>
      <c r="S157" s="57">
        <f>4830.01687155519*Deflactores!$P$5</f>
        <v>8836.9407949394699</v>
      </c>
      <c r="T157" s="57">
        <f>3821.0082432524*Deflactores!$Q$5</f>
        <v>6610.752473113881</v>
      </c>
      <c r="U157" s="57">
        <f>3169.69529016965*Deflactores!$R$5</f>
        <v>5268.4325892358102</v>
      </c>
      <c r="V157" s="57">
        <f>2365.47909725908*Deflactores!$S$5</f>
        <v>3810.548592646709</v>
      </c>
    </row>
    <row r="158" spans="3:22" x14ac:dyDescent="0.2">
      <c r="C158" s="87" t="s">
        <v>151</v>
      </c>
      <c r="D158" s="56">
        <f>115.50451451101*Deflactores!$A$5</f>
        <v>430.10565927302611</v>
      </c>
      <c r="E158" s="56">
        <f>39.86461104246*Deflactores!$B$5</f>
        <v>137.89754582676551</v>
      </c>
      <c r="F158" s="56">
        <f>79.27671387647*Deflactores!$C$5</f>
        <v>256.30907762991279</v>
      </c>
      <c r="G158" s="56">
        <f>53.7919817173*Deflactores!$D$5</f>
        <v>163.31328378032353</v>
      </c>
      <c r="H158" s="56">
        <f>20.60832197886*Deflactores!$E$5</f>
        <v>59.307082340043962</v>
      </c>
      <c r="I158" s="56">
        <f>49.72028344153*Deflactores!$F$5</f>
        <v>136.46073122312558</v>
      </c>
      <c r="J158" s="56">
        <f>139.004059606919*Deflactores!$G$5</f>
        <v>365.15474344813993</v>
      </c>
      <c r="K158" s="56">
        <f>338.46168632449*Deflactores!$H$5</f>
        <v>841.2144946161477</v>
      </c>
      <c r="L158" s="56">
        <f>397.84936249448*Deflactores!$I$5</f>
        <v>918.34011336817503</v>
      </c>
      <c r="M158" s="56">
        <f>657.01831289666*Deflactores!$J$5</f>
        <v>1486.8066444923568</v>
      </c>
      <c r="N158" s="56">
        <f>315.11706956662*Deflactores!$K$5</f>
        <v>691.17874163447948</v>
      </c>
      <c r="O158" s="56">
        <f>960.24870659873*Deflactores!$L$5</f>
        <v>2030.5405870547002</v>
      </c>
      <c r="P158" s="56">
        <f>3011.09604453375*Deflactores!$M$5</f>
        <v>6215.5989181515542</v>
      </c>
      <c r="Q158" s="56">
        <f>3478.03563047096*Deflactores!$N$5</f>
        <v>7042.839180012099</v>
      </c>
      <c r="R158" s="56">
        <f>3668.24190724048*Deflactores!$O$5</f>
        <v>7165.7311249688364</v>
      </c>
      <c r="S158" s="56">
        <f>3805.94999877669*Deflactores!$P$5</f>
        <v>6963.3203572765724</v>
      </c>
      <c r="T158" s="56">
        <f>3173.94806763313*Deflactores!$Q$5</f>
        <v>5491.2692414871453</v>
      </c>
      <c r="U158" s="56">
        <f>3771.11273998334*Deflactores!$R$5</f>
        <v>6268.0641002394914</v>
      </c>
      <c r="V158" s="56">
        <f>2307.52601065269*Deflactores!$S$5</f>
        <v>3717.1920067172896</v>
      </c>
    </row>
    <row r="159" spans="3:22" x14ac:dyDescent="0.2">
      <c r="C159" s="79" t="s">
        <v>152</v>
      </c>
      <c r="D159" s="44">
        <f t="shared" ref="D159:V159" si="32">+SUM(D130:D158)</f>
        <v>100324.52790012927</v>
      </c>
      <c r="E159" s="44">
        <f t="shared" si="32"/>
        <v>110456.63793171846</v>
      </c>
      <c r="F159" s="44">
        <f t="shared" si="32"/>
        <v>107381.62214103913</v>
      </c>
      <c r="G159" s="44">
        <f t="shared" si="32"/>
        <v>106877.56038003346</v>
      </c>
      <c r="H159" s="44">
        <f t="shared" si="32"/>
        <v>119629.94947326649</v>
      </c>
      <c r="I159" s="44">
        <f t="shared" si="32"/>
        <v>133506.65422005777</v>
      </c>
      <c r="J159" s="44">
        <f t="shared" si="32"/>
        <v>140543.15256400462</v>
      </c>
      <c r="K159" s="44">
        <f t="shared" si="32"/>
        <v>159949.89388816591</v>
      </c>
      <c r="L159" s="44">
        <f t="shared" si="32"/>
        <v>168800.46986090028</v>
      </c>
      <c r="M159" s="44">
        <f t="shared" si="32"/>
        <v>194497.05644772048</v>
      </c>
      <c r="N159" s="44">
        <f t="shared" si="32"/>
        <v>189878.37965851877</v>
      </c>
      <c r="O159" s="44">
        <f t="shared" si="32"/>
        <v>207806.43587308875</v>
      </c>
      <c r="P159" s="44">
        <f t="shared" si="32"/>
        <v>226180.77969142297</v>
      </c>
      <c r="Q159" s="44">
        <f t="shared" si="32"/>
        <v>249586.38018945683</v>
      </c>
      <c r="R159" s="44">
        <f t="shared" si="32"/>
        <v>260818.48917059007</v>
      </c>
      <c r="S159" s="44">
        <f t="shared" si="32"/>
        <v>252475.17086857336</v>
      </c>
      <c r="T159" s="44">
        <f t="shared" si="32"/>
        <v>241707.90646755989</v>
      </c>
      <c r="U159" s="44">
        <f t="shared" si="32"/>
        <v>258738.39687333038</v>
      </c>
      <c r="V159" s="44">
        <f t="shared" si="32"/>
        <v>251179.20152346135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55" t="s">
        <v>168</v>
      </c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</row>
    <row r="165" spans="2:22" ht="2.25" customHeight="1" x14ac:dyDescent="0.2"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6" t="s">
        <v>120</v>
      </c>
      <c r="D167" s="180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60"/>
      <c r="D168" s="181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86.410008666246213</v>
      </c>
      <c r="E169" s="60">
        <f t="shared" si="33"/>
        <v>67.287717238736988</v>
      </c>
      <c r="F169" s="60">
        <f t="shared" si="33"/>
        <v>63.050819004425271</v>
      </c>
      <c r="G169" s="60">
        <f t="shared" si="33"/>
        <v>74.547343311654515</v>
      </c>
      <c r="H169" s="60">
        <f t="shared" si="33"/>
        <v>75.379779840174535</v>
      </c>
      <c r="I169" s="60">
        <f t="shared" si="33"/>
        <v>82.336719039971982</v>
      </c>
      <c r="J169" s="60">
        <f t="shared" si="33"/>
        <v>81.484771383819961</v>
      </c>
      <c r="K169" s="60">
        <f t="shared" si="33"/>
        <v>93.327548740319713</v>
      </c>
      <c r="L169" s="60">
        <f t="shared" si="33"/>
        <v>97.658786221859046</v>
      </c>
      <c r="M169" s="60">
        <f t="shared" si="33"/>
        <v>87.586606849368138</v>
      </c>
      <c r="N169" s="60">
        <f t="shared" si="33"/>
        <v>81.496874616302989</v>
      </c>
      <c r="O169" s="60">
        <f t="shared" si="33"/>
        <v>78.601710199392969</v>
      </c>
      <c r="P169" s="60">
        <f t="shared" si="33"/>
        <v>85.408832479866092</v>
      </c>
      <c r="Q169" s="60">
        <f t="shared" si="33"/>
        <v>88.093981703210346</v>
      </c>
      <c r="R169" s="60">
        <f t="shared" si="33"/>
        <v>91.394523228966378</v>
      </c>
      <c r="S169" s="60">
        <f t="shared" si="33"/>
        <v>88.1704728595288</v>
      </c>
      <c r="T169" s="60">
        <f t="shared" si="33"/>
        <v>80.580733362920327</v>
      </c>
      <c r="U169" s="60">
        <f t="shared" si="33"/>
        <v>91.814309822139677</v>
      </c>
      <c r="V169" s="60">
        <f t="shared" si="33"/>
        <v>59.722119634182349</v>
      </c>
    </row>
    <row r="170" spans="2:22" x14ac:dyDescent="0.2">
      <c r="C170" s="88" t="s">
        <v>124</v>
      </c>
      <c r="D170" s="62">
        <f t="shared" ref="D170:V170" si="34">+IFERROR(IF(D131&gt;0,+((D131/D14)*100)," "),"")</f>
        <v>74.328805223611752</v>
      </c>
      <c r="E170" s="62">
        <f t="shared" si="34"/>
        <v>76.286217934091312</v>
      </c>
      <c r="F170" s="62">
        <f t="shared" si="34"/>
        <v>74.400767044967509</v>
      </c>
      <c r="G170" s="62">
        <f t="shared" si="34"/>
        <v>73.584985836933086</v>
      </c>
      <c r="H170" s="62">
        <f t="shared" si="34"/>
        <v>44.935377391662691</v>
      </c>
      <c r="I170" s="62">
        <f t="shared" si="34"/>
        <v>57.969734658706095</v>
      </c>
      <c r="J170" s="62">
        <f t="shared" si="34"/>
        <v>54.087662184801921</v>
      </c>
      <c r="K170" s="62">
        <f t="shared" si="34"/>
        <v>93.843805188885383</v>
      </c>
      <c r="L170" s="62">
        <f t="shared" si="34"/>
        <v>97.679598719363952</v>
      </c>
      <c r="M170" s="62">
        <f t="shared" si="34"/>
        <v>94.08432705191538</v>
      </c>
      <c r="N170" s="62">
        <f t="shared" si="34"/>
        <v>93.288973199764257</v>
      </c>
      <c r="O170" s="62">
        <f t="shared" si="34"/>
        <v>95.884730040183968</v>
      </c>
      <c r="P170" s="62">
        <f t="shared" si="34"/>
        <v>80.915926036923892</v>
      </c>
      <c r="Q170" s="62">
        <f t="shared" si="34"/>
        <v>70.594860083846896</v>
      </c>
      <c r="R170" s="62">
        <f t="shared" si="34"/>
        <v>74.53030594360375</v>
      </c>
      <c r="S170" s="62">
        <f t="shared" si="34"/>
        <v>67.755026400973733</v>
      </c>
      <c r="T170" s="62">
        <f t="shared" si="34"/>
        <v>71.184416930505165</v>
      </c>
      <c r="U170" s="62">
        <f t="shared" si="34"/>
        <v>73.656781911304904</v>
      </c>
      <c r="V170" s="62">
        <f t="shared" si="34"/>
        <v>74.148596373859135</v>
      </c>
    </row>
    <row r="171" spans="2:22" x14ac:dyDescent="0.2">
      <c r="C171" s="87" t="s">
        <v>125</v>
      </c>
      <c r="D171" s="60">
        <f t="shared" ref="D171:V171" si="35">+IFERROR(IF(D132&gt;0,+((D132/D15)*100)," "),"")</f>
        <v>69.628415835971552</v>
      </c>
      <c r="E171" s="60">
        <f t="shared" si="35"/>
        <v>54.31813908005396</v>
      </c>
      <c r="F171" s="60">
        <f t="shared" si="35"/>
        <v>32.139050436040577</v>
      </c>
      <c r="G171" s="60">
        <f t="shared" si="35"/>
        <v>31.464833281295778</v>
      </c>
      <c r="H171" s="60">
        <f t="shared" si="35"/>
        <v>59.402299137632617</v>
      </c>
      <c r="I171" s="60">
        <f t="shared" si="35"/>
        <v>55.22782501762277</v>
      </c>
      <c r="J171" s="60">
        <f t="shared" si="35"/>
        <v>51.654442797752687</v>
      </c>
      <c r="K171" s="60">
        <f t="shared" si="35"/>
        <v>92.309766958474</v>
      </c>
      <c r="L171" s="60">
        <f t="shared" si="35"/>
        <v>95.69872429410033</v>
      </c>
      <c r="M171" s="60">
        <f t="shared" si="35"/>
        <v>73.639306904450549</v>
      </c>
      <c r="N171" s="60">
        <f t="shared" si="35"/>
        <v>93.912790733948555</v>
      </c>
      <c r="O171" s="60">
        <f t="shared" si="35"/>
        <v>95.041746313245199</v>
      </c>
      <c r="P171" s="60">
        <f t="shared" si="35"/>
        <v>90.923909656537759</v>
      </c>
      <c r="Q171" s="60">
        <f t="shared" si="35"/>
        <v>96.379613927901786</v>
      </c>
      <c r="R171" s="60">
        <f t="shared" si="35"/>
        <v>94.762164254867386</v>
      </c>
      <c r="S171" s="60">
        <f t="shared" si="35"/>
        <v>98.151049005517038</v>
      </c>
      <c r="T171" s="60">
        <f t="shared" si="35"/>
        <v>98.391747332416443</v>
      </c>
      <c r="U171" s="60">
        <f t="shared" si="35"/>
        <v>99.616140108691994</v>
      </c>
      <c r="V171" s="60">
        <f t="shared" si="35"/>
        <v>80.359304580074166</v>
      </c>
    </row>
    <row r="172" spans="2:22" x14ac:dyDescent="0.2">
      <c r="C172" s="88" t="s">
        <v>126</v>
      </c>
      <c r="D172" s="62">
        <f t="shared" ref="D172:V172" si="36">+IFERROR(IF(D133&gt;0,+((D133/D16)*100)," "),"")</f>
        <v>75.409528536075626</v>
      </c>
      <c r="E172" s="62">
        <f t="shared" si="36"/>
        <v>68.75685398432546</v>
      </c>
      <c r="F172" s="62">
        <f t="shared" si="36"/>
        <v>62.669685821022533</v>
      </c>
      <c r="G172" s="62">
        <f t="shared" si="36"/>
        <v>76.704431231304909</v>
      </c>
      <c r="H172" s="62">
        <f t="shared" si="36"/>
        <v>79.829782186813787</v>
      </c>
      <c r="I172" s="62">
        <f t="shared" si="36"/>
        <v>79.534369416087287</v>
      </c>
      <c r="J172" s="62">
        <f t="shared" si="36"/>
        <v>86.436870304427472</v>
      </c>
      <c r="K172" s="62">
        <f t="shared" si="36"/>
        <v>89.364821541096163</v>
      </c>
      <c r="L172" s="62">
        <f t="shared" si="36"/>
        <v>92.037420617165822</v>
      </c>
      <c r="M172" s="62">
        <f t="shared" si="36"/>
        <v>91.756494423777553</v>
      </c>
      <c r="N172" s="62">
        <f t="shared" si="36"/>
        <v>91.564465059123123</v>
      </c>
      <c r="O172" s="62">
        <f t="shared" si="36"/>
        <v>92.038491305963348</v>
      </c>
      <c r="P172" s="62">
        <f t="shared" si="36"/>
        <v>95.785944607069197</v>
      </c>
      <c r="Q172" s="62">
        <f t="shared" si="36"/>
        <v>94.75822143955574</v>
      </c>
      <c r="R172" s="62">
        <f t="shared" si="36"/>
        <v>91.664406707044492</v>
      </c>
      <c r="S172" s="62">
        <f t="shared" si="36"/>
        <v>95.563284138104905</v>
      </c>
      <c r="T172" s="62">
        <f t="shared" si="36"/>
        <v>97.526539920371945</v>
      </c>
      <c r="U172" s="62">
        <f t="shared" si="36"/>
        <v>98.952305602687659</v>
      </c>
      <c r="V172" s="62">
        <f t="shared" si="36"/>
        <v>83.440410710072015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86.625023337689782</v>
      </c>
      <c r="E173" s="60">
        <f t="shared" si="37"/>
        <v>81.078374192575367</v>
      </c>
      <c r="F173" s="60">
        <f t="shared" si="37"/>
        <v>93.680007525364545</v>
      </c>
      <c r="G173" s="60">
        <f t="shared" si="37"/>
        <v>91.303240186385878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97.100852780428795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94.048409947523197</v>
      </c>
      <c r="O173" s="60">
        <f t="shared" si="37"/>
        <v>89.355637074634245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97.687119133242248</v>
      </c>
      <c r="T173" s="60">
        <f t="shared" si="37"/>
        <v>96.870415888958235</v>
      </c>
      <c r="U173" s="60">
        <f t="shared" si="37"/>
        <v>98.184179198252821</v>
      </c>
      <c r="V173" s="60">
        <f t="shared" si="37"/>
        <v>92.269699098342457</v>
      </c>
    </row>
    <row r="174" spans="2:22" x14ac:dyDescent="0.2">
      <c r="C174" s="88" t="s">
        <v>128</v>
      </c>
      <c r="D174" s="62">
        <f t="shared" ref="D174:V174" si="38">+IFERROR(IF(D135&gt;0,+((D135/D18)*100)," "),"")</f>
        <v>74.978797411753433</v>
      </c>
      <c r="E174" s="62">
        <f t="shared" si="38"/>
        <v>82.649675187589551</v>
      </c>
      <c r="F174" s="62">
        <f t="shared" si="38"/>
        <v>74.560323570789549</v>
      </c>
      <c r="G174" s="62">
        <f t="shared" si="38"/>
        <v>85.990447037732139</v>
      </c>
      <c r="H174" s="62">
        <f t="shared" si="38"/>
        <v>80.120775424137094</v>
      </c>
      <c r="I174" s="62">
        <f t="shared" si="38"/>
        <v>84.125370845599065</v>
      </c>
      <c r="J174" s="62">
        <f t="shared" si="38"/>
        <v>89.883581352628369</v>
      </c>
      <c r="K174" s="62">
        <f t="shared" si="38"/>
        <v>88.682393150967314</v>
      </c>
      <c r="L174" s="62">
        <f t="shared" si="38"/>
        <v>90.709291215838206</v>
      </c>
      <c r="M174" s="62">
        <f t="shared" si="38"/>
        <v>87.505028343506979</v>
      </c>
      <c r="N174" s="62">
        <f t="shared" si="38"/>
        <v>88.358798497322724</v>
      </c>
      <c r="O174" s="62">
        <f t="shared" si="38"/>
        <v>90.090127154184671</v>
      </c>
      <c r="P174" s="62">
        <f t="shared" si="38"/>
        <v>94.101590505160289</v>
      </c>
      <c r="Q174" s="62">
        <f t="shared" si="38"/>
        <v>93.636574947786499</v>
      </c>
      <c r="R174" s="62">
        <f t="shared" si="38"/>
        <v>97.822913878878111</v>
      </c>
      <c r="S174" s="62">
        <f t="shared" si="38"/>
        <v>98.309328614972998</v>
      </c>
      <c r="T174" s="62">
        <f t="shared" si="38"/>
        <v>98.520545326306262</v>
      </c>
      <c r="U174" s="62">
        <f t="shared" si="38"/>
        <v>93.226803924410405</v>
      </c>
      <c r="V174" s="62">
        <f t="shared" si="38"/>
        <v>90.626209513725783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95.740010413069612</v>
      </c>
      <c r="E175" s="60">
        <f t="shared" si="39"/>
        <v>90.390877118544196</v>
      </c>
      <c r="F175" s="60">
        <f t="shared" si="39"/>
        <v>91.007418590296382</v>
      </c>
      <c r="G175" s="60">
        <f t="shared" si="39"/>
        <v>89.159336454856415</v>
      </c>
      <c r="H175" s="60">
        <f t="shared" si="39"/>
        <v>89.371092934068713</v>
      </c>
      <c r="I175" s="60">
        <f t="shared" si="39"/>
        <v>89.874350359302213</v>
      </c>
      <c r="J175" s="60">
        <f t="shared" si="39"/>
        <v>91.544721479161453</v>
      </c>
      <c r="K175" s="60">
        <f t="shared" si="39"/>
        <v>97.264681631359423</v>
      </c>
      <c r="L175" s="60">
        <f t="shared" si="39"/>
        <v>97.829056448975876</v>
      </c>
      <c r="M175" s="60">
        <f t="shared" si="39"/>
        <v>95.784513214300077</v>
      </c>
      <c r="N175" s="60">
        <f t="shared" si="39"/>
        <v>95.363610182597327</v>
      </c>
      <c r="O175" s="60">
        <f t="shared" si="39"/>
        <v>96.652511015182512</v>
      </c>
      <c r="P175" s="60">
        <f t="shared" si="39"/>
        <v>98.425812791060281</v>
      </c>
      <c r="Q175" s="60">
        <f t="shared" si="39"/>
        <v>98.111674094873337</v>
      </c>
      <c r="R175" s="60">
        <f t="shared" si="39"/>
        <v>97.218151162829599</v>
      </c>
      <c r="S175" s="60">
        <f t="shared" si="39"/>
        <v>97.881389363047504</v>
      </c>
      <c r="T175" s="60">
        <f t="shared" si="39"/>
        <v>98.861201582003972</v>
      </c>
      <c r="U175" s="60">
        <f t="shared" si="39"/>
        <v>98.927920323389756</v>
      </c>
      <c r="V175" s="60">
        <f t="shared" si="39"/>
        <v>95.667215560418626</v>
      </c>
    </row>
    <row r="176" spans="2:22" x14ac:dyDescent="0.2">
      <c r="C176" s="88" t="s">
        <v>130</v>
      </c>
      <c r="D176" s="62">
        <f t="shared" ref="D176:V176" si="40">+IFERROR(IF(D137&gt;0,+((D137/D20)*100)," "),"")</f>
        <v>85.891649490864694</v>
      </c>
      <c r="E176" s="62">
        <f t="shared" si="40"/>
        <v>63.381652028885149</v>
      </c>
      <c r="F176" s="62">
        <f t="shared" si="40"/>
        <v>73.365759996144433</v>
      </c>
      <c r="G176" s="62">
        <f t="shared" si="40"/>
        <v>59.264620684507882</v>
      </c>
      <c r="H176" s="62">
        <f t="shared" si="40"/>
        <v>86.141317126446936</v>
      </c>
      <c r="I176" s="62">
        <f t="shared" si="40"/>
        <v>88.809753677453088</v>
      </c>
      <c r="J176" s="62">
        <f t="shared" si="40"/>
        <v>93.300747016505142</v>
      </c>
      <c r="K176" s="62">
        <f t="shared" si="40"/>
        <v>91.309018136375315</v>
      </c>
      <c r="L176" s="62">
        <f t="shared" si="40"/>
        <v>93.398761416628318</v>
      </c>
      <c r="M176" s="62">
        <f t="shared" si="40"/>
        <v>85.409038599884724</v>
      </c>
      <c r="N176" s="62">
        <f t="shared" si="40"/>
        <v>87.849210547318393</v>
      </c>
      <c r="O176" s="62">
        <f t="shared" si="40"/>
        <v>84.705319114478428</v>
      </c>
      <c r="P176" s="62">
        <f t="shared" si="40"/>
        <v>84.695037183730832</v>
      </c>
      <c r="Q176" s="62">
        <f t="shared" si="40"/>
        <v>88.741413898721845</v>
      </c>
      <c r="R176" s="62">
        <f t="shared" si="40"/>
        <v>89.166834721737501</v>
      </c>
      <c r="S176" s="62">
        <f t="shared" si="40"/>
        <v>86.735096914790148</v>
      </c>
      <c r="T176" s="62">
        <f t="shared" si="40"/>
        <v>70.232272274789054</v>
      </c>
      <c r="U176" s="62">
        <f t="shared" si="40"/>
        <v>79.75376338516908</v>
      </c>
      <c r="V176" s="62">
        <f t="shared" si="40"/>
        <v>70.787316276504569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94.426048012301294</v>
      </c>
      <c r="E177" s="60">
        <f t="shared" si="41"/>
        <v>95.481314833594723</v>
      </c>
      <c r="F177" s="60">
        <f t="shared" si="41"/>
        <v>98.869986416534147</v>
      </c>
      <c r="G177" s="60">
        <f t="shared" si="41"/>
        <v>95.572686727151591</v>
      </c>
      <c r="H177" s="60">
        <f t="shared" si="41"/>
        <v>98.328638710623565</v>
      </c>
      <c r="I177" s="60">
        <f t="shared" si="41"/>
        <v>97.552151209030654</v>
      </c>
      <c r="J177" s="60">
        <f t="shared" si="41"/>
        <v>97.253298330603599</v>
      </c>
      <c r="K177" s="60">
        <f t="shared" si="41"/>
        <v>99.290381072931595</v>
      </c>
      <c r="L177" s="60">
        <f t="shared" si="41"/>
        <v>99.251644113017207</v>
      </c>
      <c r="M177" s="60">
        <f t="shared" si="41"/>
        <v>98.105064263973858</v>
      </c>
      <c r="N177" s="60">
        <f t="shared" si="41"/>
        <v>96.163856393203332</v>
      </c>
      <c r="O177" s="60">
        <f t="shared" si="41"/>
        <v>99.409325048755647</v>
      </c>
      <c r="P177" s="60">
        <f t="shared" si="41"/>
        <v>97.064295522490781</v>
      </c>
      <c r="Q177" s="60">
        <f t="shared" si="41"/>
        <v>99.424936565849748</v>
      </c>
      <c r="R177" s="60">
        <f t="shared" si="41"/>
        <v>99.682573534929048</v>
      </c>
      <c r="S177" s="60">
        <f t="shared" si="41"/>
        <v>99.752033283489666</v>
      </c>
      <c r="T177" s="60">
        <f t="shared" si="41"/>
        <v>99.046595030668612</v>
      </c>
      <c r="U177" s="60">
        <f t="shared" si="41"/>
        <v>99.80795592393855</v>
      </c>
      <c r="V177" s="60">
        <f t="shared" si="41"/>
        <v>99.146562853540487</v>
      </c>
    </row>
    <row r="178" spans="3:22" x14ac:dyDescent="0.2">
      <c r="C178" s="88" t="s">
        <v>132</v>
      </c>
      <c r="D178" s="62">
        <f t="shared" ref="D178:V178" si="42">+IFERROR(IF(D139&gt;0,+((D139/D22)*100)," "),"")</f>
        <v>96.510815789085086</v>
      </c>
      <c r="E178" s="62">
        <f t="shared" si="42"/>
        <v>94.146538230657271</v>
      </c>
      <c r="F178" s="62">
        <f t="shared" si="42"/>
        <v>96.244902511097635</v>
      </c>
      <c r="G178" s="62">
        <f t="shared" si="42"/>
        <v>89.257682579972766</v>
      </c>
      <c r="H178" s="62">
        <f t="shared" si="42"/>
        <v>81.667110281982673</v>
      </c>
      <c r="I178" s="62">
        <f t="shared" si="42"/>
        <v>50.921099351367438</v>
      </c>
      <c r="J178" s="62">
        <f t="shared" si="42"/>
        <v>82.425770127552326</v>
      </c>
      <c r="K178" s="62">
        <f t="shared" si="42"/>
        <v>92.367727168582164</v>
      </c>
      <c r="L178" s="62">
        <f t="shared" si="42"/>
        <v>93.651174974712376</v>
      </c>
      <c r="M178" s="62">
        <f t="shared" si="42"/>
        <v>85.089044711757239</v>
      </c>
      <c r="N178" s="62">
        <f t="shared" si="42"/>
        <v>71.855528872740976</v>
      </c>
      <c r="O178" s="62">
        <f t="shared" si="42"/>
        <v>81.764110662147743</v>
      </c>
      <c r="P178" s="62">
        <f t="shared" si="42"/>
        <v>90.608957467672752</v>
      </c>
      <c r="Q178" s="62">
        <f t="shared" si="42"/>
        <v>91.37471549034251</v>
      </c>
      <c r="R178" s="62">
        <f t="shared" si="42"/>
        <v>92.843997421420795</v>
      </c>
      <c r="S178" s="62">
        <f t="shared" si="42"/>
        <v>93.622375250673642</v>
      </c>
      <c r="T178" s="62">
        <f t="shared" si="42"/>
        <v>97.21263770036289</v>
      </c>
      <c r="U178" s="62">
        <f t="shared" si="42"/>
        <v>92.108828999687788</v>
      </c>
      <c r="V178" s="62">
        <f t="shared" si="42"/>
        <v>86.363977764331977</v>
      </c>
    </row>
    <row r="179" spans="3:22" x14ac:dyDescent="0.2">
      <c r="C179" s="87" t="s">
        <v>133</v>
      </c>
      <c r="D179" s="60">
        <f t="shared" ref="D179:V179" si="43">+IFERROR(IF(D140&gt;0,+((D140/D23)*100)," "),"")</f>
        <v>96.079063939162808</v>
      </c>
      <c r="E179" s="60">
        <f t="shared" si="43"/>
        <v>97.25861018790944</v>
      </c>
      <c r="F179" s="60">
        <f t="shared" si="43"/>
        <v>96.239680074197835</v>
      </c>
      <c r="G179" s="60">
        <f t="shared" si="43"/>
        <v>96.215626959637362</v>
      </c>
      <c r="H179" s="60">
        <f t="shared" si="43"/>
        <v>94.99354921915652</v>
      </c>
      <c r="I179" s="60">
        <f t="shared" si="43"/>
        <v>96.766805325259256</v>
      </c>
      <c r="J179" s="60">
        <f t="shared" si="43"/>
        <v>95.180797029879798</v>
      </c>
      <c r="K179" s="60">
        <f t="shared" si="43"/>
        <v>97.850070850427912</v>
      </c>
      <c r="L179" s="60">
        <f t="shared" si="43"/>
        <v>95.841084212285764</v>
      </c>
      <c r="M179" s="60">
        <f t="shared" si="43"/>
        <v>95.898902217807915</v>
      </c>
      <c r="N179" s="60">
        <f t="shared" si="43"/>
        <v>90.311951024025788</v>
      </c>
      <c r="O179" s="60">
        <f t="shared" si="43"/>
        <v>92.206927702450358</v>
      </c>
      <c r="P179" s="60">
        <f t="shared" si="43"/>
        <v>91.021224113126522</v>
      </c>
      <c r="Q179" s="60">
        <f t="shared" si="43"/>
        <v>93.990179111253283</v>
      </c>
      <c r="R179" s="60">
        <f t="shared" si="43"/>
        <v>90.23201763772704</v>
      </c>
      <c r="S179" s="60">
        <f t="shared" si="43"/>
        <v>89.869012356984967</v>
      </c>
      <c r="T179" s="60">
        <f t="shared" si="43"/>
        <v>95.032448639601341</v>
      </c>
      <c r="U179" s="60">
        <f t="shared" si="43"/>
        <v>98.625552622880875</v>
      </c>
      <c r="V179" s="60">
        <f t="shared" si="43"/>
        <v>92.083590683492929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88.779146220347215</v>
      </c>
      <c r="E180" s="62">
        <f t="shared" si="44"/>
        <v>89.492780158487207</v>
      </c>
      <c r="F180" s="62">
        <f t="shared" si="44"/>
        <v>79.402173913483097</v>
      </c>
      <c r="G180" s="62">
        <f t="shared" si="44"/>
        <v>85.551338301581737</v>
      </c>
      <c r="H180" s="62">
        <f t="shared" si="44"/>
        <v>79.514460147424842</v>
      </c>
      <c r="I180" s="62">
        <f t="shared" si="44"/>
        <v>83.360076916372179</v>
      </c>
      <c r="J180" s="62">
        <f t="shared" si="44"/>
        <v>84.407038641552788</v>
      </c>
      <c r="K180" s="62">
        <f t="shared" si="44"/>
        <v>82.935281272427346</v>
      </c>
      <c r="L180" s="62">
        <f t="shared" si="44"/>
        <v>79.015753353469123</v>
      </c>
      <c r="M180" s="62">
        <f t="shared" si="44"/>
        <v>73.700362192522277</v>
      </c>
      <c r="N180" s="62">
        <f t="shared" si="44"/>
        <v>78.165848778489249</v>
      </c>
      <c r="O180" s="62">
        <f t="shared" si="44"/>
        <v>95.509542480291543</v>
      </c>
      <c r="P180" s="62">
        <f t="shared" si="44"/>
        <v>92.039905290529035</v>
      </c>
      <c r="Q180" s="62">
        <f t="shared" si="44"/>
        <v>84.530107647360182</v>
      </c>
      <c r="R180" s="62">
        <f t="shared" si="44"/>
        <v>68.805891449369611</v>
      </c>
      <c r="S180" s="62">
        <f t="shared" si="44"/>
        <v>84.934283671462879</v>
      </c>
      <c r="T180" s="62">
        <f t="shared" si="44"/>
        <v>84.044753748485192</v>
      </c>
      <c r="U180" s="62">
        <f t="shared" si="44"/>
        <v>90.361198978292933</v>
      </c>
      <c r="V180" s="62">
        <f t="shared" si="44"/>
        <v>82.628424077017897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59.160126582758522</v>
      </c>
      <c r="E182" s="62">
        <f t="shared" si="46"/>
        <v>79.385287889224841</v>
      </c>
      <c r="F182" s="62">
        <f t="shared" si="46"/>
        <v>57.334765137667191</v>
      </c>
      <c r="G182" s="62">
        <f t="shared" si="46"/>
        <v>90.705514564309922</v>
      </c>
      <c r="H182" s="62">
        <f t="shared" si="46"/>
        <v>57.144328473640215</v>
      </c>
      <c r="I182" s="62">
        <f t="shared" si="46"/>
        <v>62.143953985638177</v>
      </c>
      <c r="J182" s="62">
        <f t="shared" si="46"/>
        <v>78.32906075162434</v>
      </c>
      <c r="K182" s="62">
        <f t="shared" si="46"/>
        <v>91.31029763286962</v>
      </c>
      <c r="L182" s="62">
        <f t="shared" si="46"/>
        <v>78.33107341278793</v>
      </c>
      <c r="M182" s="62">
        <f t="shared" si="46"/>
        <v>85.592774836691262</v>
      </c>
      <c r="N182" s="62">
        <f t="shared" si="46"/>
        <v>83.119843471102044</v>
      </c>
      <c r="O182" s="62">
        <f t="shared" si="46"/>
        <v>89.919961362896473</v>
      </c>
      <c r="P182" s="62">
        <f t="shared" si="46"/>
        <v>88.420877067586986</v>
      </c>
      <c r="Q182" s="62">
        <f t="shared" si="46"/>
        <v>89.680404093040138</v>
      </c>
      <c r="R182" s="62">
        <f t="shared" si="46"/>
        <v>91.76550778750466</v>
      </c>
      <c r="S182" s="62">
        <f t="shared" si="46"/>
        <v>95.371497584293294</v>
      </c>
      <c r="T182" s="62">
        <f t="shared" si="46"/>
        <v>85.838230317062767</v>
      </c>
      <c r="U182" s="62">
        <f t="shared" si="46"/>
        <v>96.151356507888991</v>
      </c>
      <c r="V182" s="62">
        <f t="shared" si="46"/>
        <v>91.381038317736099</v>
      </c>
    </row>
    <row r="183" spans="3:22" x14ac:dyDescent="0.2">
      <c r="C183" s="87" t="s">
        <v>137</v>
      </c>
      <c r="D183" s="60">
        <f t="shared" ref="D183:V183" si="47">+IFERROR(IF(D144&gt;0,+((D144/D27)*100)," "),"")</f>
        <v>68.564373279784519</v>
      </c>
      <c r="E183" s="60">
        <f t="shared" si="47"/>
        <v>84.825418115251381</v>
      </c>
      <c r="F183" s="60">
        <f t="shared" si="47"/>
        <v>70.783841139609265</v>
      </c>
      <c r="G183" s="60">
        <f t="shared" si="47"/>
        <v>79.906828956603078</v>
      </c>
      <c r="H183" s="60">
        <f t="shared" si="47"/>
        <v>78.697049351998402</v>
      </c>
      <c r="I183" s="60">
        <f t="shared" si="47"/>
        <v>81.470058395553664</v>
      </c>
      <c r="J183" s="60">
        <f t="shared" si="47"/>
        <v>97.241804475130337</v>
      </c>
      <c r="K183" s="60">
        <f t="shared" si="47"/>
        <v>86.95448908864951</v>
      </c>
      <c r="L183" s="60">
        <f t="shared" si="47"/>
        <v>93.821687108579539</v>
      </c>
      <c r="M183" s="60">
        <f t="shared" si="47"/>
        <v>86.440576007158285</v>
      </c>
      <c r="N183" s="60">
        <f t="shared" si="47"/>
        <v>84.214619611309502</v>
      </c>
      <c r="O183" s="60">
        <f t="shared" si="47"/>
        <v>92.165697990563217</v>
      </c>
      <c r="P183" s="60">
        <f t="shared" si="47"/>
        <v>85.483140996555377</v>
      </c>
      <c r="Q183" s="60">
        <f t="shared" si="47"/>
        <v>81.302493786677616</v>
      </c>
      <c r="R183" s="60">
        <f t="shared" si="47"/>
        <v>95.757610807029209</v>
      </c>
      <c r="S183" s="60">
        <f t="shared" si="47"/>
        <v>92.559506797736418</v>
      </c>
      <c r="T183" s="60">
        <f t="shared" si="47"/>
        <v>95.06171989405658</v>
      </c>
      <c r="U183" s="60">
        <f t="shared" si="47"/>
        <v>92.40157247042896</v>
      </c>
      <c r="V183" s="60">
        <f t="shared" si="47"/>
        <v>92.977828727405708</v>
      </c>
    </row>
    <row r="184" spans="3:22" x14ac:dyDescent="0.2">
      <c r="C184" s="88" t="s">
        <v>138</v>
      </c>
      <c r="D184" s="62">
        <f t="shared" ref="D184:V184" si="48">+IFERROR(IF(D145&gt;0,+((D145/D28)*100)," "),"")</f>
        <v>93.258811119922996</v>
      </c>
      <c r="E184" s="62">
        <f t="shared" si="48"/>
        <v>94.085081805767018</v>
      </c>
      <c r="F184" s="62">
        <f t="shared" si="48"/>
        <v>91.558679732269439</v>
      </c>
      <c r="G184" s="62">
        <f t="shared" si="48"/>
        <v>81.487726675639507</v>
      </c>
      <c r="H184" s="62">
        <f t="shared" si="48"/>
        <v>94.076004053946434</v>
      </c>
      <c r="I184" s="62">
        <f t="shared" si="48"/>
        <v>91.486450772702412</v>
      </c>
      <c r="J184" s="62">
        <f t="shared" si="48"/>
        <v>86.779354347697407</v>
      </c>
      <c r="K184" s="62">
        <f t="shared" si="48"/>
        <v>91.634832066681042</v>
      </c>
      <c r="L184" s="62">
        <f t="shared" si="48"/>
        <v>88.179153447842708</v>
      </c>
      <c r="M184" s="62">
        <f t="shared" si="48"/>
        <v>81.997047630474754</v>
      </c>
      <c r="N184" s="62">
        <f t="shared" si="48"/>
        <v>81.768676744660212</v>
      </c>
      <c r="O184" s="62">
        <f t="shared" si="48"/>
        <v>87.872705308304461</v>
      </c>
      <c r="P184" s="62">
        <f t="shared" si="48"/>
        <v>76.768253903238431</v>
      </c>
      <c r="Q184" s="62">
        <f t="shared" si="48"/>
        <v>76.347104579476238</v>
      </c>
      <c r="R184" s="62">
        <f t="shared" si="48"/>
        <v>84.804031796968417</v>
      </c>
      <c r="S184" s="62">
        <f t="shared" si="48"/>
        <v>94.592801949555977</v>
      </c>
      <c r="T184" s="62">
        <f t="shared" si="48"/>
        <v>97.020182299042133</v>
      </c>
      <c r="U184" s="62">
        <f t="shared" si="48"/>
        <v>97.109287093899482</v>
      </c>
      <c r="V184" s="62">
        <f t="shared" si="48"/>
        <v>95.85704352502286</v>
      </c>
    </row>
    <row r="185" spans="3:22" x14ac:dyDescent="0.2">
      <c r="C185" s="87" t="s">
        <v>139</v>
      </c>
      <c r="D185" s="60">
        <f t="shared" ref="D185:V185" si="49">+IFERROR(IF(D146&gt;0,+((D146/D29)*100)," "),"")</f>
        <v>94.064722743104085</v>
      </c>
      <c r="E185" s="60">
        <f t="shared" si="49"/>
        <v>83.534129515864635</v>
      </c>
      <c r="F185" s="60">
        <f t="shared" si="49"/>
        <v>80.057449075384895</v>
      </c>
      <c r="G185" s="60">
        <f t="shared" si="49"/>
        <v>88.879532242229686</v>
      </c>
      <c r="H185" s="60">
        <f t="shared" si="49"/>
        <v>88.981991372617586</v>
      </c>
      <c r="I185" s="60">
        <f t="shared" si="49"/>
        <v>91.883042787537988</v>
      </c>
      <c r="J185" s="60">
        <f t="shared" si="49"/>
        <v>81.779139918072403</v>
      </c>
      <c r="K185" s="60">
        <f t="shared" si="49"/>
        <v>82.552680661653483</v>
      </c>
      <c r="L185" s="60">
        <f t="shared" si="49"/>
        <v>87.866089147769401</v>
      </c>
      <c r="M185" s="60">
        <f t="shared" si="49"/>
        <v>90.389547696261218</v>
      </c>
      <c r="N185" s="60">
        <f t="shared" si="49"/>
        <v>89.64607759040004</v>
      </c>
      <c r="O185" s="60">
        <f t="shared" si="49"/>
        <v>97.672818516628951</v>
      </c>
      <c r="P185" s="60">
        <f t="shared" si="49"/>
        <v>86.35110178020669</v>
      </c>
      <c r="Q185" s="60">
        <f t="shared" si="49"/>
        <v>88.549891118097563</v>
      </c>
      <c r="R185" s="60">
        <f t="shared" si="49"/>
        <v>91.756997649640368</v>
      </c>
      <c r="S185" s="60">
        <f t="shared" si="49"/>
        <v>89.866225951946774</v>
      </c>
      <c r="T185" s="60">
        <f t="shared" si="49"/>
        <v>84.044414813450132</v>
      </c>
      <c r="U185" s="60">
        <f t="shared" si="49"/>
        <v>83.752415335957735</v>
      </c>
      <c r="V185" s="60">
        <f t="shared" si="49"/>
        <v>80.240227388911222</v>
      </c>
    </row>
    <row r="186" spans="3:22" x14ac:dyDescent="0.2">
      <c r="C186" s="88" t="s">
        <v>140</v>
      </c>
      <c r="D186" s="62">
        <f t="shared" ref="D186:V186" si="50">+IFERROR(IF(D147&gt;0,+((D147/D30)*100)," "),"")</f>
        <v>87.653503284194542</v>
      </c>
      <c r="E186" s="62">
        <f t="shared" si="50"/>
        <v>72.692358754539597</v>
      </c>
      <c r="F186" s="62">
        <f t="shared" si="50"/>
        <v>78.681773443382468</v>
      </c>
      <c r="G186" s="62">
        <f t="shared" si="50"/>
        <v>91.95288106624227</v>
      </c>
      <c r="H186" s="62">
        <f t="shared" si="50"/>
        <v>82.799339739617622</v>
      </c>
      <c r="I186" s="62">
        <f t="shared" si="50"/>
        <v>78.53764841810424</v>
      </c>
      <c r="J186" s="62">
        <f t="shared" si="50"/>
        <v>65.880951409331459</v>
      </c>
      <c r="K186" s="62">
        <f t="shared" si="50"/>
        <v>59.966327308925251</v>
      </c>
      <c r="L186" s="62">
        <f t="shared" si="50"/>
        <v>95.072893874669589</v>
      </c>
      <c r="M186" s="62">
        <f t="shared" si="50"/>
        <v>88.368835772503076</v>
      </c>
      <c r="N186" s="62">
        <f t="shared" si="50"/>
        <v>92.074278952005287</v>
      </c>
      <c r="O186" s="62">
        <f t="shared" si="50"/>
        <v>92.505470491344639</v>
      </c>
      <c r="P186" s="62">
        <f t="shared" si="50"/>
        <v>96.080005244919988</v>
      </c>
      <c r="Q186" s="62">
        <f t="shared" si="50"/>
        <v>92.848429722462214</v>
      </c>
      <c r="R186" s="62">
        <f t="shared" si="50"/>
        <v>95.099766809337652</v>
      </c>
      <c r="S186" s="62">
        <f t="shared" si="50"/>
        <v>95.738027678084507</v>
      </c>
      <c r="T186" s="62">
        <f t="shared" si="50"/>
        <v>90.380287338110705</v>
      </c>
      <c r="U186" s="62">
        <f t="shared" si="50"/>
        <v>91.080556173131228</v>
      </c>
      <c r="V186" s="62">
        <f t="shared" si="50"/>
        <v>92.640824398913637</v>
      </c>
    </row>
    <row r="187" spans="3:22" x14ac:dyDescent="0.2">
      <c r="C187" s="87" t="s">
        <v>141</v>
      </c>
      <c r="D187" s="60">
        <f t="shared" ref="D187:V187" si="51">+IFERROR(IF(D148&gt;0,+((D148/D31)*100)," "),"")</f>
        <v>93.656145316525937</v>
      </c>
      <c r="E187" s="60">
        <f t="shared" si="51"/>
        <v>90.525396664437608</v>
      </c>
      <c r="F187" s="60">
        <f t="shared" si="51"/>
        <v>89.392851366887456</v>
      </c>
      <c r="G187" s="60">
        <f t="shared" si="51"/>
        <v>89.448892513979658</v>
      </c>
      <c r="H187" s="60">
        <f t="shared" si="51"/>
        <v>81.350315117227311</v>
      </c>
      <c r="I187" s="60">
        <f t="shared" si="51"/>
        <v>87.521567735495736</v>
      </c>
      <c r="J187" s="60">
        <f t="shared" si="51"/>
        <v>90.323378125211619</v>
      </c>
      <c r="K187" s="60">
        <f t="shared" si="51"/>
        <v>91.628758158064912</v>
      </c>
      <c r="L187" s="60">
        <f t="shared" si="51"/>
        <v>90.621008894680998</v>
      </c>
      <c r="M187" s="60">
        <f t="shared" si="51"/>
        <v>89.662600359438088</v>
      </c>
      <c r="N187" s="60">
        <f t="shared" si="51"/>
        <v>86.377757818333862</v>
      </c>
      <c r="O187" s="60">
        <f t="shared" si="51"/>
        <v>88.465404609652509</v>
      </c>
      <c r="P187" s="60">
        <f t="shared" si="51"/>
        <v>87.34525901898617</v>
      </c>
      <c r="Q187" s="60">
        <f t="shared" si="51"/>
        <v>88.649002118671817</v>
      </c>
      <c r="R187" s="60">
        <f t="shared" si="51"/>
        <v>92.280095531948021</v>
      </c>
      <c r="S187" s="60">
        <f t="shared" si="51"/>
        <v>89.643050650828172</v>
      </c>
      <c r="T187" s="60">
        <f t="shared" si="51"/>
        <v>95.197779014253243</v>
      </c>
      <c r="U187" s="60">
        <f t="shared" si="51"/>
        <v>93.379081353556259</v>
      </c>
      <c r="V187" s="60">
        <f t="shared" si="51"/>
        <v>92.521816517418983</v>
      </c>
    </row>
    <row r="188" spans="3:22" x14ac:dyDescent="0.2">
      <c r="C188" s="88" t="s">
        <v>142</v>
      </c>
      <c r="D188" s="62">
        <f t="shared" ref="D188:V188" si="52">+IFERROR(IF(D149&gt;0,+((D149/D32)*100)," "),"")</f>
        <v>18.607667864331564</v>
      </c>
      <c r="E188" s="62">
        <f t="shared" si="52"/>
        <v>25.125717097212259</v>
      </c>
      <c r="F188" s="62">
        <f t="shared" si="52"/>
        <v>11.216880922684322</v>
      </c>
      <c r="G188" s="62">
        <f t="shared" si="52"/>
        <v>22.52260729387444</v>
      </c>
      <c r="H188" s="62">
        <f t="shared" si="52"/>
        <v>63.81000917699766</v>
      </c>
      <c r="I188" s="62">
        <f t="shared" si="52"/>
        <v>24.280648171375727</v>
      </c>
      <c r="J188" s="62">
        <f t="shared" si="52"/>
        <v>26.381859069171615</v>
      </c>
      <c r="K188" s="62">
        <f t="shared" si="52"/>
        <v>63.565250899215776</v>
      </c>
      <c r="L188" s="62">
        <f t="shared" si="52"/>
        <v>38.135891821396591</v>
      </c>
      <c r="M188" s="62">
        <f t="shared" si="52"/>
        <v>35.951132061318432</v>
      </c>
      <c r="N188" s="62">
        <f t="shared" si="52"/>
        <v>47.622527746129521</v>
      </c>
      <c r="O188" s="62">
        <f t="shared" si="52"/>
        <v>38.730131481344735</v>
      </c>
      <c r="P188" s="62">
        <f t="shared" si="52"/>
        <v>50.830616238990658</v>
      </c>
      <c r="Q188" s="62">
        <f t="shared" si="52"/>
        <v>57.391774085002197</v>
      </c>
      <c r="R188" s="62">
        <f t="shared" si="52"/>
        <v>84.857522970326855</v>
      </c>
      <c r="S188" s="62">
        <f t="shared" si="52"/>
        <v>92.875044128290753</v>
      </c>
      <c r="T188" s="62">
        <f t="shared" si="52"/>
        <v>82.494553504199288</v>
      </c>
      <c r="U188" s="62">
        <f t="shared" si="52"/>
        <v>97.550702960356432</v>
      </c>
      <c r="V188" s="62">
        <f t="shared" si="52"/>
        <v>65.694946242472284</v>
      </c>
    </row>
    <row r="189" spans="3:22" x14ac:dyDescent="0.2">
      <c r="C189" s="87" t="s">
        <v>143</v>
      </c>
      <c r="D189" s="60">
        <f t="shared" ref="D189:V189" si="53">+IFERROR(IF(D150&gt;0,+((D150/D33)*100)," "),"")</f>
        <v>96.550472644321644</v>
      </c>
      <c r="E189" s="60">
        <f t="shared" si="53"/>
        <v>62.315863014269546</v>
      </c>
      <c r="F189" s="60">
        <f t="shared" si="53"/>
        <v>50.901138385407961</v>
      </c>
      <c r="G189" s="60">
        <f t="shared" si="53"/>
        <v>61.399396327768805</v>
      </c>
      <c r="H189" s="60">
        <f t="shared" si="53"/>
        <v>79.008015783463236</v>
      </c>
      <c r="I189" s="60">
        <f t="shared" si="53"/>
        <v>84.943764988128507</v>
      </c>
      <c r="J189" s="60">
        <f t="shared" si="53"/>
        <v>89.720244063132753</v>
      </c>
      <c r="K189" s="60">
        <f t="shared" si="53"/>
        <v>97.087836903666329</v>
      </c>
      <c r="L189" s="60">
        <f t="shared" si="53"/>
        <v>87.739209455946892</v>
      </c>
      <c r="M189" s="60">
        <f t="shared" si="53"/>
        <v>88.605758634861814</v>
      </c>
      <c r="N189" s="60">
        <f t="shared" si="53"/>
        <v>83.45221896100503</v>
      </c>
      <c r="O189" s="60">
        <f t="shared" si="53"/>
        <v>86.596965604806954</v>
      </c>
      <c r="P189" s="60">
        <f t="shared" si="53"/>
        <v>94.574492965580987</v>
      </c>
      <c r="Q189" s="60">
        <f t="shared" si="53"/>
        <v>91.154184760910553</v>
      </c>
      <c r="R189" s="60">
        <f t="shared" si="53"/>
        <v>92.563777462151833</v>
      </c>
      <c r="S189" s="60">
        <f t="shared" si="53"/>
        <v>95.821392584172116</v>
      </c>
      <c r="T189" s="60">
        <f t="shared" si="53"/>
        <v>89.500082311051216</v>
      </c>
      <c r="U189" s="60">
        <f t="shared" si="53"/>
        <v>61.522012695405202</v>
      </c>
      <c r="V189" s="60">
        <f t="shared" si="53"/>
        <v>37.724889132609555</v>
      </c>
    </row>
    <row r="190" spans="3:22" x14ac:dyDescent="0.2">
      <c r="C190" s="88" t="s">
        <v>144</v>
      </c>
      <c r="D190" s="62">
        <f t="shared" ref="D190:V190" si="54">+IFERROR(IF(D151&gt;0,+((D151/D34)*100)," "),"")</f>
        <v>98.025718527667763</v>
      </c>
      <c r="E190" s="62">
        <f t="shared" si="54"/>
        <v>95.825753907381113</v>
      </c>
      <c r="F190" s="62">
        <f t="shared" si="54"/>
        <v>91.764140355033405</v>
      </c>
      <c r="G190" s="62">
        <f t="shared" si="54"/>
        <v>95.666641163029553</v>
      </c>
      <c r="H190" s="62">
        <f t="shared" si="54"/>
        <v>83.284614400000777</v>
      </c>
      <c r="I190" s="62">
        <f t="shared" si="54"/>
        <v>94.678574173464028</v>
      </c>
      <c r="J190" s="62">
        <f t="shared" si="54"/>
        <v>93.777881908613452</v>
      </c>
      <c r="K190" s="62">
        <f t="shared" si="54"/>
        <v>96.681375498893829</v>
      </c>
      <c r="L190" s="62">
        <f t="shared" si="54"/>
        <v>96.176902712869946</v>
      </c>
      <c r="M190" s="62">
        <f t="shared" si="54"/>
        <v>96.08739926136262</v>
      </c>
      <c r="N190" s="62">
        <f t="shared" si="54"/>
        <v>92.124599895425035</v>
      </c>
      <c r="O190" s="62">
        <f t="shared" si="54"/>
        <v>87.476959795009563</v>
      </c>
      <c r="P190" s="62">
        <f t="shared" si="54"/>
        <v>91.718179377066804</v>
      </c>
      <c r="Q190" s="62">
        <f t="shared" si="54"/>
        <v>94.091316772484433</v>
      </c>
      <c r="R190" s="62">
        <f t="shared" si="54"/>
        <v>97.057572571417523</v>
      </c>
      <c r="S190" s="62">
        <f t="shared" si="54"/>
        <v>96.139369704848207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96.891308944058935</v>
      </c>
    </row>
    <row r="191" spans="3:22" x14ac:dyDescent="0.2">
      <c r="C191" s="87" t="s">
        <v>145</v>
      </c>
      <c r="D191" s="60">
        <f t="shared" ref="D191:V191" si="55">+IFERROR(IF(D152&gt;0,+((D152/D35)*100)," "),"")</f>
        <v>85.563738231138629</v>
      </c>
      <c r="E191" s="60">
        <f t="shared" si="55"/>
        <v>70.466687239107912</v>
      </c>
      <c r="F191" s="60">
        <f t="shared" si="55"/>
        <v>71.893033505299158</v>
      </c>
      <c r="G191" s="60">
        <f t="shared" si="55"/>
        <v>72.113102965383462</v>
      </c>
      <c r="H191" s="60">
        <f t="shared" si="55"/>
        <v>90.205151204216705</v>
      </c>
      <c r="I191" s="60">
        <f t="shared" si="55"/>
        <v>94.91789764050732</v>
      </c>
      <c r="J191" s="60">
        <f t="shared" si="55"/>
        <v>88.021295394806316</v>
      </c>
      <c r="K191" s="60">
        <f t="shared" si="55"/>
        <v>74.324566923039455</v>
      </c>
      <c r="L191" s="60">
        <f t="shared" si="55"/>
        <v>93.722754045068015</v>
      </c>
      <c r="M191" s="60">
        <f t="shared" si="55"/>
        <v>91.762012466811754</v>
      </c>
      <c r="N191" s="60">
        <f t="shared" si="55"/>
        <v>94.654288515189776</v>
      </c>
      <c r="O191" s="60">
        <f t="shared" si="55"/>
        <v>88.849396883272391</v>
      </c>
      <c r="P191" s="60">
        <f t="shared" si="55"/>
        <v>89.788379202717053</v>
      </c>
      <c r="Q191" s="60">
        <f t="shared" si="55"/>
        <v>87.594725048859246</v>
      </c>
      <c r="R191" s="60">
        <f t="shared" si="55"/>
        <v>93.621356819732526</v>
      </c>
      <c r="S191" s="60">
        <f t="shared" si="55"/>
        <v>91.691236319579943</v>
      </c>
      <c r="T191" s="60">
        <f t="shared" si="55"/>
        <v>94.059013808151349</v>
      </c>
      <c r="U191" s="60">
        <f t="shared" si="55"/>
        <v>94.551240982905853</v>
      </c>
      <c r="V191" s="60">
        <f t="shared" si="55"/>
        <v>96.473384602795647</v>
      </c>
    </row>
    <row r="192" spans="3:22" x14ac:dyDescent="0.2">
      <c r="C192" s="88" t="s">
        <v>146</v>
      </c>
      <c r="D192" s="62">
        <f t="shared" ref="D192:V192" si="56">+IFERROR(IF(D153&gt;0,+((D153/D36)*100)," "),"")</f>
        <v>92.430298486309582</v>
      </c>
      <c r="E192" s="62">
        <f t="shared" si="56"/>
        <v>93.68289348172263</v>
      </c>
      <c r="F192" s="62">
        <f t="shared" si="56"/>
        <v>92.610438270306446</v>
      </c>
      <c r="G192" s="62">
        <f t="shared" si="56"/>
        <v>97.715805492638154</v>
      </c>
      <c r="H192" s="62">
        <f t="shared" si="56"/>
        <v>90.67833483794972</v>
      </c>
      <c r="I192" s="62">
        <f t="shared" si="56"/>
        <v>86.113594615415991</v>
      </c>
      <c r="J192" s="62">
        <f t="shared" si="56"/>
        <v>90.136135272427325</v>
      </c>
      <c r="K192" s="62">
        <f t="shared" si="56"/>
        <v>84.198223552815506</v>
      </c>
      <c r="L192" s="62">
        <f t="shared" si="56"/>
        <v>90.389003853067621</v>
      </c>
      <c r="M192" s="62">
        <f t="shared" si="56"/>
        <v>92.812672894450685</v>
      </c>
      <c r="N192" s="62">
        <f t="shared" si="56"/>
        <v>83.09117798639322</v>
      </c>
      <c r="O192" s="62">
        <f t="shared" si="56"/>
        <v>96.336382172783487</v>
      </c>
      <c r="P192" s="62">
        <f t="shared" si="56"/>
        <v>95.629010896991005</v>
      </c>
      <c r="Q192" s="62">
        <f t="shared" si="56"/>
        <v>98.7167707238725</v>
      </c>
      <c r="R192" s="62">
        <f t="shared" si="56"/>
        <v>97.897783172570939</v>
      </c>
      <c r="S192" s="62">
        <f t="shared" si="56"/>
        <v>98.654392740308978</v>
      </c>
      <c r="T192" s="62">
        <f t="shared" si="56"/>
        <v>97.460693147354533</v>
      </c>
      <c r="U192" s="62">
        <f t="shared" si="56"/>
        <v>96.315052563920304</v>
      </c>
      <c r="V192" s="62">
        <f t="shared" si="56"/>
        <v>92.878367898442079</v>
      </c>
    </row>
    <row r="193" spans="3:22" x14ac:dyDescent="0.2">
      <c r="C193" s="90" t="s">
        <v>147</v>
      </c>
      <c r="D193" s="61">
        <f t="shared" ref="D193:V193" si="57">+IFERROR(IF(D154&gt;0,+((D154/D37)*100)," "),"")</f>
        <v>91.112118959459437</v>
      </c>
      <c r="E193" s="61">
        <f t="shared" si="57"/>
        <v>93.598130172593613</v>
      </c>
      <c r="F193" s="61">
        <f t="shared" si="57"/>
        <v>94.038993649647409</v>
      </c>
      <c r="G193" s="61">
        <f t="shared" si="57"/>
        <v>92.914643226109206</v>
      </c>
      <c r="H193" s="61">
        <f t="shared" si="57"/>
        <v>89.428182003912454</v>
      </c>
      <c r="I193" s="61">
        <f t="shared" si="57"/>
        <v>92.069317334903403</v>
      </c>
      <c r="J193" s="61">
        <f t="shared" si="57"/>
        <v>91.790588403286449</v>
      </c>
      <c r="K193" s="61">
        <f t="shared" si="57"/>
        <v>93.315389767324604</v>
      </c>
      <c r="L193" s="61">
        <f t="shared" si="57"/>
        <v>97.623662182105335</v>
      </c>
      <c r="M193" s="61">
        <f t="shared" si="57"/>
        <v>94.488263296765496</v>
      </c>
      <c r="N193" s="61">
        <f t="shared" si="57"/>
        <v>86.40218307368643</v>
      </c>
      <c r="O193" s="61">
        <f t="shared" si="57"/>
        <v>97.99353599558664</v>
      </c>
      <c r="P193" s="61">
        <f t="shared" si="57"/>
        <v>97.023724665512148</v>
      </c>
      <c r="Q193" s="61">
        <f t="shared" si="57"/>
        <v>98.204926115311849</v>
      </c>
      <c r="R193" s="61">
        <f t="shared" si="57"/>
        <v>94.492070310870702</v>
      </c>
      <c r="S193" s="61">
        <f t="shared" si="57"/>
        <v>89.035079924852568</v>
      </c>
      <c r="T193" s="61">
        <f t="shared" si="57"/>
        <v>90.671050043023783</v>
      </c>
      <c r="U193" s="61">
        <f t="shared" si="57"/>
        <v>92.679874312873224</v>
      </c>
      <c r="V193" s="61">
        <f t="shared" si="57"/>
        <v>90.915024551189447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74.919441741777504</v>
      </c>
    </row>
    <row r="195" spans="3:22" x14ac:dyDescent="0.2">
      <c r="C195" s="87" t="s">
        <v>149</v>
      </c>
      <c r="D195" s="60">
        <f t="shared" ref="D195:V195" si="59">+IFERROR(IF(D156&gt;0,+((D156/D39)*100)," "),"")</f>
        <v>75.937547137563115</v>
      </c>
      <c r="E195" s="60">
        <f t="shared" si="59"/>
        <v>81.508286208827883</v>
      </c>
      <c r="F195" s="60">
        <f t="shared" si="59"/>
        <v>80.981411366288285</v>
      </c>
      <c r="G195" s="60">
        <f t="shared" si="59"/>
        <v>89.390906218364435</v>
      </c>
      <c r="H195" s="60">
        <f t="shared" si="59"/>
        <v>87.807982360166065</v>
      </c>
      <c r="I195" s="60">
        <f t="shared" si="59"/>
        <v>81.53242387824838</v>
      </c>
      <c r="J195" s="60">
        <f t="shared" si="59"/>
        <v>66.738350391121543</v>
      </c>
      <c r="K195" s="60">
        <f t="shared" si="59"/>
        <v>94.443048522047093</v>
      </c>
      <c r="L195" s="60">
        <f t="shared" si="59"/>
        <v>92.220717834837458</v>
      </c>
      <c r="M195" s="60">
        <f t="shared" si="59"/>
        <v>30.546484108868473</v>
      </c>
      <c r="N195" s="60">
        <f t="shared" si="59"/>
        <v>79.026423214518502</v>
      </c>
      <c r="O195" s="60">
        <f t="shared" si="59"/>
        <v>85.284439031453019</v>
      </c>
      <c r="P195" s="60">
        <f t="shared" si="59"/>
        <v>75.682517068611205</v>
      </c>
      <c r="Q195" s="60">
        <f t="shared" si="59"/>
        <v>54.769499154309962</v>
      </c>
      <c r="R195" s="60">
        <f t="shared" si="59"/>
        <v>53.250741071522143</v>
      </c>
      <c r="S195" s="60">
        <f t="shared" si="59"/>
        <v>84.001584706319264</v>
      </c>
      <c r="T195" s="60">
        <f t="shared" si="59"/>
        <v>94.49114695072015</v>
      </c>
      <c r="U195" s="60">
        <f t="shared" si="59"/>
        <v>95.566308786491774</v>
      </c>
      <c r="V195" s="60">
        <f t="shared" si="59"/>
        <v>91.20055824852227</v>
      </c>
    </row>
    <row r="196" spans="3:22" x14ac:dyDescent="0.2">
      <c r="C196" s="88" t="s">
        <v>150</v>
      </c>
      <c r="D196" s="62">
        <f t="shared" ref="D196:V196" si="60">+IFERROR(IF(D157&gt;0,+((D157/D40)*100)," "),"")</f>
        <v>69.552506354167036</v>
      </c>
      <c r="E196" s="62">
        <f t="shared" si="60"/>
        <v>71.350115321724317</v>
      </c>
      <c r="F196" s="62">
        <f t="shared" si="60"/>
        <v>48.03146251990421</v>
      </c>
      <c r="G196" s="62">
        <f t="shared" si="60"/>
        <v>77.126559628082333</v>
      </c>
      <c r="H196" s="62">
        <f t="shared" si="60"/>
        <v>72.2097274252896</v>
      </c>
      <c r="I196" s="62">
        <f t="shared" si="60"/>
        <v>75.049667736093994</v>
      </c>
      <c r="J196" s="62">
        <f t="shared" si="60"/>
        <v>56.359006946286328</v>
      </c>
      <c r="K196" s="62">
        <f t="shared" si="60"/>
        <v>86.763324718845311</v>
      </c>
      <c r="L196" s="62">
        <f t="shared" si="60"/>
        <v>87.26794499087643</v>
      </c>
      <c r="M196" s="62">
        <f t="shared" si="60"/>
        <v>90.72047515163068</v>
      </c>
      <c r="N196" s="62">
        <f t="shared" si="60"/>
        <v>80.272979396009418</v>
      </c>
      <c r="O196" s="62">
        <f t="shared" si="60"/>
        <v>84.692220598661095</v>
      </c>
      <c r="P196" s="62">
        <f t="shared" si="60"/>
        <v>87.80005969513806</v>
      </c>
      <c r="Q196" s="62">
        <f t="shared" si="60"/>
        <v>92.979135439032419</v>
      </c>
      <c r="R196" s="62">
        <f t="shared" si="60"/>
        <v>90.591608489945486</v>
      </c>
      <c r="S196" s="62">
        <f t="shared" si="60"/>
        <v>85.249187032247249</v>
      </c>
      <c r="T196" s="62">
        <f t="shared" si="60"/>
        <v>89.880964077027159</v>
      </c>
      <c r="U196" s="62">
        <f t="shared" si="60"/>
        <v>76.534530516013007</v>
      </c>
      <c r="V196" s="62">
        <f t="shared" si="60"/>
        <v>70.772137951118481</v>
      </c>
    </row>
    <row r="197" spans="3:22" x14ac:dyDescent="0.2">
      <c r="C197" s="87" t="s">
        <v>151</v>
      </c>
      <c r="D197" s="60">
        <f t="shared" ref="D197:V197" si="61">+IFERROR(IF(D158&gt;0,+((D158/D41)*100)," "),"")</f>
        <v>70.509833947678658</v>
      </c>
      <c r="E197" s="60">
        <f t="shared" si="61"/>
        <v>23.248464170538767</v>
      </c>
      <c r="F197" s="60">
        <f t="shared" si="61"/>
        <v>46.999488501571015</v>
      </c>
      <c r="G197" s="60">
        <f t="shared" si="61"/>
        <v>25.202375894993722</v>
      </c>
      <c r="H197" s="60">
        <f t="shared" si="61"/>
        <v>8.8293362814151326</v>
      </c>
      <c r="I197" s="60">
        <f t="shared" si="61"/>
        <v>26.458493170290026</v>
      </c>
      <c r="J197" s="60">
        <f t="shared" si="61"/>
        <v>64.749523507059905</v>
      </c>
      <c r="K197" s="60">
        <f t="shared" si="61"/>
        <v>88.013066362971784</v>
      </c>
      <c r="L197" s="60">
        <f t="shared" si="61"/>
        <v>89.672546597489685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97.777633048254188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97.854117710304294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64">
        <f t="shared" ref="D198:V198" si="62">+IFERROR(IF(D159&gt;0,+((D159/D42)*100)," "),"")</f>
        <v>90.087605614688371</v>
      </c>
      <c r="E198" s="64">
        <f t="shared" si="62"/>
        <v>87.278019474964836</v>
      </c>
      <c r="F198" s="64">
        <f t="shared" si="62"/>
        <v>85.727174397628715</v>
      </c>
      <c r="G198" s="64">
        <f t="shared" si="62"/>
        <v>89.095646256275842</v>
      </c>
      <c r="H198" s="64">
        <f t="shared" si="62"/>
        <v>88.254710129065785</v>
      </c>
      <c r="I198" s="64">
        <f t="shared" si="62"/>
        <v>89.822183744321563</v>
      </c>
      <c r="J198" s="64">
        <f t="shared" si="62"/>
        <v>89.13354296794661</v>
      </c>
      <c r="K198" s="64">
        <f t="shared" si="62"/>
        <v>91.648776008127854</v>
      </c>
      <c r="L198" s="64">
        <f t="shared" si="62"/>
        <v>94.239856813990016</v>
      </c>
      <c r="M198" s="64">
        <f t="shared" si="62"/>
        <v>91.630436606948408</v>
      </c>
      <c r="N198" s="64">
        <f t="shared" si="62"/>
        <v>89.004624306792337</v>
      </c>
      <c r="O198" s="64">
        <f t="shared" si="62"/>
        <v>95.193858889621339</v>
      </c>
      <c r="P198" s="64">
        <f t="shared" si="62"/>
        <v>94.488921667495305</v>
      </c>
      <c r="Q198" s="64">
        <f t="shared" si="62"/>
        <v>94.800761663364298</v>
      </c>
      <c r="R198" s="64">
        <f t="shared" si="62"/>
        <v>92.338014331332857</v>
      </c>
      <c r="S198" s="64">
        <f t="shared" si="62"/>
        <v>93.013649208874938</v>
      </c>
      <c r="T198" s="64">
        <f t="shared" si="62"/>
        <v>92.912758668874858</v>
      </c>
      <c r="U198" s="64">
        <f t="shared" si="62"/>
        <v>94.519136502205697</v>
      </c>
      <c r="V198" s="64">
        <f t="shared" si="62"/>
        <v>90.872156931419397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82" t="s">
        <v>169</v>
      </c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76" t="s">
        <v>120</v>
      </c>
      <c r="D205" s="180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2" ht="12" customHeight="1" thickBot="1" x14ac:dyDescent="0.25">
      <c r="C206" s="160"/>
      <c r="D206" s="181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2" x14ac:dyDescent="0.2">
      <c r="C207" s="87" t="s">
        <v>123</v>
      </c>
      <c r="D207" s="56">
        <f>275.987901255879*Deflactores!$A$5</f>
        <v>1027.6997286519368</v>
      </c>
      <c r="E207" s="56">
        <f>441.669339132159*Deflactores!$B$5</f>
        <v>1527.7991266084041</v>
      </c>
      <c r="F207" s="56">
        <f>414.12815016537*Deflactores!$C$5</f>
        <v>1338.9152879730134</v>
      </c>
      <c r="G207" s="56">
        <f>334.78241763442*Deflactores!$D$5</f>
        <v>1016.4045686795923</v>
      </c>
      <c r="H207" s="56">
        <f>396.96979182841*Deflactores!$E$5</f>
        <v>1142.4083996080872</v>
      </c>
      <c r="I207" s="56">
        <f>463.08590328107*Deflactores!$F$5</f>
        <v>1270.9710525920493</v>
      </c>
      <c r="J207" s="56">
        <f>758.81117368653*Deflactores!$G$5</f>
        <v>1993.3482535447824</v>
      </c>
      <c r="K207" s="56">
        <f>1206.97906562796*Deflactores!$H$5</f>
        <v>2999.832257914944</v>
      </c>
      <c r="L207" s="56">
        <f>1670.72112938623*Deflactores!$I$5</f>
        <v>3856.4601982702525</v>
      </c>
      <c r="M207" s="56">
        <f>1203.20797437393*Deflactores!$J$5</f>
        <v>2722.8124024706203</v>
      </c>
      <c r="N207" s="56">
        <f>1245.87373289658*Deflactores!$K$5</f>
        <v>2732.7032462037319</v>
      </c>
      <c r="O207" s="56">
        <f>1311.56400002329*Deflactores!$L$5</f>
        <v>2773.4314206996341</v>
      </c>
      <c r="P207" s="56">
        <f>1359.88939279866*Deflactores!$M$5</f>
        <v>2807.126346577214</v>
      </c>
      <c r="Q207" s="56">
        <f>2489.406743703*Deflactores!$N$5</f>
        <v>5040.9176938661076</v>
      </c>
      <c r="R207" s="56">
        <f>1900.92607639883*Deflactores!$O$5</f>
        <v>3713.3661019000492</v>
      </c>
      <c r="S207" s="56">
        <f>2194.39772330095*Deflactores!$P$5</f>
        <v>4014.8436904148157</v>
      </c>
      <c r="T207" s="56">
        <f>1264.90820507494*Deflactores!$Q$5</f>
        <v>2188.4263295500145</v>
      </c>
      <c r="U207" s="56">
        <f>1678.40594994793*Deflactores!$R$5</f>
        <v>2789.7219748841176</v>
      </c>
      <c r="V207" s="56">
        <f>1410.29569829354*Deflactores!$S$5</f>
        <v>2271.8443357098781</v>
      </c>
    </row>
    <row r="208" spans="3:22" x14ac:dyDescent="0.2">
      <c r="C208" s="88" t="s">
        <v>124</v>
      </c>
      <c r="D208" s="57">
        <f>87.2162902282*Deflactores!$A$5</f>
        <v>324.7684314916699</v>
      </c>
      <c r="E208" s="57">
        <f>116.11631413385*Deflactores!$B$5</f>
        <v>401.66338842370874</v>
      </c>
      <c r="F208" s="57">
        <f>115.42349030326*Deflactores!$C$5</f>
        <v>373.17500801751271</v>
      </c>
      <c r="G208" s="57">
        <f>129.75048422883*Deflactores!$D$5</f>
        <v>393.92446559897633</v>
      </c>
      <c r="H208" s="57">
        <f>131.86722541421*Deflactores!$E$5</f>
        <v>379.49040215967688</v>
      </c>
      <c r="I208" s="57">
        <f>158.97679503558*Deflactores!$F$5</f>
        <v>436.32272779731835</v>
      </c>
      <c r="J208" s="57">
        <f>195.819616325419*Deflactores!$G$5</f>
        <v>514.40556458296703</v>
      </c>
      <c r="K208" s="57">
        <f>411.25945887125*Deflactores!$H$5</f>
        <v>1022.1464698335534</v>
      </c>
      <c r="L208" s="57">
        <f>1158.35855455749*Deflactores!$I$5</f>
        <v>2673.7937184154221</v>
      </c>
      <c r="M208" s="57">
        <f>1348.97456283595*Deflactores!$J$5</f>
        <v>3052.6764686863858</v>
      </c>
      <c r="N208" s="57">
        <f>1586.124757545*Deflactores!$K$5</f>
        <v>3479.010881584361</v>
      </c>
      <c r="O208" s="57">
        <f>1300.95836832101*Deflactores!$L$5</f>
        <v>2751.0047665684219</v>
      </c>
      <c r="P208" s="57">
        <f>281.044114761651*Deflactores!$M$5</f>
        <v>580.14007850615383</v>
      </c>
      <c r="Q208" s="57">
        <f>330.697611643999*Deflactores!$N$5</f>
        <v>669.64526631586148</v>
      </c>
      <c r="R208" s="57">
        <f>369.420612531041*Deflactores!$O$5</f>
        <v>721.6450954866624</v>
      </c>
      <c r="S208" s="57">
        <f>405.744426593076*Deflactores!$P$5</f>
        <v>742.34512446437668</v>
      </c>
      <c r="T208" s="57">
        <f>390.989203383527*Deflactores!$Q$5</f>
        <v>676.45309266027164</v>
      </c>
      <c r="U208" s="57">
        <f>423.37593084781*Deflactores!$R$5</f>
        <v>703.70409373238704</v>
      </c>
      <c r="V208" s="57">
        <f>434.499677438149*Deflactores!$S$5</f>
        <v>699.93522085477491</v>
      </c>
    </row>
    <row r="209" spans="3:22" x14ac:dyDescent="0.2">
      <c r="C209" s="87" t="s">
        <v>125</v>
      </c>
      <c r="D209" s="56">
        <f>26.8834639093999*Deflactores!$A$5</f>
        <v>100.10630335312891</v>
      </c>
      <c r="E209" s="56">
        <f>36.73429106495*Deflactores!$B$5</f>
        <v>127.06930917116745</v>
      </c>
      <c r="F209" s="56">
        <f>21.14463452346*Deflactores!$C$5</f>
        <v>68.36259358548179</v>
      </c>
      <c r="G209" s="56">
        <f>14.32293153221*Deflactores!$D$5</f>
        <v>43.484640409402715</v>
      </c>
      <c r="H209" s="56">
        <f>39.00130637267*Deflactores!$E$5</f>
        <v>112.23881744403788</v>
      </c>
      <c r="I209" s="56">
        <f>31.6833689300399*Deflactores!$F$5</f>
        <v>86.957181104763606</v>
      </c>
      <c r="J209" s="56">
        <f>42.7822032775999*Deflactores!$G$5</f>
        <v>112.38610229194028</v>
      </c>
      <c r="K209" s="56">
        <f>60.0597806229799*Deflactores!$H$5</f>
        <v>149.27290161604634</v>
      </c>
      <c r="L209" s="56">
        <f>88.73478132093*Deflactores!$I$5</f>
        <v>204.82302303323084</v>
      </c>
      <c r="M209" s="56">
        <f>74.2152093214499*Deflactores!$J$5</f>
        <v>167.94610466037096</v>
      </c>
      <c r="N209" s="56">
        <f>220.57057114527*Deflactores!$K$5</f>
        <v>483.80016358826731</v>
      </c>
      <c r="O209" s="56">
        <f>234.31040817924*Deflactores!$L$5</f>
        <v>495.47246511014424</v>
      </c>
      <c r="P209" s="56">
        <f>314.32878550468*Deflactores!$M$5</f>
        <v>648.84734004866527</v>
      </c>
      <c r="Q209" s="56">
        <f>371.50547393151*Deflactores!$N$5</f>
        <v>752.27904063751885</v>
      </c>
      <c r="R209" s="56">
        <f>300.10470642536*Deflactores!$O$5</f>
        <v>586.23986366252984</v>
      </c>
      <c r="S209" s="56">
        <f>178.15722769886*Deflactores!$P$5</f>
        <v>325.95432174100364</v>
      </c>
      <c r="T209" s="56">
        <f>243.68148692774*Deflactores!$Q$5</f>
        <v>421.59500576958436</v>
      </c>
      <c r="U209" s="56">
        <f>335.84673051296*Deflactores!$R$5</f>
        <v>558.21954416573374</v>
      </c>
      <c r="V209" s="56">
        <f>207.61466380429*Deflactores!$S$5</f>
        <v>334.44631402109934</v>
      </c>
    </row>
    <row r="210" spans="3:22" x14ac:dyDescent="0.2">
      <c r="C210" s="88" t="s">
        <v>126</v>
      </c>
      <c r="D210" s="57">
        <f>100.66916970502*Deflactores!$A$5</f>
        <v>374.86309334098388</v>
      </c>
      <c r="E210" s="57">
        <f>149.57520751286*Deflactores!$B$5</f>
        <v>517.40261583346842</v>
      </c>
      <c r="F210" s="57">
        <f>127.619718133789*Deflactores!$C$5</f>
        <v>412.60656052457222</v>
      </c>
      <c r="G210" s="57">
        <f>123.433218444029*Deflactores!$D$5</f>
        <v>374.74514952077476</v>
      </c>
      <c r="H210" s="57">
        <f>117.24278211482*Deflactores!$E$5</f>
        <v>337.40385751892757</v>
      </c>
      <c r="I210" s="57">
        <f>134.18517826077*Deflactores!$F$5</f>
        <v>368.28043360419463</v>
      </c>
      <c r="J210" s="57">
        <f>178.34873249479*Deflactores!$G$5</f>
        <v>468.51067402346831</v>
      </c>
      <c r="K210" s="57">
        <f>236.658148578809*Deflactores!$H$5</f>
        <v>588.19143465075615</v>
      </c>
      <c r="L210" s="57">
        <f>197.382017924739*Deflactores!$I$5</f>
        <v>455.60918730982996</v>
      </c>
      <c r="M210" s="57">
        <f>287.160480224309*Deflactores!$J$5</f>
        <v>649.83289149243615</v>
      </c>
      <c r="N210" s="57">
        <f>259.962238066699*Deflactores!$K$5</f>
        <v>570.20196597581378</v>
      </c>
      <c r="O210" s="57">
        <f>418.74282959288*Deflactores!$L$5</f>
        <v>885.47300838155309</v>
      </c>
      <c r="P210" s="57">
        <f>570.72196151672*Deflactores!$M$5</f>
        <v>1178.1021774474641</v>
      </c>
      <c r="Q210" s="57">
        <f>609.599190113289*Deflactores!$N$5</f>
        <v>1234.4062903266347</v>
      </c>
      <c r="R210" s="57">
        <f>495.695929657887*Deflactores!$O$5</f>
        <v>968.31775043483321</v>
      </c>
      <c r="S210" s="57">
        <f>471.347333885489*Deflactores!$P$5</f>
        <v>862.37141487613098</v>
      </c>
      <c r="T210" s="57">
        <f>431.84167367725*Deflactores!$Q$5</f>
        <v>747.13223068724528</v>
      </c>
      <c r="U210" s="57">
        <f>491.37020911867*Deflactores!$R$5</f>
        <v>816.71914367575062</v>
      </c>
      <c r="V210" s="57">
        <f>436.505653772989*Deflactores!$S$5</f>
        <v>703.16664670354453</v>
      </c>
    </row>
    <row r="211" spans="3:22" x14ac:dyDescent="0.2">
      <c r="C211" s="87" t="s">
        <v>127</v>
      </c>
      <c r="D211" s="56">
        <f>162.36267304875*Deflactores!$A$5</f>
        <v>604.59199217106652</v>
      </c>
      <c r="E211" s="56">
        <f>176.212293919919*Deflactores!$B$5</f>
        <v>609.54421078335008</v>
      </c>
      <c r="F211" s="56">
        <f>183.29421470424*Deflactores!$C$5</f>
        <v>592.60744812086625</v>
      </c>
      <c r="G211" s="56">
        <f>202.09252200271*Deflactores!$D$5</f>
        <v>613.5560048551871</v>
      </c>
      <c r="H211" s="56">
        <f>212.161283088139*Deflactores!$E$5</f>
        <v>610.56240767127588</v>
      </c>
      <c r="I211" s="56">
        <f>236.41392533257*Deflactores!$F$5</f>
        <v>648.85424798815598</v>
      </c>
      <c r="J211" s="56">
        <f>274.78853444552*Deflactores!$G$5</f>
        <v>721.85184433958591</v>
      </c>
      <c r="K211" s="56">
        <f>281.66485840589*Deflactores!$H$5</f>
        <v>700.05135319180522</v>
      </c>
      <c r="L211" s="56">
        <f>297.87884068075*Deflactores!$I$5</f>
        <v>687.5820702729817</v>
      </c>
      <c r="M211" s="56">
        <f>326.31256272717*Deflactores!$J$5</f>
        <v>738.43251690367265</v>
      </c>
      <c r="N211" s="56">
        <f>355.46258701022*Deflactores!$K$5</f>
        <v>779.67272266702366</v>
      </c>
      <c r="O211" s="56">
        <f>346.654967357439*Deflactores!$L$5</f>
        <v>733.03611458812145</v>
      </c>
      <c r="P211" s="56">
        <f>370.512688758364*Deflactores!$M$5</f>
        <v>764.8239157261786</v>
      </c>
      <c r="Q211" s="56">
        <f>411.761765509603*Deflactores!$N$5</f>
        <v>833.79591328950869</v>
      </c>
      <c r="R211" s="56">
        <f>439.485661673045*Deflactores!$O$5</f>
        <v>858.51374158612884</v>
      </c>
      <c r="S211" s="56">
        <f>449.989091902626*Deflactores!$P$5</f>
        <v>823.29463214311772</v>
      </c>
      <c r="T211" s="56">
        <f>492.712598344024*Deflactores!$Q$5</f>
        <v>852.445433424302</v>
      </c>
      <c r="U211" s="56">
        <f>524.9818361038*Deflactores!$R$5</f>
        <v>872.58589892345105</v>
      </c>
      <c r="V211" s="56">
        <f>542.02806151796*Deflactores!$S$5</f>
        <v>873.15261816751126</v>
      </c>
    </row>
    <row r="212" spans="3:22" x14ac:dyDescent="0.2">
      <c r="C212" s="88" t="s">
        <v>128</v>
      </c>
      <c r="D212" s="57">
        <f>36.8626536607699*Deflactores!$A$5</f>
        <v>137.2659417031476</v>
      </c>
      <c r="E212" s="57">
        <f>51.60730113956*Deflactores!$B$5</f>
        <v>178.5172359090202</v>
      </c>
      <c r="F212" s="57">
        <f>44.1418614962199*Deflactores!$C$5</f>
        <v>142.71479292889265</v>
      </c>
      <c r="G212" s="57">
        <f>50.38732020531*Deflactores!$D$5</f>
        <v>152.97667906838473</v>
      </c>
      <c r="H212" s="57">
        <f>68.09820633837*Deflactores!$E$5</f>
        <v>195.97451624940228</v>
      </c>
      <c r="I212" s="57">
        <f>86.10826492353*Deflactores!$F$5</f>
        <v>236.33004445032455</v>
      </c>
      <c r="J212" s="57">
        <f>103.58782896269*Deflactores!$G$5</f>
        <v>272.11857852342956</v>
      </c>
      <c r="K212" s="57">
        <f>113.033897309149*Deflactores!$H$5</f>
        <v>280.93505599404443</v>
      </c>
      <c r="L212" s="57">
        <f>144.35656958442*Deflactores!$I$5</f>
        <v>333.21262008918376</v>
      </c>
      <c r="M212" s="57">
        <f>157.2730305408*Deflactores!$J$5</f>
        <v>355.90269284364649</v>
      </c>
      <c r="N212" s="57">
        <f>182.12372306666*Deflactores!$K$5</f>
        <v>399.47072973267717</v>
      </c>
      <c r="O212" s="57">
        <f>197.14376049856*Deflactores!$L$5</f>
        <v>416.87992332198849</v>
      </c>
      <c r="P212" s="57">
        <f>268.82472002885*Deflactores!$M$5</f>
        <v>554.91642055623777</v>
      </c>
      <c r="Q212" s="57">
        <f>341.93770487212*Deflactores!$N$5</f>
        <v>692.40586378658952</v>
      </c>
      <c r="R212" s="57">
        <f>333.349418399949*Deflactores!$O$5</f>
        <v>651.18178226029886</v>
      </c>
      <c r="S212" s="57">
        <f>355.39749230767*Deflactores!$P$5</f>
        <v>650.23097883747209</v>
      </c>
      <c r="T212" s="57">
        <f>292.46712350644*Deflactores!$Q$5</f>
        <v>505.99936899874064</v>
      </c>
      <c r="U212" s="57">
        <f>309.2261181927*Deflactores!$R$5</f>
        <v>513.97273535466877</v>
      </c>
      <c r="V212" s="57">
        <f>351.04374513498*Deflactores!$S$5</f>
        <v>565.49611896021725</v>
      </c>
    </row>
    <row r="213" spans="3:22" x14ac:dyDescent="0.2">
      <c r="C213" s="87" t="s">
        <v>129</v>
      </c>
      <c r="D213" s="56">
        <f>5069.44700501953*Deflactores!$A$5</f>
        <v>18877.165585036546</v>
      </c>
      <c r="E213" s="56">
        <f>6163.38387191625*Deflactores!$B$5</f>
        <v>21320.050232530033</v>
      </c>
      <c r="F213" s="56">
        <f>6731.13388776779*Deflactores!$C$5</f>
        <v>21762.389405614354</v>
      </c>
      <c r="G213" s="56">
        <f>7584.76827221136*Deflactores!$D$5</f>
        <v>23027.473123364645</v>
      </c>
      <c r="H213" s="56">
        <f>8362.72309833312*Deflactores!$E$5</f>
        <v>24066.428498574223</v>
      </c>
      <c r="I213" s="56">
        <f>9363.01322256669*Deflactores!$F$5</f>
        <v>25697.432564031395</v>
      </c>
      <c r="J213" s="56">
        <f>10866.4593383061*Deflactores!$G$5</f>
        <v>28545.491283416461</v>
      </c>
      <c r="K213" s="56">
        <f>12832.411711653*Deflactores!$H$5</f>
        <v>31893.7450496991</v>
      </c>
      <c r="L213" s="56">
        <f>16346.6822504438*Deflactores!$I$5</f>
        <v>37732.406901303955</v>
      </c>
      <c r="M213" s="56">
        <f>17177.8818994699*Deflactores!$J$5</f>
        <v>38872.872255014234</v>
      </c>
      <c r="N213" s="56">
        <f>17583.0731904019*Deflactores!$K$5</f>
        <v>38566.766372012171</v>
      </c>
      <c r="O213" s="56">
        <f>18578.001174527*Deflactores!$L$5</f>
        <v>39285.015592310352</v>
      </c>
      <c r="P213" s="56">
        <f>20506.7386344509*Deflactores!$M$5</f>
        <v>42330.653219281936</v>
      </c>
      <c r="Q213" s="56">
        <f>22759.4083446234*Deflactores!$N$5</f>
        <v>46086.604576188038</v>
      </c>
      <c r="R213" s="56">
        <f>23172.4471133341*Deflactores!$O$5</f>
        <v>45266.241900231034</v>
      </c>
      <c r="S213" s="56">
        <f>23333.421744294*Deflactores!$P$5</f>
        <v>42690.547876137629</v>
      </c>
      <c r="T213" s="56">
        <f>24722.8313409027*Deflactores!$Q$5</f>
        <v>42773.139450265757</v>
      </c>
      <c r="U213" s="56">
        <f>26053.390542935*Deflactores!$R$5</f>
        <v>43304.014812458612</v>
      </c>
      <c r="V213" s="56">
        <f>28025.3738634724*Deflactores!$S$5</f>
        <v>45146.054791857743</v>
      </c>
    </row>
    <row r="214" spans="3:22" x14ac:dyDescent="0.2">
      <c r="C214" s="88" t="s">
        <v>130</v>
      </c>
      <c r="D214" s="57">
        <f>15.439114915*Deflactores!$A$5</f>
        <v>57.490832520447597</v>
      </c>
      <c r="E214" s="57">
        <f>39.76501163626*Deflactores!$B$5</f>
        <v>137.55301684926829</v>
      </c>
      <c r="F214" s="57">
        <f>9.18358797563*Deflactores!$C$5</f>
        <v>29.69140430107462</v>
      </c>
      <c r="G214" s="57">
        <f>14.82418322237*Deflactores!$D$5</f>
        <v>45.006448249661922</v>
      </c>
      <c r="H214" s="57">
        <f>63.57781698878*Deflactores!$E$5</f>
        <v>182.96564033800107</v>
      </c>
      <c r="I214" s="57">
        <f>51.9585998765*Deflactores!$F$5</f>
        <v>142.60394434024187</v>
      </c>
      <c r="J214" s="57">
        <f>73.47830350547*Deflactores!$G$5</f>
        <v>193.02278754604757</v>
      </c>
      <c r="K214" s="57">
        <f>58.29104918677*Deflactores!$H$5</f>
        <v>144.87688699654657</v>
      </c>
      <c r="L214" s="57">
        <f>126.09042507592*Deflactores!$I$5</f>
        <v>291.04959357693667</v>
      </c>
      <c r="M214" s="57">
        <f>107.96479185285*Deflactores!$J$5</f>
        <v>244.32008476345118</v>
      </c>
      <c r="N214" s="57">
        <f>121.07837556635*Deflactores!$K$5</f>
        <v>265.57367831006752</v>
      </c>
      <c r="O214" s="57">
        <f>138.07299162981*Deflactores!$L$5</f>
        <v>291.96895716054473</v>
      </c>
      <c r="P214" s="57">
        <f>208.785182843409*Deflactores!$M$5</f>
        <v>430.98092435922683</v>
      </c>
      <c r="Q214" s="57">
        <f>277.95694301465*Deflactores!$N$5</f>
        <v>562.84818691029</v>
      </c>
      <c r="R214" s="57">
        <f>250.48148130179*Deflactores!$O$5</f>
        <v>489.30332082236595</v>
      </c>
      <c r="S214" s="57">
        <f>352.26475720274*Deflactores!$P$5</f>
        <v>644.49936435564086</v>
      </c>
      <c r="T214" s="57">
        <f>224.82246659068*Deflactores!$Q$5</f>
        <v>388.96688580834484</v>
      </c>
      <c r="U214" s="57">
        <f>358.76980480957*Deflactores!$R$5</f>
        <v>596.32057931705594</v>
      </c>
      <c r="V214" s="57">
        <f>402.91398656442*Deflactores!$S$5</f>
        <v>649.05385392740538</v>
      </c>
    </row>
    <row r="215" spans="3:22" x14ac:dyDescent="0.2">
      <c r="C215" s="87" t="s">
        <v>131</v>
      </c>
      <c r="D215" s="56">
        <f>4501.88255975813*Deflactores!$A$5</f>
        <v>16763.718496474354</v>
      </c>
      <c r="E215" s="56">
        <f>7241.49544053331*Deflactores!$B$5</f>
        <v>25049.396526198594</v>
      </c>
      <c r="F215" s="56">
        <f>8068.8203302663*Deflactores!$C$5</f>
        <v>26087.255579672517</v>
      </c>
      <c r="G215" s="56">
        <f>9509.56879560315*Deflactores!$D$5</f>
        <v>28871.197114594775</v>
      </c>
      <c r="H215" s="56">
        <f>10931.9665401567*Deflactores!$E$5</f>
        <v>31460.253794595632</v>
      </c>
      <c r="I215" s="56">
        <f>12109.2901907635*Deflactores!$F$5</f>
        <v>33234.778236287544</v>
      </c>
      <c r="J215" s="56">
        <f>12967.3642747961*Deflactores!$G$5</f>
        <v>34064.433717632615</v>
      </c>
      <c r="K215" s="56">
        <f>14095.9339078888*Deflactores!$H$5</f>
        <v>35034.109908378457</v>
      </c>
      <c r="L215" s="56">
        <f>15542.4418380685*Deflactores!$I$5</f>
        <v>35876.010231857865</v>
      </c>
      <c r="M215" s="56">
        <f>18210.9773551253*Deflactores!$J$5</f>
        <v>41210.726707032984</v>
      </c>
      <c r="N215" s="56">
        <f>19863.1418424301*Deflactores!$K$5</f>
        <v>43567.875908593145</v>
      </c>
      <c r="O215" s="56">
        <f>21234.7224709212*Deflactores!$L$5</f>
        <v>44902.914771710442</v>
      </c>
      <c r="P215" s="56">
        <f>22309.7932579042*Deflactores!$M$5</f>
        <v>46052.575137797103</v>
      </c>
      <c r="Q215" s="56">
        <f>24495.1594023044*Deflactores!$N$5</f>
        <v>49601.409154003093</v>
      </c>
      <c r="R215" s="56">
        <f>26062.8779505419*Deflactores!$O$5</f>
        <v>50912.557148379645</v>
      </c>
      <c r="S215" s="56">
        <f>28696.743540038*Deflactores!$P$5</f>
        <v>52503.216948230882</v>
      </c>
      <c r="T215" s="56">
        <f>31029.7782351837*Deflactores!$Q$5</f>
        <v>53684.831371578352</v>
      </c>
      <c r="U215" s="56">
        <f>35333.2826713046*Deflactores!$R$5</f>
        <v>58728.36372868473</v>
      </c>
      <c r="V215" s="56">
        <f>37862.2482746657*Deflactores!$S$5</f>
        <v>60992.268773223397</v>
      </c>
    </row>
    <row r="216" spans="3:22" x14ac:dyDescent="0.2">
      <c r="C216" s="88" t="s">
        <v>132</v>
      </c>
      <c r="D216" s="57">
        <f>6.87251134135*Deflactores!$A$5</f>
        <v>25.591259647699147</v>
      </c>
      <c r="E216" s="57">
        <f>7.22846594450999*Deflactores!$B$5</f>
        <v>25.004325585381896</v>
      </c>
      <c r="F216" s="57">
        <f>6.78687900776*Deflactores!$C$5</f>
        <v>21.942618625380398</v>
      </c>
      <c r="G216" s="57">
        <f>6.93880014991*Deflactores!$D$5</f>
        <v>21.066303969477222</v>
      </c>
      <c r="H216" s="57">
        <f>7.06204996417*Deflactores!$E$5</f>
        <v>20.32332274040408</v>
      </c>
      <c r="I216" s="57">
        <f>8.04635507984*Deflactores!$F$5</f>
        <v>22.08377390219659</v>
      </c>
      <c r="J216" s="57">
        <f>8.60732535857*Deflactores!$G$5</f>
        <v>22.610891307571947</v>
      </c>
      <c r="K216" s="57">
        <f>10.16240127676*Deflactores!$H$5</f>
        <v>25.257686761981947</v>
      </c>
      <c r="L216" s="57">
        <f>11.1359978569499*Deflactores!$I$5</f>
        <v>25.704788039118739</v>
      </c>
      <c r="M216" s="57">
        <f>10.6785981713699*Deflactores!$J$5</f>
        <v>24.165248370411764</v>
      </c>
      <c r="N216" s="57">
        <f>11.81712201405*Deflactores!$K$5</f>
        <v>25.919711473089254</v>
      </c>
      <c r="O216" s="57">
        <f>14.5831223439799*Deflactores!$L$5</f>
        <v>30.83745034171611</v>
      </c>
      <c r="P216" s="57">
        <f>23.38847486061*Deflactores!$M$5</f>
        <v>48.279223542114721</v>
      </c>
      <c r="Q216" s="57">
        <f>22.90865746126*Deflactores!$N$5</f>
        <v>46.388826185714244</v>
      </c>
      <c r="R216" s="57">
        <f>27.08466586909*Deflactores!$O$5</f>
        <v>52.908569864063729</v>
      </c>
      <c r="S216" s="57">
        <f>27.06407959161*Deflactores!$P$5</f>
        <v>49.516114618369897</v>
      </c>
      <c r="T216" s="57">
        <f>32.71359571897*Deflactores!$Q$5</f>
        <v>56.598015506909555</v>
      </c>
      <c r="U216" s="57">
        <f>40.2882888872599*Deflactores!$R$5</f>
        <v>66.964207820375862</v>
      </c>
      <c r="V216" s="57">
        <f>40.4467794447399*Deflactores!$S$5</f>
        <v>65.155688193918948</v>
      </c>
    </row>
    <row r="217" spans="3:22" x14ac:dyDescent="0.2">
      <c r="C217" s="87" t="s">
        <v>133</v>
      </c>
      <c r="D217" s="56">
        <f>557.49439954369*Deflactores!$A$5</f>
        <v>2075.9491286715238</v>
      </c>
      <c r="E217" s="56">
        <f>631.07945758592*Deflactores!$B$5</f>
        <v>2182.9965512543113</v>
      </c>
      <c r="F217" s="56">
        <f>634.21117413908*Deflactores!$C$5</f>
        <v>2050.4644190911526</v>
      </c>
      <c r="G217" s="56">
        <f>660.562053944369*Deflactores!$D$5</f>
        <v>2005.4765548010173</v>
      </c>
      <c r="H217" s="56">
        <f>730.35315760303*Deflactores!$E$5</f>
        <v>2101.8263835215025</v>
      </c>
      <c r="I217" s="56">
        <f>828.817652346669*Deflactores!$F$5</f>
        <v>2274.7469455371306</v>
      </c>
      <c r="J217" s="56">
        <f>893.49310343196*Deflactores!$G$5</f>
        <v>2347.1490392366914</v>
      </c>
      <c r="K217" s="56">
        <f>1015.87651149627*Deflactores!$H$5</f>
        <v>2524.8649425904487</v>
      </c>
      <c r="L217" s="56">
        <f>1175.36035414827*Deflactores!$I$5</f>
        <v>2713.0383070350067</v>
      </c>
      <c r="M217" s="56">
        <f>1353.63438548279*Deflactores!$J$5</f>
        <v>3063.221464369889</v>
      </c>
      <c r="N217" s="56">
        <f>1413.03099196528*Deflactores!$K$5</f>
        <v>3099.3464881489199</v>
      </c>
      <c r="O217" s="56">
        <f>1507.30953630196*Deflactores!$L$5</f>
        <v>3187.3546610198346</v>
      </c>
      <c r="P217" s="56">
        <f>1782.93634222831*Deflactores!$M$5</f>
        <v>3680.393131267042</v>
      </c>
      <c r="Q217" s="56">
        <f>2046.97898230337*Deflactores!$N$5</f>
        <v>4145.0247521688916</v>
      </c>
      <c r="R217" s="56">
        <f>2337.68710875596*Deflactores!$O$5</f>
        <v>4566.5574133992968</v>
      </c>
      <c r="S217" s="56">
        <f>2558.80310110904*Deflactores!$P$5</f>
        <v>4681.5553882583845</v>
      </c>
      <c r="T217" s="56">
        <f>2885.49314656052*Deflactores!$Q$5</f>
        <v>4992.2114113371927</v>
      </c>
      <c r="U217" s="56">
        <f>3105.43646515495*Deflactores!$R$5</f>
        <v>5161.6263328415789</v>
      </c>
      <c r="V217" s="56">
        <f>3421.07737562496*Deflactores!$S$5</f>
        <v>5511.011107275659</v>
      </c>
    </row>
    <row r="218" spans="3:22" x14ac:dyDescent="0.2">
      <c r="C218" s="88" t="s">
        <v>134</v>
      </c>
      <c r="D218" s="57">
        <f>5010.60094736939*Deflactores!$A$5</f>
        <v>18658.039756679256</v>
      </c>
      <c r="E218" s="57">
        <f>5927.76321086255*Deflactores!$B$5</f>
        <v>20505.003752563665</v>
      </c>
      <c r="F218" s="57">
        <f>5025.99348365381*Deflactores!$C$5</f>
        <v>16249.509988223808</v>
      </c>
      <c r="G218" s="57">
        <f>4455.33609276353*Deflactores!$D$5</f>
        <v>13526.468897876657</v>
      </c>
      <c r="H218" s="57">
        <f>4951.37208817326*Deflactores!$E$5</f>
        <v>14249.167517409438</v>
      </c>
      <c r="I218" s="57">
        <f>6105.30457310885*Deflactores!$F$5</f>
        <v>16756.427532559715</v>
      </c>
      <c r="J218" s="57">
        <f>5296.66707507888*Deflactores!$G$5</f>
        <v>13914.004471523845</v>
      </c>
      <c r="K218" s="57">
        <f>6036.03247144117*Deflactores!$H$5</f>
        <v>15001.987551648743</v>
      </c>
      <c r="L218" s="57">
        <f>6127.89175400736*Deflactores!$I$5</f>
        <v>14144.772716988087</v>
      </c>
      <c r="M218" s="57">
        <f>6012.77891794296*Deflactores!$J$5</f>
        <v>13606.68260165721</v>
      </c>
      <c r="N218" s="57">
        <f>6611.67571363071*Deflactores!$K$5</f>
        <v>14502.06967882581</v>
      </c>
      <c r="O218" s="57">
        <f>6768.14539066759*Deflactores!$L$5</f>
        <v>14311.910883500592</v>
      </c>
      <c r="P218" s="57">
        <f>7103.48312356357*Deflactores!$M$5</f>
        <v>14663.232711584356</v>
      </c>
      <c r="Q218" s="57">
        <f>7560.55982515011*Deflactores!$N$5</f>
        <v>15309.735901751628</v>
      </c>
      <c r="R218" s="57">
        <f>10470.6965227977*Deflactores!$O$5</f>
        <v>20453.993458124369</v>
      </c>
      <c r="S218" s="57">
        <f>13662.0218251531*Deflactores!$P$5</f>
        <v>24995.870867253412</v>
      </c>
      <c r="T218" s="57">
        <f>15446.4922946851*Deflactores!$Q$5</f>
        <v>26724.081875077722</v>
      </c>
      <c r="U218" s="57">
        <f>18454.5058324958*Deflactores!$R$5</f>
        <v>30673.711838389179</v>
      </c>
      <c r="V218" s="57">
        <f>10503.7545046066*Deflactores!$S$5</f>
        <v>16920.490648770865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51.8259591926899*Deflactores!$A$5</f>
        <v>192.98499665053413</v>
      </c>
      <c r="E220" s="57">
        <f>124.09944738177*Deflactores!$B$5</f>
        <v>429.27821907447566</v>
      </c>
      <c r="F220" s="57">
        <f>63.21684259827*Deflactores!$C$5</f>
        <v>204.38600220344358</v>
      </c>
      <c r="G220" s="57">
        <f>52.70640981384*Deflactores!$D$5</f>
        <v>160.01747078601082</v>
      </c>
      <c r="H220" s="57">
        <f>124.33604700725*Deflactores!$E$5</f>
        <v>357.81701126655548</v>
      </c>
      <c r="I220" s="57">
        <f>274.175673734399*Deflactores!$F$5</f>
        <v>752.4939588364881</v>
      </c>
      <c r="J220" s="57">
        <f>835.7669658911*Deflactores!$G$5</f>
        <v>2195.5061807216762</v>
      </c>
      <c r="K220" s="57">
        <f>1245.41321782824*Deflactores!$H$5</f>
        <v>3095.3567063990836</v>
      </c>
      <c r="L220" s="57">
        <f>1636.35061683776*Deflactores!$I$5</f>
        <v>3777.1240892656242</v>
      </c>
      <c r="M220" s="57">
        <f>1774.92151635625*Deflactores!$J$5</f>
        <v>4016.5776998456286</v>
      </c>
      <c r="N220" s="57">
        <f>2701.7600036571*Deflactores!$K$5</f>
        <v>5926.0486335897704</v>
      </c>
      <c r="O220" s="57">
        <f>2835.97503971097*Deflactores!$L$5</f>
        <v>5996.9488971294031</v>
      </c>
      <c r="P220" s="57">
        <f>4084.49279460485*Deflactores!$M$5</f>
        <v>8431.3381638661194</v>
      </c>
      <c r="Q220" s="57">
        <f>4832.14713670903*Deflactores!$N$5</f>
        <v>9784.843743360203</v>
      </c>
      <c r="R220" s="57">
        <f>7390.5799502482*Deflactores!$O$5</f>
        <v>14437.136404917124</v>
      </c>
      <c r="S220" s="57">
        <f>8597.65581382664*Deflactores!$P$5</f>
        <v>15730.167703863473</v>
      </c>
      <c r="T220" s="57">
        <f>6534.25786027933*Deflactores!$Q$5</f>
        <v>11304.964176951666</v>
      </c>
      <c r="U220" s="57">
        <f>7407.60017009485*Deflactores!$R$5</f>
        <v>12312.363988169869</v>
      </c>
      <c r="V220" s="57">
        <f>7563.11255706743*Deflactores!$S$5</f>
        <v>12183.412630344403</v>
      </c>
    </row>
    <row r="221" spans="3:22" x14ac:dyDescent="0.2">
      <c r="C221" s="87" t="s">
        <v>137</v>
      </c>
      <c r="D221" s="56">
        <f>48.4717889598599*Deflactores!$A$5</f>
        <v>180.49502943658777</v>
      </c>
      <c r="E221" s="56">
        <f>49.15387536447*Deflactores!$B$5</f>
        <v>170.0304757373809</v>
      </c>
      <c r="F221" s="56">
        <f>49.09515410166*Deflactores!$C$5</f>
        <v>158.72925413511373</v>
      </c>
      <c r="G221" s="56">
        <f>44.6574826488199*Deflactores!$D$5</f>
        <v>135.58080412560912</v>
      </c>
      <c r="H221" s="56">
        <f>69.88146196257*Deflactores!$E$5</f>
        <v>201.10640851342376</v>
      </c>
      <c r="I221" s="56">
        <f>145.51456914694*Deflactores!$F$5</f>
        <v>399.37472465861833</v>
      </c>
      <c r="J221" s="56">
        <f>79.6959718993099*Deflactores!$G$5</f>
        <v>209.35620337302825</v>
      </c>
      <c r="K221" s="56">
        <f>95.59816049475*Deflactores!$H$5</f>
        <v>237.60018198847362</v>
      </c>
      <c r="L221" s="56">
        <f>119.01239981507*Deflactores!$I$5</f>
        <v>274.71166487015893</v>
      </c>
      <c r="M221" s="56">
        <f>113.59355051967*Deflactores!$J$5</f>
        <v>257.05774461523714</v>
      </c>
      <c r="N221" s="56">
        <f>141.69144590969*Deflactores!$K$5</f>
        <v>310.78644968017153</v>
      </c>
      <c r="O221" s="56">
        <f>166.67687479333*Deflactores!$L$5</f>
        <v>352.45468894208108</v>
      </c>
      <c r="P221" s="56">
        <f>220.774656921459*Deflactores!$M$5</f>
        <v>455.72997288061771</v>
      </c>
      <c r="Q221" s="56">
        <f>273.336706074499*Deflactores!$N$5</f>
        <v>553.49245016683733</v>
      </c>
      <c r="R221" s="56">
        <f>440.748278225949*Deflactores!$O$5</f>
        <v>860.98020125831863</v>
      </c>
      <c r="S221" s="56">
        <f>274.72693222128*Deflactores!$P$5</f>
        <v>502.63709203837703</v>
      </c>
      <c r="T221" s="56">
        <f>261.15745154229*Deflactores!$Q$5</f>
        <v>451.83029157397976</v>
      </c>
      <c r="U221" s="56">
        <f>256.72139642266*Deflactores!$R$5</f>
        <v>426.70327821791267</v>
      </c>
      <c r="V221" s="56">
        <f>525.203558456389*Deflactores!$S$5</f>
        <v>846.05003817112242</v>
      </c>
    </row>
    <row r="222" spans="3:22" x14ac:dyDescent="0.2">
      <c r="C222" s="88" t="s">
        <v>138</v>
      </c>
      <c r="D222" s="57">
        <f>134.46357398484*Deflactores!$A$5</f>
        <v>500.70375501594941</v>
      </c>
      <c r="E222" s="57">
        <f>162.03531115432*Deflactores!$B$5</f>
        <v>560.50394475586518</v>
      </c>
      <c r="F222" s="57">
        <f>158.081069009469*Deflactores!$C$5</f>
        <v>511.09097498292698</v>
      </c>
      <c r="G222" s="57">
        <f>168.605080704179*Deflactores!$D$5</f>
        <v>511.88761805721458</v>
      </c>
      <c r="H222" s="57">
        <f>178.69529184586*Deflactores!$E$5</f>
        <v>514.25324187733088</v>
      </c>
      <c r="I222" s="57">
        <f>208.27327020891*Deflactores!$F$5</f>
        <v>571.62028813375764</v>
      </c>
      <c r="J222" s="57">
        <f>211.5811642222*Deflactores!$G$5</f>
        <v>555.81013934768964</v>
      </c>
      <c r="K222" s="57">
        <f>215.222254229569*Deflactores!$H$5</f>
        <v>534.91454760495549</v>
      </c>
      <c r="L222" s="57">
        <f>271.405943420359*Deflactores!$I$5</f>
        <v>626.47571755982676</v>
      </c>
      <c r="M222" s="57">
        <f>233.51645138972*Deflactores!$J$5</f>
        <v>528.43856055367064</v>
      </c>
      <c r="N222" s="57">
        <f>239.944958169789*Deflactores!$K$5</f>
        <v>526.29600318833491</v>
      </c>
      <c r="O222" s="57">
        <f>249.214802428229*Deflactores!$L$5</f>
        <v>526.98927657790864</v>
      </c>
      <c r="P222" s="57">
        <f>136.30782270088*Deflactores!$M$5</f>
        <v>281.37088381927475</v>
      </c>
      <c r="Q222" s="57">
        <f>144.00699710384*Deflactores!$N$5</f>
        <v>291.60659324857988</v>
      </c>
      <c r="R222" s="57">
        <f>88.76683525415*Deflactores!$O$5</f>
        <v>173.40167042695091</v>
      </c>
      <c r="S222" s="57">
        <f>73.23585503259*Deflactores!$P$5</f>
        <v>133.99143982314612</v>
      </c>
      <c r="T222" s="57">
        <f>87.2751272472299*Deflactores!$Q$5</f>
        <v>150.99529405878923</v>
      </c>
      <c r="U222" s="57">
        <f>87.29626979986*Deflactores!$R$5</f>
        <v>145.09738969504812</v>
      </c>
      <c r="V222" s="57">
        <f>91.983347156*Deflactores!$S$5</f>
        <v>148.17590840619465</v>
      </c>
    </row>
    <row r="223" spans="3:22" x14ac:dyDescent="0.2">
      <c r="C223" s="87" t="s">
        <v>139</v>
      </c>
      <c r="D223" s="56">
        <f>336.49932323452*Deflactores!$A$5</f>
        <v>1253.0268957661779</v>
      </c>
      <c r="E223" s="56">
        <f>452.04767782869*Deflactores!$B$5</f>
        <v>1563.699324768779</v>
      </c>
      <c r="F223" s="56">
        <f>429.6874798935*Deflactores!$C$5</f>
        <v>1389.2200654562328</v>
      </c>
      <c r="G223" s="56">
        <f>470.498408097189*Deflactores!$D$5</f>
        <v>1428.440402950514</v>
      </c>
      <c r="H223" s="56">
        <f>582.421936176*Deflactores!$E$5</f>
        <v>1676.1066602545689</v>
      </c>
      <c r="I223" s="56">
        <f>701.117148502829*Deflactores!$F$5</f>
        <v>1924.264146045758</v>
      </c>
      <c r="J223" s="56">
        <f>799.35493640029*Deflactores!$G$5</f>
        <v>2099.8541161363551</v>
      </c>
      <c r="K223" s="56">
        <f>934.57712382282*Deflactores!$H$5</f>
        <v>2322.8030074361209</v>
      </c>
      <c r="L223" s="56">
        <f>990.4219049963*Deflactores!$I$5</f>
        <v>2286.1521225366942</v>
      </c>
      <c r="M223" s="56">
        <f>1183.8570362083*Deflactores!$J$5</f>
        <v>2679.0219892095756</v>
      </c>
      <c r="N223" s="56">
        <f>1469.94518834701*Deflactores!$K$5</f>
        <v>3224.1822601061899</v>
      </c>
      <c r="O223" s="56">
        <f>3175.93450291309*Deflactores!$L$5</f>
        <v>6715.8267078898371</v>
      </c>
      <c r="P223" s="56">
        <f>1469.06188261093*Deflactores!$M$5</f>
        <v>3032.4836249678901</v>
      </c>
      <c r="Q223" s="56">
        <f>1861.55541296466*Deflactores!$N$5</f>
        <v>3769.5517789781247</v>
      </c>
      <c r="R223" s="56">
        <f>2039.64164269743*Deflactores!$O$5</f>
        <v>3984.3401750607027</v>
      </c>
      <c r="S223" s="56">
        <f>2083.69643460394*Deflactores!$P$5</f>
        <v>3812.305943621398</v>
      </c>
      <c r="T223" s="56">
        <f>2081.49581093055*Deflactores!$Q$5</f>
        <v>3601.2101267210928</v>
      </c>
      <c r="U223" s="56">
        <f>2296.23524271577*Deflactores!$R$5</f>
        <v>3816.6320348818358</v>
      </c>
      <c r="V223" s="56">
        <f>2692.94744831319*Deflactores!$S$5</f>
        <v>4338.0671260767713</v>
      </c>
    </row>
    <row r="224" spans="3:22" x14ac:dyDescent="0.2">
      <c r="C224" s="88" t="s">
        <v>140</v>
      </c>
      <c r="D224" s="57">
        <f>263.91924957131*Deflactores!$A$5</f>
        <v>982.75953379199223</v>
      </c>
      <c r="E224" s="57">
        <f>426.75103910671*Deflactores!$B$5</f>
        <v>1476.1945352773696</v>
      </c>
      <c r="F224" s="57">
        <f>284.86987728527*Deflactores!$C$5</f>
        <v>921.01112572988961</v>
      </c>
      <c r="G224" s="57">
        <f>341.931581838189*Deflactores!$D$5</f>
        <v>1038.1095411518513</v>
      </c>
      <c r="H224" s="57">
        <f>595.90259841956*Deflactores!$E$5</f>
        <v>1714.9016066115435</v>
      </c>
      <c r="I224" s="57">
        <f>570.439838502729*Deflactores!$F$5</f>
        <v>1565.6112976995669</v>
      </c>
      <c r="J224" s="57">
        <f>525.55474780108*Deflactores!$G$5</f>
        <v>1380.5985929039939</v>
      </c>
      <c r="K224" s="57">
        <f>2252.15859316998*Deflactores!$H$5</f>
        <v>5597.5270741059812</v>
      </c>
      <c r="L224" s="57">
        <f>1433.03366581878*Deflactores!$I$5</f>
        <v>3307.8155281615896</v>
      </c>
      <c r="M224" s="57">
        <f>6104.12323203162*Deflactores!$J$5</f>
        <v>13813.391197837509</v>
      </c>
      <c r="N224" s="57">
        <f>1066.78144198881*Deflactores!$K$5</f>
        <v>2339.8816690155791</v>
      </c>
      <c r="O224" s="57">
        <f>1573.62980794967*Deflactores!$L$5</f>
        <v>3327.5954157323977</v>
      </c>
      <c r="P224" s="57">
        <f>1890.08849837767*Deflactores!$M$5</f>
        <v>3901.5799735295564</v>
      </c>
      <c r="Q224" s="57">
        <f>2354.40917578201*Deflactores!$N$5</f>
        <v>4767.5547207468389</v>
      </c>
      <c r="R224" s="57">
        <f>2053.02921421487*Deflactores!$O$5</f>
        <v>4010.4921411349451</v>
      </c>
      <c r="S224" s="57">
        <f>2372.88752337646*Deflactores!$P$5</f>
        <v>4341.4064825774858</v>
      </c>
      <c r="T224" s="57">
        <f>2304.31150132404*Deflactores!$Q$5</f>
        <v>3986.7050753170574</v>
      </c>
      <c r="U224" s="57">
        <f>2658.61721229309*Deflactores!$R$5</f>
        <v>4418.9564867601202</v>
      </c>
      <c r="V224" s="57">
        <f>3219.45634982325*Deflactores!$S$5</f>
        <v>5186.2199404431476</v>
      </c>
    </row>
    <row r="225" spans="2:22" x14ac:dyDescent="0.2">
      <c r="C225" s="87" t="s">
        <v>141</v>
      </c>
      <c r="D225" s="56">
        <f>327.83657188915*Deflactores!$A$5</f>
        <v>1220.7692961884272</v>
      </c>
      <c r="E225" s="56">
        <f>321.70309792633*Deflactores!$B$5</f>
        <v>1112.8182748768891</v>
      </c>
      <c r="F225" s="56">
        <f>341.25359650506*Deflactores!$C$5</f>
        <v>1103.3049969048116</v>
      </c>
      <c r="G225" s="56">
        <f>349.380545818479*Deflactores!$D$5</f>
        <v>1060.7247103563586</v>
      </c>
      <c r="H225" s="56">
        <f>373.826147535879*Deflactores!$E$5</f>
        <v>1075.8051109408284</v>
      </c>
      <c r="I225" s="56">
        <f>426.954114970769*Deflactores!$F$5</f>
        <v>1171.8048791123447</v>
      </c>
      <c r="J225" s="56">
        <f>482.275047043619*Deflactores!$G$5</f>
        <v>1266.905596661341</v>
      </c>
      <c r="K225" s="56">
        <f>550.982543825129*Deflactores!$H$5</f>
        <v>1369.4149762694672</v>
      </c>
      <c r="L225" s="56">
        <f>638.56108170528*Deflactores!$I$5</f>
        <v>1473.9655544222912</v>
      </c>
      <c r="M225" s="56">
        <f>724.84171572633*Deflactores!$J$5</f>
        <v>1640.2883420338619</v>
      </c>
      <c r="N225" s="56">
        <f>806.51671341772*Deflactores!$K$5</f>
        <v>1769.0162194447039</v>
      </c>
      <c r="O225" s="56">
        <f>845.606023814489*Deflactores!$L$5</f>
        <v>1788.1173285774403</v>
      </c>
      <c r="P225" s="56">
        <f>977.48219943551*Deflactores!$M$5</f>
        <v>2017.749421295704</v>
      </c>
      <c r="Q225" s="56">
        <f>1093.507359505*Deflactores!$N$5</f>
        <v>2214.2948760161339</v>
      </c>
      <c r="R225" s="56">
        <f>1215.96365344404*Deflactores!$O$5</f>
        <v>2375.3255152328638</v>
      </c>
      <c r="S225" s="56">
        <f>1274.51063518102*Deflactores!$P$5</f>
        <v>2331.829334167302</v>
      </c>
      <c r="T225" s="56">
        <f>1406.53424394108*Deflactores!$Q$5</f>
        <v>2433.4545072162127</v>
      </c>
      <c r="U225" s="56">
        <f>1580.71994840168*Deflactores!$R$5</f>
        <v>2627.3555431155746</v>
      </c>
      <c r="V225" s="56">
        <f>1716.87416344463*Deflactores!$S$5</f>
        <v>2765.7113668203729</v>
      </c>
    </row>
    <row r="226" spans="2:22" x14ac:dyDescent="0.2">
      <c r="C226" s="88" t="s">
        <v>142</v>
      </c>
      <c r="D226" s="57">
        <f>86.12592102411*Deflactores!$A$5</f>
        <v>320.70820953964022</v>
      </c>
      <c r="E226" s="57">
        <f>252.454097578479*Deflactores!$B$5</f>
        <v>873.27580978787807</v>
      </c>
      <c r="F226" s="57">
        <f>95.56838464213*Deflactores!$C$5</f>
        <v>308.98158261672603</v>
      </c>
      <c r="G226" s="57">
        <f>91.71013004314*Deflactores!$D$5</f>
        <v>278.43336525467328</v>
      </c>
      <c r="H226" s="57">
        <f>177.8674104945*Deflactores!$E$5</f>
        <v>511.87074671235524</v>
      </c>
      <c r="I226" s="57">
        <f>66.44642927426*Deflactores!$F$5</f>
        <v>182.36678671782317</v>
      </c>
      <c r="J226" s="57">
        <f>90.93905792352*Deflactores!$G$5</f>
        <v>238.8910687887967</v>
      </c>
      <c r="K226" s="57">
        <f>170.7919960924*Deflactores!$H$5</f>
        <v>424.4873451927715</v>
      </c>
      <c r="L226" s="57">
        <f>190.338266302659*Deflactores!$I$5</f>
        <v>439.35037110210527</v>
      </c>
      <c r="M226" s="57">
        <f>343.24390331059*Deflactores!$J$5</f>
        <v>776.74747584082388</v>
      </c>
      <c r="N226" s="57">
        <f>337.15822608264*Deflactores!$K$5</f>
        <v>739.52388157203711</v>
      </c>
      <c r="O226" s="57">
        <f>298.493154136729*Deflactores!$L$5</f>
        <v>631.19321095413011</v>
      </c>
      <c r="P226" s="57">
        <f>480.873871628556*Deflactores!$M$5</f>
        <v>992.63493161826989</v>
      </c>
      <c r="Q226" s="57">
        <f>325.53472298555*Deflactores!$N$5</f>
        <v>659.19068839055114</v>
      </c>
      <c r="R226" s="57">
        <f>296.56188790351*Deflactores!$O$5</f>
        <v>579.31914098553648</v>
      </c>
      <c r="S226" s="57">
        <f>217.695982158323*Deflactores!$P$5</f>
        <v>398.2939515095062</v>
      </c>
      <c r="T226" s="57">
        <f>266.9343348057*Deflactores!$Q$5</f>
        <v>461.824916785249</v>
      </c>
      <c r="U226" s="57">
        <f>287.17973869718*Deflactores!$R$5</f>
        <v>477.32887732545066</v>
      </c>
      <c r="V226" s="57">
        <f>246.013001980488*Deflactores!$S$5</f>
        <v>396.30216963479967</v>
      </c>
    </row>
    <row r="227" spans="2:22" x14ac:dyDescent="0.2">
      <c r="C227" s="87" t="s">
        <v>143</v>
      </c>
      <c r="D227" s="56">
        <f>519.28996388923*Deflactores!$A$5</f>
        <v>1933.6867759498116</v>
      </c>
      <c r="E227" s="56">
        <f>434.53259556806*Deflactores!$B$5</f>
        <v>1503.1120822111566</v>
      </c>
      <c r="F227" s="56">
        <f>581.73350719791*Deflactores!$C$5</f>
        <v>1880.7991825776944</v>
      </c>
      <c r="G227" s="56">
        <f>493.25358723375*Deflactores!$D$5</f>
        <v>1497.5254767693525</v>
      </c>
      <c r="H227" s="56">
        <f>514.11028588113*Deflactores!$E$5</f>
        <v>1479.5178902917339</v>
      </c>
      <c r="I227" s="56">
        <f>531.769648211609*Deflactores!$F$5</f>
        <v>1459.4783057211675</v>
      </c>
      <c r="J227" s="56">
        <f>193.707584003709*Deflactores!$G$5</f>
        <v>508.85739122192223</v>
      </c>
      <c r="K227" s="56">
        <f>323.4822294536*Deflactores!$H$5</f>
        <v>803.98447198608437</v>
      </c>
      <c r="L227" s="56">
        <f>279.03868379348*Deflactores!$I$5</f>
        <v>644.09407345114494</v>
      </c>
      <c r="M227" s="56">
        <f>273.710360827189*Deflactores!$J$5</f>
        <v>619.39579941095712</v>
      </c>
      <c r="N227" s="56">
        <f>278.47670011032*Deflactores!$K$5</f>
        <v>610.81164349962648</v>
      </c>
      <c r="O227" s="56">
        <f>258.214570902429*Deflactores!$L$5</f>
        <v>546.02017454775614</v>
      </c>
      <c r="P227" s="56">
        <f>321.669898953839*Deflactores!$M$5</f>
        <v>664.00109673319696</v>
      </c>
      <c r="Q227" s="56">
        <f>419.55353465725*Deflactores!$N$5</f>
        <v>849.57383590591019</v>
      </c>
      <c r="R227" s="56">
        <f>399.359914855409*Deflactores!$O$5</f>
        <v>780.13005802474265</v>
      </c>
      <c r="S227" s="56">
        <f>453.488376130149*Deflactores!$P$5</f>
        <v>829.69688049247588</v>
      </c>
      <c r="T227" s="56">
        <f>492.81556942265*Deflactores!$Q$5</f>
        <v>852.62358439110199</v>
      </c>
      <c r="U227" s="56">
        <f>946.606054302899*Deflactores!$R$5</f>
        <v>1573.3784257193986</v>
      </c>
      <c r="V227" s="56">
        <f>558.51065827205*Deflactores!$S$5</f>
        <v>899.70442153674708</v>
      </c>
    </row>
    <row r="228" spans="2:22" x14ac:dyDescent="0.2">
      <c r="C228" s="88" t="s">
        <v>144</v>
      </c>
      <c r="D228" s="57">
        <f>651.603211265379*Deflactores!$A$5</f>
        <v>2426.3833318740303</v>
      </c>
      <c r="E228" s="57">
        <f>768.78315157199*Deflactores!$B$5</f>
        <v>2659.3338578376793</v>
      </c>
      <c r="F228" s="57">
        <f>757.377538022979*Deflactores!$C$5</f>
        <v>2448.6728661680972</v>
      </c>
      <c r="G228" s="57">
        <f>758.64414113991*Deflactores!$D$5</f>
        <v>2303.2552799670439</v>
      </c>
      <c r="H228" s="57">
        <f>857.92111038983*Deflactores!$E$5</f>
        <v>2468.9442443370726</v>
      </c>
      <c r="I228" s="57">
        <f>1001.1944786702*Deflactores!$F$5</f>
        <v>2747.8469791218736</v>
      </c>
      <c r="J228" s="57">
        <f>1141.28755112518*Deflactores!$G$5</f>
        <v>2998.0891501310316</v>
      </c>
      <c r="K228" s="57">
        <f>1251.92743625647*Deflactores!$H$5</f>
        <v>3111.5471798982585</v>
      </c>
      <c r="L228" s="57">
        <f>1382.48460054591*Deflactores!$I$5</f>
        <v>3191.1350990607721</v>
      </c>
      <c r="M228" s="57">
        <f>1591.79816597594*Deflactores!$J$5</f>
        <v>3602.1767482088799</v>
      </c>
      <c r="N228" s="57">
        <f>1706.05888271731*Deflactores!$K$5</f>
        <v>3742.0747575896694</v>
      </c>
      <c r="O228" s="57">
        <f>1844.54177571753*Deflactores!$L$5</f>
        <v>3900.4654881326824</v>
      </c>
      <c r="P228" s="57">
        <f>2123.5887388934*Deflactores!$M$5</f>
        <v>4383.5784952879121</v>
      </c>
      <c r="Q228" s="57">
        <f>2573.40625712867*Deflactores!$N$5</f>
        <v>5211.0122895261738</v>
      </c>
      <c r="R228" s="57">
        <f>2816.204692881*Deflactores!$O$5</f>
        <v>5501.318106155567</v>
      </c>
      <c r="S228" s="57">
        <f>2925.89222470223*Deflactores!$P$5</f>
        <v>5353.1772351226045</v>
      </c>
      <c r="T228" s="57">
        <f>3162.40046426952*Deflactores!$Q$5</f>
        <v>5471.2906539953938</v>
      </c>
      <c r="U228" s="57">
        <f>3462.24762919295*Deflactores!$R$5</f>
        <v>5754.6914046328657</v>
      </c>
      <c r="V228" s="57">
        <f>4024.01833501514*Deflactores!$S$5</f>
        <v>6482.2882692321946</v>
      </c>
    </row>
    <row r="229" spans="2:22" x14ac:dyDescent="0.2">
      <c r="C229" s="87" t="s">
        <v>145</v>
      </c>
      <c r="D229" s="56">
        <f>149.670216053309*Deflactores!$A$5</f>
        <v>557.32892538160081</v>
      </c>
      <c r="E229" s="56">
        <f>121.0981130667*Deflactores!$B$5</f>
        <v>418.89616277363808</v>
      </c>
      <c r="F229" s="56">
        <f>169.85648766476*Deflactores!$C$5</f>
        <v>549.16201181912368</v>
      </c>
      <c r="G229" s="56">
        <f>230.484178927489*Deflactores!$D$5</f>
        <v>699.75351192451308</v>
      </c>
      <c r="H229" s="56">
        <f>129.29846306602*Deflactores!$E$5</f>
        <v>372.09796136549744</v>
      </c>
      <c r="I229" s="56">
        <f>187.06339811284*Deflactores!$F$5</f>
        <v>513.40833809967683</v>
      </c>
      <c r="J229" s="56">
        <f>460.97867221053*Deflactores!$G$5</f>
        <v>1210.9613867545036</v>
      </c>
      <c r="K229" s="56">
        <f>315.35753044536*Deflactores!$H$5</f>
        <v>783.79130139609799</v>
      </c>
      <c r="L229" s="56">
        <f>306.56296348758*Deflactores!$I$5</f>
        <v>707.62729108953658</v>
      </c>
      <c r="M229" s="56">
        <f>317.348748683659*Deflactores!$J$5</f>
        <v>718.14775768421032</v>
      </c>
      <c r="N229" s="56">
        <f>687.07533486735*Deflactores!$K$5</f>
        <v>1507.033135383055</v>
      </c>
      <c r="O229" s="56">
        <f>510.16777071566*Deflactores!$L$5</f>
        <v>1078.800062449086</v>
      </c>
      <c r="P229" s="56">
        <f>385.25465845314*Deflactores!$M$5</f>
        <v>795.2547520499204</v>
      </c>
      <c r="Q229" s="56">
        <f>502.69691538913*Deflactores!$N$5</f>
        <v>1017.9348079002817</v>
      </c>
      <c r="R229" s="56">
        <f>1044.80585178372*Deflactores!$O$5</f>
        <v>2040.9771222826187</v>
      </c>
      <c r="S229" s="56">
        <f>792.52563394825*Deflactores!$P$5</f>
        <v>1449.9953710135876</v>
      </c>
      <c r="T229" s="56">
        <f>656.21486902129*Deflactores!$Q$5</f>
        <v>1135.3218292416122</v>
      </c>
      <c r="U229" s="56">
        <f>686.36197243326*Deflactores!$R$5</f>
        <v>1140.8200008354802</v>
      </c>
      <c r="V229" s="56">
        <f>1746.55630732292*Deflactores!$S$5</f>
        <v>2813.5263112488446</v>
      </c>
    </row>
    <row r="230" spans="2:22" x14ac:dyDescent="0.2">
      <c r="C230" s="88" t="s">
        <v>146</v>
      </c>
      <c r="D230" s="57">
        <f>137.35289434502*Deflactores!$A$5</f>
        <v>511.46275472801466</v>
      </c>
      <c r="E230" s="57">
        <f>152.140573639659*Deflactores!$B$5</f>
        <v>526.27659412604248</v>
      </c>
      <c r="F230" s="57">
        <f>155.9885152445*Deflactores!$C$5</f>
        <v>504.325551705848</v>
      </c>
      <c r="G230" s="57">
        <f>178.60079000935*Deflactores!$D$5</f>
        <v>542.23474523539039</v>
      </c>
      <c r="H230" s="57">
        <f>175.555893584789*Deflactores!$E$5</f>
        <v>505.21861250000842</v>
      </c>
      <c r="I230" s="57">
        <f>219.3728341471*Deflactores!$F$5</f>
        <v>602.08380335173592</v>
      </c>
      <c r="J230" s="57">
        <f>219.52232557786*Deflactores!$G$5</f>
        <v>576.67106057334547</v>
      </c>
      <c r="K230" s="57">
        <f>204.07036352793*Deflactores!$H$5</f>
        <v>507.19757850730741</v>
      </c>
      <c r="L230" s="57">
        <f>211.01246592172*Deflactores!$I$5</f>
        <v>487.07181698535254</v>
      </c>
      <c r="M230" s="57">
        <f>206.193152371009*Deflactores!$J$5</f>
        <v>466.60700771404578</v>
      </c>
      <c r="N230" s="57">
        <f>216.55528483086*Deflactores!$K$5</f>
        <v>474.99302233783328</v>
      </c>
      <c r="O230" s="57">
        <f>245.051440581838*Deflactores!$L$5</f>
        <v>518.18543737500454</v>
      </c>
      <c r="P230" s="57">
        <f>371.392660641713*Deflactores!$M$5</f>
        <v>766.64038129394999</v>
      </c>
      <c r="Q230" s="57">
        <f>372.274060028009*Deflactores!$N$5</f>
        <v>753.83538704933028</v>
      </c>
      <c r="R230" s="57">
        <f>467.855189527166*Deflactores!$O$5</f>
        <v>913.9322264858539</v>
      </c>
      <c r="S230" s="57">
        <f>586.49513975614*Deflactores!$P$5</f>
        <v>1073.0444560281571</v>
      </c>
      <c r="T230" s="57">
        <f>676.717583149837*Deflactores!$Q$5</f>
        <v>1170.7937150639443</v>
      </c>
      <c r="U230" s="57">
        <f>625.359535462737*Deflactores!$R$5</f>
        <v>1039.4262713009591</v>
      </c>
      <c r="V230" s="57">
        <f>609.04947815015*Deflactores!$S$5</f>
        <v>981.11737047536417</v>
      </c>
    </row>
    <row r="231" spans="2:22" x14ac:dyDescent="0.2">
      <c r="C231" s="90" t="s">
        <v>147</v>
      </c>
      <c r="D231" s="58">
        <f>4302.40476531304*Deflactores!$A$5</f>
        <v>16020.920445217609</v>
      </c>
      <c r="E231" s="58">
        <f>5868.88758305294*Deflactores!$B$5</f>
        <v>20301.344306963958</v>
      </c>
      <c r="F231" s="58">
        <f>6937.53686308582*Deflactores!$C$5</f>
        <v>22429.709651837831</v>
      </c>
      <c r="G231" s="58">
        <f>7778.92046149744*Deflactores!$D$5</f>
        <v>23616.922155974855</v>
      </c>
      <c r="H231" s="58">
        <f>9821.15157244827*Deflactores!$E$5</f>
        <v>28263.526044417042</v>
      </c>
      <c r="I231" s="58">
        <f>12956.9539589357*Deflactores!$F$5</f>
        <v>35561.249640501417</v>
      </c>
      <c r="J231" s="58">
        <f>14191.148097639*Deflactores!$G$5</f>
        <v>37279.23527903924</v>
      </c>
      <c r="K231" s="58">
        <f>16080.9183612601*Deflactores!$H$5</f>
        <v>39967.600939214892</v>
      </c>
      <c r="L231" s="58">
        <f>17686.7884981914*Deflactores!$I$5</f>
        <v>40825.721707103112</v>
      </c>
      <c r="M231" s="58">
        <f>18498.8110796449*Deflactores!$J$5</f>
        <v>41862.08312393097</v>
      </c>
      <c r="N231" s="58">
        <f>18133.4686738389*Deflactores!$K$5</f>
        <v>39774.005504333618</v>
      </c>
      <c r="O231" s="58">
        <f>19178.2799618141*Deflactores!$L$5</f>
        <v>40554.364285787728</v>
      </c>
      <c r="P231" s="58">
        <f>21420.6686660447*Deflactores!$M$5</f>
        <v>44217.216261982969</v>
      </c>
      <c r="Q231" s="58">
        <f>25889.586600348*Deflactores!$N$5</f>
        <v>52425.050872338827</v>
      </c>
      <c r="R231" s="58">
        <f>30519.8841919084*Deflactores!$O$5</f>
        <v>59619.10081576994</v>
      </c>
      <c r="S231" s="58">
        <f>30376.0768977747*Deflactores!$P$5</f>
        <v>55575.705068237759</v>
      </c>
      <c r="T231" s="58">
        <f>32365.9531807544*Deflactores!$Q$5</f>
        <v>55996.556775872596</v>
      </c>
      <c r="U231" s="58">
        <f>35099.4123043597*Deflactores!$R$5</f>
        <v>58339.64173805985</v>
      </c>
      <c r="V231" s="58">
        <f>44149.2376913647*Deflactores!$S$5</f>
        <v>71119.975545837195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0.22928537086989412</v>
      </c>
      <c r="V232" s="59">
        <f>120.319795553179*Deflactores!$S$5</f>
        <v>193.82307294279607</v>
      </c>
    </row>
    <row r="233" spans="2:22" x14ac:dyDescent="0.2">
      <c r="C233" s="87" t="s">
        <v>149</v>
      </c>
      <c r="D233" s="56">
        <f>29.8579478772099*Deflactores!$A$5</f>
        <v>111.18242789586284</v>
      </c>
      <c r="E233" s="56">
        <f>22.53363079752*Deflactores!$B$5</f>
        <v>77.947139186553045</v>
      </c>
      <c r="F233" s="56">
        <f>14.8975056967699*Deflactores!$C$5</f>
        <v>48.165038097760856</v>
      </c>
      <c r="G233" s="56">
        <f>17.17418928252*Deflactores!$D$5</f>
        <v>52.141102789881764</v>
      </c>
      <c r="H233" s="56">
        <f>19.03689981666*Deflactores!$E$5</f>
        <v>54.784809072954765</v>
      </c>
      <c r="I233" s="56">
        <f>37.36482751316*Deflactores!$F$5</f>
        <v>102.55033422059817</v>
      </c>
      <c r="J233" s="56">
        <f>30.80633092575*Deflactores!$G$5</f>
        <v>80.926254222943655</v>
      </c>
      <c r="K233" s="56">
        <f>29.04182042413*Deflactores!$H$5</f>
        <v>72.180696598537651</v>
      </c>
      <c r="L233" s="56">
        <f>33.12300703291*Deflactores!$I$5</f>
        <v>76.456540844952272</v>
      </c>
      <c r="M233" s="56">
        <f>39.81617563257*Deflactores!$J$5</f>
        <v>90.102442088385033</v>
      </c>
      <c r="N233" s="56">
        <f>100.30432864258*Deflactores!$K$5</f>
        <v>220.00782041739825</v>
      </c>
      <c r="O233" s="56">
        <f>118.44447543295*Deflactores!$L$5</f>
        <v>250.46252395475642</v>
      </c>
      <c r="P233" s="56">
        <f>101.05325401911*Deflactores!$M$5</f>
        <v>208.59729715268276</v>
      </c>
      <c r="Q233" s="56">
        <f>42.54449896715*Deflactores!$N$5</f>
        <v>86.150372237346772</v>
      </c>
      <c r="R233" s="56">
        <f>62.71793869002*Deflactores!$O$5</f>
        <v>122.51642523299398</v>
      </c>
      <c r="S233" s="56">
        <f>63.74851742266*Deflactores!$P$5</f>
        <v>116.63352100213814</v>
      </c>
      <c r="T233" s="56">
        <f>73.1661942080299*Deflactores!$Q$5</f>
        <v>126.58533259204854</v>
      </c>
      <c r="U233" s="56">
        <f>72.35755169704*Deflactores!$R$5</f>
        <v>120.26735964818785</v>
      </c>
      <c r="V233" s="56">
        <f>73.33571388322*Deflactores!$S$5</f>
        <v>118.13644925133697</v>
      </c>
    </row>
    <row r="234" spans="2:22" x14ac:dyDescent="0.2">
      <c r="C234" s="88" t="s">
        <v>150</v>
      </c>
      <c r="D234" s="57">
        <f>356.716072507359*Deflactores!$A$5</f>
        <v>1328.3082673312958</v>
      </c>
      <c r="E234" s="57">
        <f>727.986426880229*Deflactores!$B$5</f>
        <v>2518.2119939676918</v>
      </c>
      <c r="F234" s="57">
        <f>362.60876154299*Deflactores!$C$5</f>
        <v>1172.3482554590867</v>
      </c>
      <c r="G234" s="57">
        <f>341.77079727025*Deflactores!$D$5</f>
        <v>1037.6213967308238</v>
      </c>
      <c r="H234" s="57">
        <f>559.968090455169*Deflactores!$E$5</f>
        <v>1611.4884890913854</v>
      </c>
      <c r="I234" s="57">
        <f>883.08100193498*Deflactores!$F$5</f>
        <v>2423.6764336834508</v>
      </c>
      <c r="J234" s="57">
        <f>1152.44643862528*Deflactores!$G$5</f>
        <v>3027.4028314277384</v>
      </c>
      <c r="K234" s="57">
        <f>1718.53702732015*Deflactores!$H$5</f>
        <v>4271.2611658215137</v>
      </c>
      <c r="L234" s="57">
        <f>1374.13299695833*Deflactores!$I$5</f>
        <v>3171.8574193446689</v>
      </c>
      <c r="M234" s="57">
        <f>2133.68586385502*Deflactores!$J$5</f>
        <v>4828.4473314795259</v>
      </c>
      <c r="N234" s="57">
        <f>2094.27005866145*Deflactores!$K$5</f>
        <v>4593.578335122098</v>
      </c>
      <c r="O234" s="57">
        <f>3311.09300661934*Deflactores!$L$5</f>
        <v>7001.6326929176403</v>
      </c>
      <c r="P234" s="57">
        <f>5217.51188100658*Deflactores!$M$5</f>
        <v>10770.151706684919</v>
      </c>
      <c r="Q234" s="57">
        <f>5195.3265467632*Deflactores!$N$5</f>
        <v>10520.262942661746</v>
      </c>
      <c r="R234" s="57">
        <f>4924.34952666584*Deflactores!$O$5</f>
        <v>9619.4759140081096</v>
      </c>
      <c r="S234" s="57">
        <f>4165.20909065521*Deflactores!$P$5</f>
        <v>7620.6164722592903</v>
      </c>
      <c r="T234" s="57">
        <f>2917.32986171863*Deflactores!$Q$5</f>
        <v>5047.2923297934567</v>
      </c>
      <c r="U234" s="57">
        <f>2504.14792713104*Deflactores!$R$5</f>
        <v>4162.209089460569</v>
      </c>
      <c r="V234" s="57">
        <f>2300.13250220533*Deflactores!$S$5</f>
        <v>3705.2818092264506</v>
      </c>
    </row>
    <row r="235" spans="2:22" x14ac:dyDescent="0.2">
      <c r="C235" s="87" t="s">
        <v>151</v>
      </c>
      <c r="D235" s="56">
        <f>77.86727215901*Deflactores!$A$5</f>
        <v>289.95537161061128</v>
      </c>
      <c r="E235" s="56">
        <f>39.32383661224*Deflactores!$B$5</f>
        <v>136.02692763124921</v>
      </c>
      <c r="F235" s="56">
        <f>72.92030603935*Deflactores!$C$5</f>
        <v>235.75821281593446</v>
      </c>
      <c r="G235" s="56">
        <f>51.2757556073*Deflactores!$D$5</f>
        <v>155.67398261240001</v>
      </c>
      <c r="H235" s="56">
        <f>18.88626598919*Deflactores!$E$5</f>
        <v>54.351311730564476</v>
      </c>
      <c r="I235" s="56">
        <f>31.16586500318*Deflactores!$F$5</f>
        <v>85.536856050639813</v>
      </c>
      <c r="J235" s="56">
        <f>118.88193252504*Deflactores!$G$5</f>
        <v>312.29520702170413</v>
      </c>
      <c r="K235" s="56">
        <f>289.18471412849*Deflactores!$H$5</f>
        <v>718.74124302828329</v>
      </c>
      <c r="L235" s="56">
        <f>211.56625805128*Deflactores!$I$5</f>
        <v>488.35011368502256</v>
      </c>
      <c r="M235" s="56">
        <f>247.00716585591*Deflactores!$J$5</f>
        <v>558.96751768250374</v>
      </c>
      <c r="N235" s="56">
        <f>184.41300274062*Deflactores!$K$5</f>
        <v>404.49204275286104</v>
      </c>
      <c r="O235" s="56">
        <f>790.50118307173*Deflactores!$L$5</f>
        <v>1671.592708546772</v>
      </c>
      <c r="P235" s="56">
        <f>2083.90812294276*Deflactores!$M$5</f>
        <v>4301.6685229965515</v>
      </c>
      <c r="Q235" s="56">
        <f>2012.63460090615*Deflactores!$N$5</f>
        <v>4075.4791866207706</v>
      </c>
      <c r="R235" s="56">
        <f>2229.53886662889*Deflactores!$O$5</f>
        <v>4355.2951127339647</v>
      </c>
      <c r="S235" s="56">
        <f>2130.09994283383*Deflactores!$P$5</f>
        <v>3897.2052443505468</v>
      </c>
      <c r="T235" s="56">
        <f>2067.46919018956*Deflactores!$Q$5</f>
        <v>3576.9425743239794</v>
      </c>
      <c r="U235" s="56">
        <f>2294.6695789907*Deflactores!$R$5</f>
        <v>3814.0297046772498</v>
      </c>
      <c r="V235" s="56">
        <f>2303.41686545827*Deflactores!$S$5</f>
        <v>3710.5725876508855</v>
      </c>
    </row>
    <row r="236" spans="2:22" x14ac:dyDescent="0.2">
      <c r="C236" s="79" t="s">
        <v>152</v>
      </c>
      <c r="D236" s="44">
        <f t="shared" ref="D236:V236" si="63">+SUM(D207:D235)</f>
        <v>86857.926566119902</v>
      </c>
      <c r="E236" s="44">
        <f t="shared" si="63"/>
        <v>106908.949940687</v>
      </c>
      <c r="F236" s="44">
        <f t="shared" si="63"/>
        <v>102995.29987918916</v>
      </c>
      <c r="G236" s="44">
        <f t="shared" si="63"/>
        <v>104610.10151567505</v>
      </c>
      <c r="H236" s="44">
        <f t="shared" si="63"/>
        <v>115720.8337068135</v>
      </c>
      <c r="I236" s="44">
        <f t="shared" si="63"/>
        <v>131239.15545614989</v>
      </c>
      <c r="J236" s="44">
        <f t="shared" si="63"/>
        <v>137110.69366629468</v>
      </c>
      <c r="K236" s="44">
        <f t="shared" si="63"/>
        <v>154183.67991472426</v>
      </c>
      <c r="L236" s="44">
        <f t="shared" si="63"/>
        <v>160772.37246567468</v>
      </c>
      <c r="M236" s="44">
        <f t="shared" si="63"/>
        <v>181167.04217640104</v>
      </c>
      <c r="N236" s="44">
        <f t="shared" si="63"/>
        <v>174635.14292514801</v>
      </c>
      <c r="O236" s="44">
        <f t="shared" si="63"/>
        <v>184925.94891422798</v>
      </c>
      <c r="P236" s="44">
        <f t="shared" si="63"/>
        <v>198960.06611285324</v>
      </c>
      <c r="Q236" s="44">
        <f t="shared" si="63"/>
        <v>221955.2960105775</v>
      </c>
      <c r="R236" s="44">
        <f t="shared" si="63"/>
        <v>238614.56717586151</v>
      </c>
      <c r="S236" s="44">
        <f t="shared" si="63"/>
        <v>236150.95291743844</v>
      </c>
      <c r="T236" s="44">
        <f t="shared" si="63"/>
        <v>229780.27165456262</v>
      </c>
      <c r="U236" s="44">
        <f t="shared" si="63"/>
        <v>244955.05576811894</v>
      </c>
      <c r="V236" s="44">
        <f t="shared" si="63"/>
        <v>250620.44113496461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55" t="s">
        <v>170</v>
      </c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</row>
    <row r="243" spans="3:22" ht="2.25" customHeight="1" x14ac:dyDescent="0.2">
      <c r="H243" s="27"/>
      <c r="I243" s="27"/>
      <c r="J243" s="27"/>
      <c r="L243" s="177"/>
      <c r="M243" s="156"/>
      <c r="N243" s="156"/>
      <c r="O243" s="156"/>
      <c r="P243" s="156"/>
      <c r="Q243" s="156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6" t="s">
        <v>120</v>
      </c>
      <c r="D245" s="180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60"/>
      <c r="D246" s="181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+IFERROR(IF(D207&gt;0,+((D207/D13)*100)," "),"")</f>
        <v>60.558432039761669</v>
      </c>
      <c r="E247" s="60">
        <f t="shared" si="64"/>
        <v>64.134939515966764</v>
      </c>
      <c r="F247" s="60">
        <f t="shared" si="64"/>
        <v>57.448225412780573</v>
      </c>
      <c r="G247" s="60">
        <f t="shared" si="64"/>
        <v>66.04440873902729</v>
      </c>
      <c r="H247" s="60">
        <f t="shared" si="64"/>
        <v>66.909137146283442</v>
      </c>
      <c r="I247" s="60">
        <f t="shared" si="64"/>
        <v>72.499796093908301</v>
      </c>
      <c r="J247" s="60">
        <f t="shared" si="64"/>
        <v>78.843525054228309</v>
      </c>
      <c r="K247" s="60">
        <f t="shared" si="64"/>
        <v>88.962707240891262</v>
      </c>
      <c r="L247" s="60">
        <f t="shared" si="64"/>
        <v>91.742175995044818</v>
      </c>
      <c r="M247" s="60">
        <f t="shared" si="64"/>
        <v>76.693135861223283</v>
      </c>
      <c r="N247" s="60">
        <f t="shared" si="64"/>
        <v>77.3220112789528</v>
      </c>
      <c r="O247" s="60">
        <f t="shared" si="64"/>
        <v>77.887072035724131</v>
      </c>
      <c r="P247" s="60">
        <f t="shared" si="64"/>
        <v>61.65183267842648</v>
      </c>
      <c r="Q247" s="60">
        <f t="shared" si="64"/>
        <v>67.748590295107448</v>
      </c>
      <c r="R247" s="60">
        <f t="shared" si="64"/>
        <v>56.596500728448532</v>
      </c>
      <c r="S247" s="60">
        <f t="shared" si="64"/>
        <v>58.667362524820831</v>
      </c>
      <c r="T247" s="60">
        <f t="shared" si="64"/>
        <v>49.79322094147556</v>
      </c>
      <c r="U247" s="60">
        <f t="shared" si="64"/>
        <v>60.179376714732143</v>
      </c>
      <c r="V247" s="60">
        <f t="shared" si="64"/>
        <v>59.671461937919588</v>
      </c>
    </row>
    <row r="248" spans="3:22" x14ac:dyDescent="0.2">
      <c r="C248" s="88" t="s">
        <v>124</v>
      </c>
      <c r="D248" s="62">
        <f t="shared" ref="D248:V248" si="65">+IFERROR(IF(D208&gt;0,+((D208/D14)*100)," "),"")</f>
        <v>61.526473698861182</v>
      </c>
      <c r="E248" s="62">
        <f t="shared" si="65"/>
        <v>73.129208761288481</v>
      </c>
      <c r="F248" s="62">
        <f t="shared" si="65"/>
        <v>68.450297627886812</v>
      </c>
      <c r="G248" s="62">
        <f t="shared" si="65"/>
        <v>64.167827009030901</v>
      </c>
      <c r="H248" s="62">
        <f t="shared" si="65"/>
        <v>40.091705178063037</v>
      </c>
      <c r="I248" s="62">
        <f t="shared" si="65"/>
        <v>52.223646494217704</v>
      </c>
      <c r="J248" s="62">
        <f t="shared" si="65"/>
        <v>45.794648712121052</v>
      </c>
      <c r="K248" s="62">
        <f t="shared" si="65"/>
        <v>81.022714849805283</v>
      </c>
      <c r="L248" s="62">
        <f t="shared" si="65"/>
        <v>79.7197265409403</v>
      </c>
      <c r="M248" s="62">
        <f t="shared" si="65"/>
        <v>79.535760351874828</v>
      </c>
      <c r="N248" s="62">
        <f t="shared" si="65"/>
        <v>83.973858605713588</v>
      </c>
      <c r="O248" s="62">
        <f t="shared" si="65"/>
        <v>95.165061762173679</v>
      </c>
      <c r="P248" s="62">
        <f t="shared" si="65"/>
        <v>75.695719488073678</v>
      </c>
      <c r="Q248" s="62">
        <f t="shared" si="65"/>
        <v>65.948380313132176</v>
      </c>
      <c r="R248" s="62">
        <f t="shared" si="65"/>
        <v>70.967390417052925</v>
      </c>
      <c r="S248" s="62">
        <f t="shared" si="65"/>
        <v>63.05625038546664</v>
      </c>
      <c r="T248" s="62">
        <f t="shared" si="65"/>
        <v>63.761273591394819</v>
      </c>
      <c r="U248" s="62">
        <f t="shared" si="65"/>
        <v>66.260697931766572</v>
      </c>
      <c r="V248" s="62">
        <f t="shared" si="65"/>
        <v>73.452753969334054</v>
      </c>
    </row>
    <row r="249" spans="3:22" x14ac:dyDescent="0.2">
      <c r="C249" s="87" t="s">
        <v>125</v>
      </c>
      <c r="D249" s="60">
        <f t="shared" ref="D249:V249" si="66">+IFERROR(IF(D209&gt;0,+((D209/D15)*100)," "),"")</f>
        <v>69.628415835971552</v>
      </c>
      <c r="E249" s="60">
        <f t="shared" si="66"/>
        <v>54.31813908005396</v>
      </c>
      <c r="F249" s="60">
        <f t="shared" si="66"/>
        <v>32.139050436040577</v>
      </c>
      <c r="G249" s="60">
        <f t="shared" si="66"/>
        <v>31.464833281295778</v>
      </c>
      <c r="H249" s="60">
        <f t="shared" si="66"/>
        <v>59.402299137632617</v>
      </c>
      <c r="I249" s="60">
        <f t="shared" si="66"/>
        <v>55.22782501762277</v>
      </c>
      <c r="J249" s="60">
        <f t="shared" si="66"/>
        <v>51.654442797752687</v>
      </c>
      <c r="K249" s="60">
        <f t="shared" si="66"/>
        <v>75.162586471605778</v>
      </c>
      <c r="L249" s="60">
        <f t="shared" si="66"/>
        <v>65.866731564466917</v>
      </c>
      <c r="M249" s="60">
        <f t="shared" si="66"/>
        <v>39.686104806792422</v>
      </c>
      <c r="N249" s="60">
        <f t="shared" si="66"/>
        <v>61.83890326328283</v>
      </c>
      <c r="O249" s="60">
        <f t="shared" si="66"/>
        <v>61.729374805515512</v>
      </c>
      <c r="P249" s="60">
        <f t="shared" si="66"/>
        <v>73.926304972042956</v>
      </c>
      <c r="Q249" s="60">
        <f t="shared" si="66"/>
        <v>86.366437864929892</v>
      </c>
      <c r="R249" s="60">
        <f t="shared" si="66"/>
        <v>79.652372022858003</v>
      </c>
      <c r="S249" s="60">
        <f t="shared" si="66"/>
        <v>50.229519732575987</v>
      </c>
      <c r="T249" s="60">
        <f t="shared" si="66"/>
        <v>79.50028603256149</v>
      </c>
      <c r="U249" s="60">
        <f t="shared" si="66"/>
        <v>88.303703006560724</v>
      </c>
      <c r="V249" s="60">
        <f t="shared" si="66"/>
        <v>62.015615686145033</v>
      </c>
    </row>
    <row r="250" spans="3:22" x14ac:dyDescent="0.2">
      <c r="C250" s="88" t="s">
        <v>126</v>
      </c>
      <c r="D250" s="62">
        <f t="shared" ref="D250:V250" si="67">+IFERROR(IF(D210&gt;0,+((D210/D16)*100)," "),"")</f>
        <v>46.880682319222402</v>
      </c>
      <c r="E250" s="62">
        <f t="shared" si="67"/>
        <v>58.235305738613732</v>
      </c>
      <c r="F250" s="62">
        <f t="shared" si="67"/>
        <v>51.772486518118853</v>
      </c>
      <c r="G250" s="62">
        <f t="shared" si="67"/>
        <v>71.321261180946877</v>
      </c>
      <c r="H250" s="62">
        <f t="shared" si="67"/>
        <v>75.397286945014102</v>
      </c>
      <c r="I250" s="62">
        <f t="shared" si="67"/>
        <v>77.617334114200943</v>
      </c>
      <c r="J250" s="62">
        <f t="shared" si="67"/>
        <v>68.246512743157965</v>
      </c>
      <c r="K250" s="62">
        <f t="shared" si="67"/>
        <v>85.251229563472165</v>
      </c>
      <c r="L250" s="62">
        <f t="shared" si="67"/>
        <v>85.338131432709702</v>
      </c>
      <c r="M250" s="62">
        <f t="shared" si="67"/>
        <v>76.552403909072439</v>
      </c>
      <c r="N250" s="62">
        <f t="shared" si="67"/>
        <v>74.710143463753923</v>
      </c>
      <c r="O250" s="62">
        <f t="shared" si="67"/>
        <v>90.38184132326947</v>
      </c>
      <c r="P250" s="62">
        <f t="shared" si="67"/>
        <v>89.063665535987866</v>
      </c>
      <c r="Q250" s="62">
        <f t="shared" si="67"/>
        <v>69.795703661022813</v>
      </c>
      <c r="R250" s="62">
        <f t="shared" si="67"/>
        <v>73.278895614592699</v>
      </c>
      <c r="S250" s="62">
        <f t="shared" si="67"/>
        <v>74.438850579404715</v>
      </c>
      <c r="T250" s="62">
        <f t="shared" si="67"/>
        <v>73.809002502129061</v>
      </c>
      <c r="U250" s="62">
        <f t="shared" si="67"/>
        <v>71.889167769465146</v>
      </c>
      <c r="V250" s="62">
        <f t="shared" si="67"/>
        <v>83.413838878747399</v>
      </c>
    </row>
    <row r="251" spans="3:22" x14ac:dyDescent="0.2">
      <c r="C251" s="87" t="s">
        <v>127</v>
      </c>
      <c r="D251" s="60">
        <f t="shared" ref="D251:V251" si="68">+IFERROR(IF(D211&gt;0,+((D211/D17)*100)," "),"")</f>
        <v>83.645771919463229</v>
      </c>
      <c r="E251" s="60">
        <f t="shared" si="68"/>
        <v>79.068846529736561</v>
      </c>
      <c r="F251" s="60">
        <f t="shared" si="68"/>
        <v>93.294313025223659</v>
      </c>
      <c r="G251" s="60">
        <f t="shared" si="68"/>
        <v>87.723321854074712</v>
      </c>
      <c r="H251" s="60">
        <f t="shared" si="68"/>
        <v>92.166551913861099</v>
      </c>
      <c r="I251" s="60">
        <f t="shared" si="68"/>
        <v>93.607985295995604</v>
      </c>
      <c r="J251" s="60">
        <f t="shared" si="68"/>
        <v>91.06355261593248</v>
      </c>
      <c r="K251" s="60">
        <f t="shared" si="68"/>
        <v>97.002818481250415</v>
      </c>
      <c r="L251" s="60">
        <f t="shared" si="68"/>
        <v>92.736766616361919</v>
      </c>
      <c r="M251" s="60">
        <f t="shared" si="68"/>
        <v>93.293641117560711</v>
      </c>
      <c r="N251" s="60">
        <f t="shared" si="68"/>
        <v>93.620951287597237</v>
      </c>
      <c r="O251" s="60">
        <f t="shared" si="68"/>
        <v>85.84881792754507</v>
      </c>
      <c r="P251" s="60">
        <f t="shared" si="68"/>
        <v>86.72192889044922</v>
      </c>
      <c r="Q251" s="60">
        <f t="shared" si="68"/>
        <v>88.006353443457584</v>
      </c>
      <c r="R251" s="60">
        <f t="shared" si="68"/>
        <v>93.139272443582485</v>
      </c>
      <c r="S251" s="60">
        <f t="shared" si="68"/>
        <v>94.495492583143104</v>
      </c>
      <c r="T251" s="60">
        <f t="shared" si="68"/>
        <v>95.81251351996994</v>
      </c>
      <c r="U251" s="60">
        <f t="shared" si="68"/>
        <v>94.480314855932889</v>
      </c>
      <c r="V251" s="60">
        <f t="shared" si="68"/>
        <v>92.267871381005762</v>
      </c>
    </row>
    <row r="252" spans="3:22" x14ac:dyDescent="0.2">
      <c r="C252" s="88" t="s">
        <v>128</v>
      </c>
      <c r="D252" s="62">
        <f t="shared" ref="D252:V252" si="69">+IFERROR(IF(D212&gt;0,+((D212/D18)*100)," "),"")</f>
        <v>57.193312444304588</v>
      </c>
      <c r="E252" s="62">
        <f t="shared" si="69"/>
        <v>76.22838639543501</v>
      </c>
      <c r="F252" s="62">
        <f t="shared" si="69"/>
        <v>66.386158174499883</v>
      </c>
      <c r="G252" s="62">
        <f t="shared" si="69"/>
        <v>76.235976161791953</v>
      </c>
      <c r="H252" s="62">
        <f t="shared" si="69"/>
        <v>71.143325487500277</v>
      </c>
      <c r="I252" s="62">
        <f t="shared" si="69"/>
        <v>82.021559741683348</v>
      </c>
      <c r="J252" s="62">
        <f t="shared" si="69"/>
        <v>84.908128720975498</v>
      </c>
      <c r="K252" s="62">
        <f t="shared" si="69"/>
        <v>79.511451805535202</v>
      </c>
      <c r="L252" s="62">
        <f t="shared" si="69"/>
        <v>81.026293630795152</v>
      </c>
      <c r="M252" s="62">
        <f t="shared" si="69"/>
        <v>82.768226569274532</v>
      </c>
      <c r="N252" s="62">
        <f t="shared" si="69"/>
        <v>86.094885673517965</v>
      </c>
      <c r="O252" s="62">
        <f t="shared" si="69"/>
        <v>84.689982796359914</v>
      </c>
      <c r="P252" s="62">
        <f t="shared" si="69"/>
        <v>79.480413978268572</v>
      </c>
      <c r="Q252" s="62">
        <f t="shared" si="69"/>
        <v>84.508733288464441</v>
      </c>
      <c r="R252" s="62">
        <f t="shared" si="69"/>
        <v>87.35020823899103</v>
      </c>
      <c r="S252" s="62">
        <f t="shared" si="69"/>
        <v>83.813665331567506</v>
      </c>
      <c r="T252" s="62">
        <f t="shared" si="69"/>
        <v>80.909491033883143</v>
      </c>
      <c r="U252" s="62">
        <f t="shared" si="69"/>
        <v>79.143946452971349</v>
      </c>
      <c r="V252" s="62">
        <f t="shared" si="69"/>
        <v>89.909665026792425</v>
      </c>
    </row>
    <row r="253" spans="3:22" x14ac:dyDescent="0.2">
      <c r="C253" s="87" t="s">
        <v>129</v>
      </c>
      <c r="D253" s="60">
        <f t="shared" ref="D253:V253" si="70">+IFERROR(IF(D213&gt;0,+((D213/D19)*100)," "),"")</f>
        <v>84.768108700095169</v>
      </c>
      <c r="E253" s="60">
        <f t="shared" si="70"/>
        <v>87.275678255743429</v>
      </c>
      <c r="F253" s="60">
        <f t="shared" si="70"/>
        <v>84.653931946080277</v>
      </c>
      <c r="G253" s="60">
        <f t="shared" si="70"/>
        <v>84.869930804148538</v>
      </c>
      <c r="H253" s="60">
        <f t="shared" si="70"/>
        <v>82.267660258211407</v>
      </c>
      <c r="I253" s="60">
        <f t="shared" si="70"/>
        <v>85.69346208571352</v>
      </c>
      <c r="J253" s="60">
        <f t="shared" si="70"/>
        <v>88.981984867179165</v>
      </c>
      <c r="K253" s="60">
        <f t="shared" si="70"/>
        <v>94.022601263818927</v>
      </c>
      <c r="L253" s="60">
        <f t="shared" si="70"/>
        <v>94.014198707444791</v>
      </c>
      <c r="M253" s="60">
        <f t="shared" si="70"/>
        <v>90.235940472045769</v>
      </c>
      <c r="N253" s="60">
        <f t="shared" si="70"/>
        <v>91.125413638967615</v>
      </c>
      <c r="O253" s="60">
        <f t="shared" si="70"/>
        <v>92.596015552954398</v>
      </c>
      <c r="P253" s="60">
        <f t="shared" si="70"/>
        <v>93.621841137820937</v>
      </c>
      <c r="Q253" s="60">
        <f t="shared" si="70"/>
        <v>93.479915371663225</v>
      </c>
      <c r="R253" s="60">
        <f t="shared" si="70"/>
        <v>92.4636275571916</v>
      </c>
      <c r="S253" s="60">
        <f t="shared" si="70"/>
        <v>92.979049699658972</v>
      </c>
      <c r="T253" s="60">
        <f t="shared" si="70"/>
        <v>92.687649121969386</v>
      </c>
      <c r="U253" s="60">
        <f t="shared" si="70"/>
        <v>93.785006252944044</v>
      </c>
      <c r="V253" s="60">
        <f t="shared" si="70"/>
        <v>95.395462852346441</v>
      </c>
    </row>
    <row r="254" spans="3:22" x14ac:dyDescent="0.2">
      <c r="C254" s="88" t="s">
        <v>130</v>
      </c>
      <c r="D254" s="62">
        <f t="shared" ref="D254:V254" si="71">+IFERROR(IF(D214&gt;0,+((D214/D20)*100)," "),"")</f>
        <v>49.846533535385987</v>
      </c>
      <c r="E254" s="62">
        <f t="shared" si="71"/>
        <v>61.031837970936955</v>
      </c>
      <c r="F254" s="62">
        <f t="shared" si="71"/>
        <v>41.590071396535784</v>
      </c>
      <c r="G254" s="62">
        <f t="shared" si="71"/>
        <v>57.443918420146623</v>
      </c>
      <c r="H254" s="62">
        <f t="shared" si="71"/>
        <v>85.279947383371677</v>
      </c>
      <c r="I254" s="62">
        <f t="shared" si="71"/>
        <v>88.019347087528459</v>
      </c>
      <c r="J254" s="62">
        <f t="shared" si="71"/>
        <v>92.08985617517456</v>
      </c>
      <c r="K254" s="62">
        <f t="shared" si="71"/>
        <v>85.86447539404179</v>
      </c>
      <c r="L254" s="62">
        <f t="shared" si="71"/>
        <v>91.983978137339989</v>
      </c>
      <c r="M254" s="62">
        <f t="shared" si="71"/>
        <v>84.519284728193838</v>
      </c>
      <c r="N254" s="62">
        <f t="shared" si="71"/>
        <v>87.013998559773711</v>
      </c>
      <c r="O254" s="62">
        <f t="shared" si="71"/>
        <v>81.617449774145214</v>
      </c>
      <c r="P254" s="62">
        <f t="shared" si="71"/>
        <v>62.89149508261864</v>
      </c>
      <c r="Q254" s="62">
        <f t="shared" si="71"/>
        <v>71.506263902798068</v>
      </c>
      <c r="R254" s="62">
        <f t="shared" si="71"/>
        <v>70.965776838655188</v>
      </c>
      <c r="S254" s="62">
        <f t="shared" si="71"/>
        <v>80.725902740907074</v>
      </c>
      <c r="T254" s="62">
        <f t="shared" si="71"/>
        <v>54.99737720867104</v>
      </c>
      <c r="U254" s="62">
        <f t="shared" si="71"/>
        <v>60.760628225669144</v>
      </c>
      <c r="V254" s="62">
        <f t="shared" si="71"/>
        <v>70.786797847004763</v>
      </c>
    </row>
    <row r="255" spans="3:22" x14ac:dyDescent="0.2">
      <c r="C255" s="87" t="s">
        <v>131</v>
      </c>
      <c r="D255" s="60">
        <f t="shared" ref="D255:V255" si="72">+IFERROR(IF(D215&gt;0,+((D215/D21)*100)," "),"")</f>
        <v>88.50515733010576</v>
      </c>
      <c r="E255" s="60">
        <f t="shared" si="72"/>
        <v>95.339107732018974</v>
      </c>
      <c r="F255" s="60">
        <f t="shared" si="72"/>
        <v>94.452671658127613</v>
      </c>
      <c r="G255" s="60">
        <f t="shared" si="72"/>
        <v>95.529951461301778</v>
      </c>
      <c r="H255" s="60">
        <f t="shared" si="72"/>
        <v>96.292341322352129</v>
      </c>
      <c r="I255" s="60">
        <f t="shared" si="72"/>
        <v>97.519017059970921</v>
      </c>
      <c r="J255" s="60">
        <f t="shared" si="72"/>
        <v>97.216001469560126</v>
      </c>
      <c r="K255" s="60">
        <f t="shared" si="72"/>
        <v>98.479274450918155</v>
      </c>
      <c r="L255" s="60">
        <f t="shared" si="72"/>
        <v>95.799197880510363</v>
      </c>
      <c r="M255" s="60">
        <f t="shared" si="72"/>
        <v>96.880497229958706</v>
      </c>
      <c r="N255" s="60">
        <f t="shared" si="72"/>
        <v>95.280005616061374</v>
      </c>
      <c r="O255" s="60">
        <f t="shared" si="72"/>
        <v>97.590296623643042</v>
      </c>
      <c r="P255" s="60">
        <f t="shared" si="72"/>
        <v>95.510494092177552</v>
      </c>
      <c r="Q255" s="60">
        <f t="shared" si="72"/>
        <v>97.009600513432616</v>
      </c>
      <c r="R255" s="60">
        <f t="shared" si="72"/>
        <v>96.83907611611906</v>
      </c>
      <c r="S255" s="60">
        <f t="shared" si="72"/>
        <v>98.808608717103965</v>
      </c>
      <c r="T255" s="60">
        <f t="shared" si="72"/>
        <v>98.236007416762007</v>
      </c>
      <c r="U255" s="60">
        <f t="shared" si="72"/>
        <v>99.344088065511443</v>
      </c>
      <c r="V255" s="60">
        <f t="shared" si="72"/>
        <v>99.064013832479375</v>
      </c>
    </row>
    <row r="256" spans="3:22" x14ac:dyDescent="0.2">
      <c r="C256" s="88" t="s">
        <v>132</v>
      </c>
      <c r="D256" s="62">
        <f t="shared" ref="D256:V256" si="73">+IFERROR(IF(D216&gt;0,+((D216/D22)*100),"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75.633966708202564</v>
      </c>
      <c r="I256" s="62">
        <f t="shared" si="73"/>
        <v>50.766885935465957</v>
      </c>
      <c r="J256" s="62">
        <f t="shared" si="73"/>
        <v>82.110286808680215</v>
      </c>
      <c r="K256" s="62">
        <f t="shared" si="73"/>
        <v>78.563660894055914</v>
      </c>
      <c r="L256" s="62">
        <f t="shared" si="73"/>
        <v>83.256939029554275</v>
      </c>
      <c r="M256" s="62">
        <f t="shared" si="73"/>
        <v>83.802866820472389</v>
      </c>
      <c r="N256" s="62">
        <f t="shared" si="73"/>
        <v>67.887434835170396</v>
      </c>
      <c r="O256" s="62">
        <f t="shared" si="73"/>
        <v>79.579608102393976</v>
      </c>
      <c r="P256" s="62">
        <f t="shared" si="73"/>
        <v>87.751199258943245</v>
      </c>
      <c r="Q256" s="62">
        <f t="shared" si="73"/>
        <v>90.412716448276171</v>
      </c>
      <c r="R256" s="62">
        <f t="shared" si="73"/>
        <v>91.116006672230171</v>
      </c>
      <c r="S256" s="62">
        <f t="shared" si="73"/>
        <v>91.938891077115329</v>
      </c>
      <c r="T256" s="62">
        <f t="shared" si="73"/>
        <v>88.35365800480271</v>
      </c>
      <c r="U256" s="62">
        <f t="shared" si="73"/>
        <v>90.759088643866519</v>
      </c>
      <c r="V256" s="62">
        <f t="shared" si="73"/>
        <v>86.016187211069649</v>
      </c>
    </row>
    <row r="257" spans="3:22" x14ac:dyDescent="0.2">
      <c r="C257" s="87" t="s">
        <v>133</v>
      </c>
      <c r="D257" s="60">
        <f t="shared" ref="D257:V257" si="74">+IFERROR(IF(D217&gt;0,+((D217/D23)*100)," "),"")</f>
        <v>86.201212313194688</v>
      </c>
      <c r="E257" s="60">
        <f t="shared" si="74"/>
        <v>93.925680245370302</v>
      </c>
      <c r="F257" s="60">
        <f t="shared" si="74"/>
        <v>90.04952372112281</v>
      </c>
      <c r="G257" s="60">
        <f t="shared" si="74"/>
        <v>89.710701397539623</v>
      </c>
      <c r="H257" s="60">
        <f t="shared" si="74"/>
        <v>92.420558067429781</v>
      </c>
      <c r="I257" s="60">
        <f t="shared" si="74"/>
        <v>95.027470546618005</v>
      </c>
      <c r="J257" s="60">
        <f t="shared" si="74"/>
        <v>93.039644514042777</v>
      </c>
      <c r="K257" s="60">
        <f t="shared" si="74"/>
        <v>92.127157731411302</v>
      </c>
      <c r="L257" s="60">
        <f t="shared" si="74"/>
        <v>91.44561148394655</v>
      </c>
      <c r="M257" s="60">
        <f t="shared" si="74"/>
        <v>91.704488753882103</v>
      </c>
      <c r="N257" s="60">
        <f t="shared" si="74"/>
        <v>87.096392815106014</v>
      </c>
      <c r="O257" s="60">
        <f t="shared" si="74"/>
        <v>87.671826496367416</v>
      </c>
      <c r="P257" s="60">
        <f t="shared" si="74"/>
        <v>87.297885247344624</v>
      </c>
      <c r="Q257" s="60">
        <f t="shared" si="74"/>
        <v>89.733642732878522</v>
      </c>
      <c r="R257" s="60">
        <f t="shared" si="74"/>
        <v>86.839931155901269</v>
      </c>
      <c r="S257" s="60">
        <f t="shared" si="74"/>
        <v>85.00088850495878</v>
      </c>
      <c r="T257" s="60">
        <f t="shared" si="74"/>
        <v>89.118212270750675</v>
      </c>
      <c r="U257" s="60">
        <f t="shared" si="74"/>
        <v>90.505479856374365</v>
      </c>
      <c r="V257" s="60">
        <f t="shared" si="74"/>
        <v>92.012412330653532</v>
      </c>
    </row>
    <row r="258" spans="3:22" x14ac:dyDescent="0.2">
      <c r="C258" s="88" t="s">
        <v>134</v>
      </c>
      <c r="D258" s="62">
        <f t="shared" ref="D258:V258" si="75">+IFERROR(IF(D218&gt;0,+((D218/D24)*100)," "),"")</f>
        <v>69.259634051327637</v>
      </c>
      <c r="E258" s="62">
        <f t="shared" si="75"/>
        <v>83.256716273863319</v>
      </c>
      <c r="F258" s="62">
        <f t="shared" si="75"/>
        <v>79.092298141674334</v>
      </c>
      <c r="G258" s="62">
        <f t="shared" si="75"/>
        <v>85.108618662368514</v>
      </c>
      <c r="H258" s="62">
        <f t="shared" si="75"/>
        <v>78.33359179534412</v>
      </c>
      <c r="I258" s="62">
        <f t="shared" si="75"/>
        <v>82.204285058523197</v>
      </c>
      <c r="J258" s="62">
        <f t="shared" si="75"/>
        <v>83.169511521474135</v>
      </c>
      <c r="K258" s="62">
        <f t="shared" si="75"/>
        <v>79.272707941411269</v>
      </c>
      <c r="L258" s="62">
        <f t="shared" si="75"/>
        <v>75.474047097820332</v>
      </c>
      <c r="M258" s="62">
        <f t="shared" si="75"/>
        <v>70.338247795043586</v>
      </c>
      <c r="N258" s="62">
        <f t="shared" si="75"/>
        <v>70.908765483370956</v>
      </c>
      <c r="O258" s="62">
        <f t="shared" si="75"/>
        <v>80.650553173380729</v>
      </c>
      <c r="P258" s="62">
        <f t="shared" si="75"/>
        <v>70.872591516034035</v>
      </c>
      <c r="Q258" s="62">
        <f t="shared" si="75"/>
        <v>53.480779577323837</v>
      </c>
      <c r="R258" s="62">
        <f t="shared" si="75"/>
        <v>60.719003455426432</v>
      </c>
      <c r="S258" s="62">
        <f t="shared" si="75"/>
        <v>76.026931900427726</v>
      </c>
      <c r="T258" s="62">
        <f t="shared" si="75"/>
        <v>83.688532166491257</v>
      </c>
      <c r="U258" s="62">
        <f t="shared" si="75"/>
        <v>87.995784081651536</v>
      </c>
      <c r="V258" s="62">
        <f t="shared" si="75"/>
        <v>82.577464791444129</v>
      </c>
    </row>
    <row r="259" spans="3:22" x14ac:dyDescent="0.2">
      <c r="C259" s="87" t="s">
        <v>135</v>
      </c>
      <c r="D259" s="60" t="str">
        <f t="shared" ref="D259:V259" si="76">+IFERROR(IF(D219&gt;0,+((D219/D25)*100),"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+IFERROR(IF(D220&gt;0,+((D220/D26)*100)," "),"")</f>
        <v>56.837414030097946</v>
      </c>
      <c r="E260" s="62">
        <f t="shared" si="77"/>
        <v>76.281734165524654</v>
      </c>
      <c r="F260" s="62">
        <f t="shared" si="77"/>
        <v>49.353118852164634</v>
      </c>
      <c r="G260" s="62">
        <f t="shared" si="77"/>
        <v>50.343387146961781</v>
      </c>
      <c r="H260" s="62">
        <f t="shared" si="77"/>
        <v>53.636971429931748</v>
      </c>
      <c r="I260" s="62">
        <f t="shared" si="77"/>
        <v>60.328682213992245</v>
      </c>
      <c r="J260" s="62">
        <f t="shared" si="77"/>
        <v>66.870780478645614</v>
      </c>
      <c r="K260" s="62">
        <f t="shared" si="77"/>
        <v>80.354616213380268</v>
      </c>
      <c r="L260" s="62">
        <f t="shared" si="77"/>
        <v>75.058028886772007</v>
      </c>
      <c r="M260" s="62">
        <f t="shared" si="77"/>
        <v>78.427935636178745</v>
      </c>
      <c r="N260" s="62">
        <f t="shared" si="77"/>
        <v>82.071855564601336</v>
      </c>
      <c r="O260" s="62">
        <f t="shared" si="77"/>
        <v>81.752399783893352</v>
      </c>
      <c r="P260" s="62">
        <f t="shared" si="77"/>
        <v>73.532895877391084</v>
      </c>
      <c r="Q260" s="62">
        <f t="shared" si="77"/>
        <v>82.890539512225217</v>
      </c>
      <c r="R260" s="62">
        <f t="shared" si="77"/>
        <v>88.570438401719528</v>
      </c>
      <c r="S260" s="62">
        <f t="shared" si="77"/>
        <v>92.352099224400533</v>
      </c>
      <c r="T260" s="62">
        <f t="shared" si="77"/>
        <v>79.815470904834214</v>
      </c>
      <c r="U260" s="62">
        <f t="shared" si="77"/>
        <v>86.585982099320887</v>
      </c>
      <c r="V260" s="62">
        <f t="shared" si="77"/>
        <v>91.370822139430203</v>
      </c>
    </row>
    <row r="261" spans="3:22" x14ac:dyDescent="0.2">
      <c r="C261" s="87" t="s">
        <v>137</v>
      </c>
      <c r="D261" s="60">
        <f t="shared" ref="D261:V261" si="78">+IFERROR(IF(D221&gt;0,+((D221/D27)*100)," "),"")</f>
        <v>63.718949726362162</v>
      </c>
      <c r="E261" s="60">
        <f t="shared" si="78"/>
        <v>84.167017721970865</v>
      </c>
      <c r="F261" s="60">
        <f t="shared" si="78"/>
        <v>67.385579483135373</v>
      </c>
      <c r="G261" s="60">
        <f t="shared" si="78"/>
        <v>79.191774903584189</v>
      </c>
      <c r="H261" s="60">
        <f t="shared" si="78"/>
        <v>78.446080197926122</v>
      </c>
      <c r="I261" s="60">
        <f t="shared" si="78"/>
        <v>80.526665111008384</v>
      </c>
      <c r="J261" s="60">
        <f t="shared" si="78"/>
        <v>96.58259568308857</v>
      </c>
      <c r="K261" s="60">
        <f t="shared" si="78"/>
        <v>75.310451734960026</v>
      </c>
      <c r="L261" s="60">
        <f t="shared" si="78"/>
        <v>87.94457247508619</v>
      </c>
      <c r="M261" s="60">
        <f t="shared" si="78"/>
        <v>83.314748984347105</v>
      </c>
      <c r="N261" s="60">
        <f t="shared" si="78"/>
        <v>81.308069786116462</v>
      </c>
      <c r="O261" s="60">
        <f t="shared" si="78"/>
        <v>87.416238883834325</v>
      </c>
      <c r="P261" s="60">
        <f t="shared" si="78"/>
        <v>79.849996206483098</v>
      </c>
      <c r="Q261" s="60">
        <f t="shared" si="78"/>
        <v>73.836938642305839</v>
      </c>
      <c r="R261" s="60">
        <f t="shared" si="78"/>
        <v>83.068754029692158</v>
      </c>
      <c r="S261" s="60">
        <f t="shared" si="78"/>
        <v>81.113463153312068</v>
      </c>
      <c r="T261" s="60">
        <f t="shared" si="78"/>
        <v>87.997669194936378</v>
      </c>
      <c r="U261" s="60">
        <f t="shared" si="78"/>
        <v>77.999399794140189</v>
      </c>
      <c r="V261" s="60">
        <f t="shared" si="78"/>
        <v>92.905440225386229</v>
      </c>
    </row>
    <row r="262" spans="3:22" x14ac:dyDescent="0.2">
      <c r="C262" s="88" t="s">
        <v>138</v>
      </c>
      <c r="D262" s="62">
        <f t="shared" ref="D262:V262" si="79">+IFERROR(IF(D222&gt;0,+((D222/D28)*100)," "),"")</f>
        <v>89.773221128905718</v>
      </c>
      <c r="E262" s="62">
        <f t="shared" si="79"/>
        <v>93.145542382183763</v>
      </c>
      <c r="F262" s="62">
        <f t="shared" si="79"/>
        <v>90.368045678618842</v>
      </c>
      <c r="G262" s="62">
        <f t="shared" si="79"/>
        <v>80.37735619196495</v>
      </c>
      <c r="H262" s="62">
        <f t="shared" si="79"/>
        <v>92.22487316761034</v>
      </c>
      <c r="I262" s="62">
        <f t="shared" si="79"/>
        <v>90.552815033137733</v>
      </c>
      <c r="J262" s="62">
        <f t="shared" si="79"/>
        <v>86.100957819743982</v>
      </c>
      <c r="K262" s="62">
        <f t="shared" si="79"/>
        <v>89.822007278735967</v>
      </c>
      <c r="L262" s="62">
        <f t="shared" si="79"/>
        <v>86.383413768840001</v>
      </c>
      <c r="M262" s="62">
        <f t="shared" si="79"/>
        <v>81.367289159910527</v>
      </c>
      <c r="N262" s="62">
        <f t="shared" si="79"/>
        <v>80.678404796573616</v>
      </c>
      <c r="O262" s="62">
        <f t="shared" si="79"/>
        <v>87.388090446814431</v>
      </c>
      <c r="P262" s="62">
        <f t="shared" si="79"/>
        <v>71.501065714353004</v>
      </c>
      <c r="Q262" s="62">
        <f t="shared" si="79"/>
        <v>71.622732053956213</v>
      </c>
      <c r="R262" s="62">
        <f t="shared" si="79"/>
        <v>79.515205331936741</v>
      </c>
      <c r="S262" s="62">
        <f t="shared" si="79"/>
        <v>89.364249351673166</v>
      </c>
      <c r="T262" s="62">
        <f t="shared" si="79"/>
        <v>92.526466874703715</v>
      </c>
      <c r="U262" s="62">
        <f t="shared" si="79"/>
        <v>93.270341973557649</v>
      </c>
      <c r="V262" s="62">
        <f t="shared" si="79"/>
        <v>95.855719219842769</v>
      </c>
    </row>
    <row r="263" spans="3:22" x14ac:dyDescent="0.2">
      <c r="C263" s="87" t="s">
        <v>139</v>
      </c>
      <c r="D263" s="60">
        <f t="shared" ref="D263:V263" si="80">+IFERROR(IF(D223&gt;0,+((D223/D29)*100)," "),"")</f>
        <v>77.860986625378558</v>
      </c>
      <c r="E263" s="60">
        <f t="shared" si="80"/>
        <v>79.075150263983005</v>
      </c>
      <c r="F263" s="60">
        <f t="shared" si="80"/>
        <v>73.901296964146326</v>
      </c>
      <c r="G263" s="60">
        <f t="shared" si="80"/>
        <v>82.345937827357872</v>
      </c>
      <c r="H263" s="60">
        <f t="shared" si="80"/>
        <v>81.546750980777631</v>
      </c>
      <c r="I263" s="60">
        <f t="shared" si="80"/>
        <v>87.123395772586719</v>
      </c>
      <c r="J263" s="60">
        <f t="shared" si="80"/>
        <v>76.555452467126926</v>
      </c>
      <c r="K263" s="60">
        <f t="shared" si="80"/>
        <v>79.174464199275661</v>
      </c>
      <c r="L263" s="60">
        <f t="shared" si="80"/>
        <v>74.402577978916213</v>
      </c>
      <c r="M263" s="60">
        <f t="shared" si="80"/>
        <v>82.467183516857119</v>
      </c>
      <c r="N263" s="60">
        <f t="shared" si="80"/>
        <v>65.443566271079504</v>
      </c>
      <c r="O263" s="60">
        <f t="shared" si="80"/>
        <v>55.495425293415281</v>
      </c>
      <c r="P263" s="60">
        <f t="shared" si="80"/>
        <v>80.612044739132969</v>
      </c>
      <c r="Q263" s="60">
        <f t="shared" si="80"/>
        <v>80.04113950841905</v>
      </c>
      <c r="R263" s="60">
        <f t="shared" si="80"/>
        <v>78.896110104766734</v>
      </c>
      <c r="S263" s="60">
        <f t="shared" si="80"/>
        <v>79.48268530898153</v>
      </c>
      <c r="T263" s="60">
        <f t="shared" si="80"/>
        <v>77.081109258844762</v>
      </c>
      <c r="U263" s="60">
        <f t="shared" si="80"/>
        <v>73.085791701733172</v>
      </c>
      <c r="V263" s="60">
        <f t="shared" si="80"/>
        <v>80.127596299064237</v>
      </c>
    </row>
    <row r="264" spans="3:22" x14ac:dyDescent="0.2">
      <c r="C264" s="88" t="s">
        <v>140</v>
      </c>
      <c r="D264" s="62">
        <f t="shared" ref="D264:V264" si="81">+IFERROR(IF(D224&gt;0,+((D224/D30)*100)," "),"")</f>
        <v>74.83821088053125</v>
      </c>
      <c r="E264" s="62">
        <f t="shared" si="81"/>
        <v>72.219340426988737</v>
      </c>
      <c r="F264" s="62">
        <f t="shared" si="81"/>
        <v>70.242581318505941</v>
      </c>
      <c r="G264" s="62">
        <f t="shared" si="81"/>
        <v>82.589165791886899</v>
      </c>
      <c r="H264" s="62">
        <f t="shared" si="81"/>
        <v>81.348585816407834</v>
      </c>
      <c r="I264" s="62">
        <f t="shared" si="81"/>
        <v>76.350430323280378</v>
      </c>
      <c r="J264" s="62">
        <f t="shared" si="81"/>
        <v>64.885637992836081</v>
      </c>
      <c r="K264" s="62">
        <f t="shared" si="81"/>
        <v>58.005018762366767</v>
      </c>
      <c r="L264" s="62">
        <f t="shared" si="81"/>
        <v>93.585113992841087</v>
      </c>
      <c r="M264" s="62">
        <f t="shared" si="81"/>
        <v>88.232236346470359</v>
      </c>
      <c r="N264" s="62">
        <f t="shared" si="81"/>
        <v>92.002167017931598</v>
      </c>
      <c r="O264" s="62">
        <f t="shared" si="81"/>
        <v>91.04343648615037</v>
      </c>
      <c r="P264" s="62">
        <f t="shared" si="81"/>
        <v>89.291262850726255</v>
      </c>
      <c r="Q264" s="62">
        <f t="shared" si="81"/>
        <v>85.223116688232906</v>
      </c>
      <c r="R264" s="62">
        <f t="shared" si="81"/>
        <v>85.991392396117277</v>
      </c>
      <c r="S264" s="62">
        <f t="shared" si="81"/>
        <v>91.545211032752036</v>
      </c>
      <c r="T264" s="62">
        <f t="shared" si="81"/>
        <v>88.606037806020836</v>
      </c>
      <c r="U264" s="62">
        <f t="shared" si="81"/>
        <v>83.191372647596879</v>
      </c>
      <c r="V264" s="62">
        <f t="shared" si="81"/>
        <v>92.487348687058869</v>
      </c>
    </row>
    <row r="265" spans="3:22" x14ac:dyDescent="0.2">
      <c r="C265" s="87" t="s">
        <v>141</v>
      </c>
      <c r="D265" s="60">
        <f t="shared" ref="D265:V265" si="82">+IFERROR(IF(D225&gt;0,+((D225/D31)*100)," "),"")</f>
        <v>88.096131580835674</v>
      </c>
      <c r="E265" s="60">
        <f t="shared" si="82"/>
        <v>85.097468189088559</v>
      </c>
      <c r="F265" s="60">
        <f t="shared" si="82"/>
        <v>84.441059524553438</v>
      </c>
      <c r="G265" s="60">
        <f t="shared" si="82"/>
        <v>84.74214346693725</v>
      </c>
      <c r="H265" s="60">
        <f t="shared" si="82"/>
        <v>79.026613474874694</v>
      </c>
      <c r="I265" s="60">
        <f t="shared" si="82"/>
        <v>86.130819998242842</v>
      </c>
      <c r="J265" s="60">
        <f t="shared" si="82"/>
        <v>88.021953542886365</v>
      </c>
      <c r="K265" s="60">
        <f t="shared" si="82"/>
        <v>88.085903663032383</v>
      </c>
      <c r="L265" s="60">
        <f t="shared" si="82"/>
        <v>89.254286109591504</v>
      </c>
      <c r="M265" s="60">
        <f t="shared" si="82"/>
        <v>88.259136274077292</v>
      </c>
      <c r="N265" s="60">
        <f t="shared" si="82"/>
        <v>84.076770123980737</v>
      </c>
      <c r="O265" s="60">
        <f t="shared" si="82"/>
        <v>86.824117811644015</v>
      </c>
      <c r="P265" s="60">
        <f t="shared" si="82"/>
        <v>84.308137966132122</v>
      </c>
      <c r="Q265" s="60">
        <f t="shared" si="82"/>
        <v>84.630723851379429</v>
      </c>
      <c r="R265" s="60">
        <f t="shared" si="82"/>
        <v>88.398563831312742</v>
      </c>
      <c r="S265" s="60">
        <f t="shared" si="82"/>
        <v>83.685197754164406</v>
      </c>
      <c r="T265" s="60">
        <f t="shared" si="82"/>
        <v>91.111105751324047</v>
      </c>
      <c r="U265" s="60">
        <f t="shared" si="82"/>
        <v>89.995823593620599</v>
      </c>
      <c r="V265" s="60">
        <f t="shared" si="82"/>
        <v>92.043761519891561</v>
      </c>
    </row>
    <row r="266" spans="3:22" x14ac:dyDescent="0.2">
      <c r="C266" s="88" t="s">
        <v>142</v>
      </c>
      <c r="D266" s="62">
        <f t="shared" ref="D266:V266" si="83">+IFERROR(IF(D226&gt;0,+((D226/D32)*100)," "),"")</f>
        <v>17.639926905380431</v>
      </c>
      <c r="E266" s="62">
        <f t="shared" si="83"/>
        <v>23.482779736283565</v>
      </c>
      <c r="F266" s="62">
        <f t="shared" si="83"/>
        <v>10.93322994136477</v>
      </c>
      <c r="G266" s="62">
        <f t="shared" si="83"/>
        <v>22.439010724558013</v>
      </c>
      <c r="H266" s="62">
        <f t="shared" si="83"/>
        <v>57.466476109961192</v>
      </c>
      <c r="I266" s="62">
        <f t="shared" si="83"/>
        <v>24.172416881554344</v>
      </c>
      <c r="J266" s="62">
        <f t="shared" si="83"/>
        <v>25.356549513678218</v>
      </c>
      <c r="K266" s="62">
        <f t="shared" si="83"/>
        <v>43.215423885250829</v>
      </c>
      <c r="L266" s="62">
        <f t="shared" si="83"/>
        <v>31.461747065787023</v>
      </c>
      <c r="M266" s="62">
        <f t="shared" si="83"/>
        <v>30.435640709729324</v>
      </c>
      <c r="N266" s="62">
        <f t="shared" si="83"/>
        <v>33.842890751353075</v>
      </c>
      <c r="O266" s="62">
        <f t="shared" si="83"/>
        <v>34.195643566167149</v>
      </c>
      <c r="P266" s="62">
        <f t="shared" si="83"/>
        <v>49.169610037723913</v>
      </c>
      <c r="Q266" s="62">
        <f t="shared" si="83"/>
        <v>55.043041083812582</v>
      </c>
      <c r="R266" s="62">
        <f t="shared" si="83"/>
        <v>77.231425893592871</v>
      </c>
      <c r="S266" s="62">
        <f t="shared" si="83"/>
        <v>69.671472093917757</v>
      </c>
      <c r="T266" s="62">
        <f t="shared" si="83"/>
        <v>58.775830317940105</v>
      </c>
      <c r="U266" s="62">
        <f t="shared" si="83"/>
        <v>67.421692962397501</v>
      </c>
      <c r="V266" s="62">
        <f t="shared" si="83"/>
        <v>64.37675168675166</v>
      </c>
    </row>
    <row r="267" spans="3:22" x14ac:dyDescent="0.2">
      <c r="C267" s="87" t="s">
        <v>143</v>
      </c>
      <c r="D267" s="60">
        <f t="shared" ref="D267:V267" si="84">+IFERROR(IF(D227&gt;0,+((D227/D33)*100)," "),"")</f>
        <v>65.845496498636663</v>
      </c>
      <c r="E267" s="60">
        <f t="shared" si="84"/>
        <v>52.787824426604089</v>
      </c>
      <c r="F267" s="60">
        <f t="shared" si="84"/>
        <v>49.912137427667851</v>
      </c>
      <c r="G267" s="60">
        <f t="shared" si="84"/>
        <v>61.133984684031716</v>
      </c>
      <c r="H267" s="60">
        <f t="shared" si="84"/>
        <v>66.684815552851049</v>
      </c>
      <c r="I267" s="60">
        <f t="shared" si="84"/>
        <v>78.697469354591178</v>
      </c>
      <c r="J267" s="60">
        <f t="shared" si="84"/>
        <v>89.253749106967163</v>
      </c>
      <c r="K267" s="60">
        <f t="shared" si="84"/>
        <v>89.273883695587642</v>
      </c>
      <c r="L267" s="60">
        <f t="shared" si="84"/>
        <v>78.501785518937297</v>
      </c>
      <c r="M267" s="60">
        <f t="shared" si="84"/>
        <v>84.111484157846263</v>
      </c>
      <c r="N267" s="60">
        <f t="shared" si="84"/>
        <v>82.965561728983701</v>
      </c>
      <c r="O267" s="60">
        <f t="shared" si="84"/>
        <v>77.047071786745448</v>
      </c>
      <c r="P267" s="60">
        <f t="shared" si="84"/>
        <v>36.45367480386701</v>
      </c>
      <c r="Q267" s="60">
        <f t="shared" si="84"/>
        <v>65.292078601279641</v>
      </c>
      <c r="R267" s="60">
        <f t="shared" si="84"/>
        <v>57.513004171629603</v>
      </c>
      <c r="S267" s="60">
        <f t="shared" si="84"/>
        <v>66.263296348097484</v>
      </c>
      <c r="T267" s="60">
        <f t="shared" si="84"/>
        <v>61.422879671373508</v>
      </c>
      <c r="U267" s="60">
        <f t="shared" si="84"/>
        <v>51.462724525072311</v>
      </c>
      <c r="V267" s="60">
        <f t="shared" si="84"/>
        <v>37.715708193225844</v>
      </c>
    </row>
    <row r="268" spans="3:22" x14ac:dyDescent="0.2">
      <c r="C268" s="88" t="s">
        <v>144</v>
      </c>
      <c r="D268" s="62">
        <f t="shared" ref="D268:V268" si="85">+IFERROR(IF(D228&gt;0,+((D228/D34)*100)," "),"")</f>
        <v>92.145222137339871</v>
      </c>
      <c r="E268" s="62">
        <f t="shared" si="85"/>
        <v>95.214732292553748</v>
      </c>
      <c r="F268" s="62">
        <f t="shared" si="85"/>
        <v>91.064721097594884</v>
      </c>
      <c r="G268" s="62">
        <f t="shared" si="85"/>
        <v>92.814060848517883</v>
      </c>
      <c r="H268" s="62">
        <f t="shared" si="85"/>
        <v>82.6506422325415</v>
      </c>
      <c r="I268" s="62">
        <f t="shared" si="85"/>
        <v>93.088778627890065</v>
      </c>
      <c r="J268" s="62">
        <f t="shared" si="85"/>
        <v>93.450483186223693</v>
      </c>
      <c r="K268" s="62">
        <f t="shared" si="85"/>
        <v>94.886122283010167</v>
      </c>
      <c r="L268" s="62">
        <f t="shared" si="85"/>
        <v>94.040223967394667</v>
      </c>
      <c r="M268" s="62">
        <f t="shared" si="85"/>
        <v>94.34873921379257</v>
      </c>
      <c r="N268" s="62">
        <f t="shared" si="85"/>
        <v>91.648085050716759</v>
      </c>
      <c r="O268" s="62">
        <f t="shared" si="85"/>
        <v>86.265884155757746</v>
      </c>
      <c r="P268" s="62">
        <f t="shared" si="85"/>
        <v>86.724505576347127</v>
      </c>
      <c r="Q268" s="62">
        <f t="shared" si="85"/>
        <v>90.857444292584617</v>
      </c>
      <c r="R268" s="62">
        <f t="shared" si="85"/>
        <v>93.069177049632955</v>
      </c>
      <c r="S268" s="62">
        <f t="shared" si="85"/>
        <v>90.367116489070582</v>
      </c>
      <c r="T268" s="62">
        <f t="shared" si="85"/>
        <v>90.395255307324589</v>
      </c>
      <c r="U268" s="62">
        <f t="shared" si="85"/>
        <v>90.767394920157614</v>
      </c>
      <c r="V268" s="62">
        <f t="shared" si="85"/>
        <v>95.936928826317498</v>
      </c>
    </row>
    <row r="269" spans="3:22" x14ac:dyDescent="0.2">
      <c r="C269" s="87" t="s">
        <v>145</v>
      </c>
      <c r="D269" s="60">
        <f t="shared" ref="D269:V269" si="86">+IFERROR(IF(D229&gt;0,+((D229/D35)*100)," "),"")</f>
        <v>72.214812343482848</v>
      </c>
      <c r="E269" s="60">
        <f t="shared" si="86"/>
        <v>66.713041015268232</v>
      </c>
      <c r="F269" s="60">
        <f t="shared" si="86"/>
        <v>71.711853469968219</v>
      </c>
      <c r="G269" s="60">
        <f t="shared" si="86"/>
        <v>71.165380279487295</v>
      </c>
      <c r="H269" s="60">
        <f t="shared" si="86"/>
        <v>88.678370396862505</v>
      </c>
      <c r="I269" s="60">
        <f t="shared" si="86"/>
        <v>94.538366716868794</v>
      </c>
      <c r="J269" s="60">
        <f t="shared" si="86"/>
        <v>86.81515931213471</v>
      </c>
      <c r="K269" s="60">
        <f t="shared" si="86"/>
        <v>72.041614161306569</v>
      </c>
      <c r="L269" s="60">
        <f t="shared" si="86"/>
        <v>85.154789093505073</v>
      </c>
      <c r="M269" s="60">
        <f t="shared" si="86"/>
        <v>77.413157202649671</v>
      </c>
      <c r="N269" s="60">
        <f t="shared" si="86"/>
        <v>93.708760809834232</v>
      </c>
      <c r="O269" s="60">
        <f t="shared" si="86"/>
        <v>83.563167783739587</v>
      </c>
      <c r="P269" s="60">
        <f t="shared" si="86"/>
        <v>86.764261867296426</v>
      </c>
      <c r="Q269" s="60">
        <f t="shared" si="86"/>
        <v>83.488117277000768</v>
      </c>
      <c r="R269" s="60">
        <f t="shared" si="86"/>
        <v>92.022164444987396</v>
      </c>
      <c r="S269" s="60">
        <f t="shared" si="86"/>
        <v>89.609903660452886</v>
      </c>
      <c r="T269" s="60">
        <f t="shared" si="86"/>
        <v>90.817888912447074</v>
      </c>
      <c r="U269" s="60">
        <f t="shared" si="86"/>
        <v>90.170539723259083</v>
      </c>
      <c r="V269" s="60">
        <f t="shared" si="86"/>
        <v>96.43549909749764</v>
      </c>
    </row>
    <row r="270" spans="3:22" x14ac:dyDescent="0.2">
      <c r="C270" s="88" t="s">
        <v>146</v>
      </c>
      <c r="D270" s="62">
        <f t="shared" ref="D270:V270" si="87">+IFERROR(IF(D230&gt;0,+((D230/D36)*100)," "),"")</f>
        <v>88.628903748164191</v>
      </c>
      <c r="E270" s="62">
        <f t="shared" si="87"/>
        <v>93.497216269104925</v>
      </c>
      <c r="F270" s="62">
        <f t="shared" si="87"/>
        <v>85.945561930225551</v>
      </c>
      <c r="G270" s="62">
        <f t="shared" si="87"/>
        <v>96.679558136761827</v>
      </c>
      <c r="H270" s="62">
        <f t="shared" si="87"/>
        <v>90.376220964275689</v>
      </c>
      <c r="I270" s="62">
        <f t="shared" si="87"/>
        <v>86.102796964523804</v>
      </c>
      <c r="J270" s="62">
        <f t="shared" si="87"/>
        <v>89.724710571625877</v>
      </c>
      <c r="K270" s="62">
        <f t="shared" si="87"/>
        <v>82.460862572165084</v>
      </c>
      <c r="L270" s="62">
        <f t="shared" si="87"/>
        <v>89.681406242893118</v>
      </c>
      <c r="M270" s="62">
        <f t="shared" si="87"/>
        <v>90.295694817720957</v>
      </c>
      <c r="N270" s="62">
        <f t="shared" si="87"/>
        <v>82.049864974458401</v>
      </c>
      <c r="O270" s="62">
        <f t="shared" si="87"/>
        <v>93.769168013073312</v>
      </c>
      <c r="P270" s="62">
        <f t="shared" si="87"/>
        <v>91.204127545408241</v>
      </c>
      <c r="Q270" s="62">
        <f t="shared" si="87"/>
        <v>89.546365428992331</v>
      </c>
      <c r="R270" s="62">
        <f t="shared" si="87"/>
        <v>96.525669905531657</v>
      </c>
      <c r="S270" s="62">
        <f t="shared" si="87"/>
        <v>97.212036350499304</v>
      </c>
      <c r="T270" s="62">
        <f t="shared" si="87"/>
        <v>95.180826061772109</v>
      </c>
      <c r="U270" s="62">
        <f t="shared" si="87"/>
        <v>95.082115248985033</v>
      </c>
      <c r="V270" s="62">
        <f t="shared" si="87"/>
        <v>92.839298066732511</v>
      </c>
    </row>
    <row r="271" spans="3:22" x14ac:dyDescent="0.2">
      <c r="C271" s="90" t="s">
        <v>147</v>
      </c>
      <c r="D271" s="61">
        <f t="shared" ref="D271:V271" si="88">+IFERROR(IF(D231&gt;0,+((D231/D37)*100)," "),"")</f>
        <v>85.535632646245872</v>
      </c>
      <c r="E271" s="61">
        <f t="shared" si="88"/>
        <v>92.966989135179318</v>
      </c>
      <c r="F271" s="61">
        <f t="shared" si="88"/>
        <v>93.418566221368167</v>
      </c>
      <c r="G271" s="61">
        <f t="shared" si="88"/>
        <v>92.778368021922603</v>
      </c>
      <c r="H271" s="61">
        <f t="shared" si="88"/>
        <v>89.343726044042427</v>
      </c>
      <c r="I271" s="61">
        <f t="shared" si="88"/>
        <v>92.0445157150737</v>
      </c>
      <c r="J271" s="61">
        <f t="shared" si="88"/>
        <v>88.81623618509947</v>
      </c>
      <c r="K271" s="61">
        <f t="shared" si="88"/>
        <v>91.300449921486845</v>
      </c>
      <c r="L271" s="61">
        <f t="shared" si="88"/>
        <v>94.385467534836209</v>
      </c>
      <c r="M271" s="61">
        <f t="shared" si="88"/>
        <v>84.144166398258932</v>
      </c>
      <c r="N271" s="61">
        <f t="shared" si="88"/>
        <v>72.342872748443284</v>
      </c>
      <c r="O271" s="61">
        <f t="shared" si="88"/>
        <v>79.293600069634124</v>
      </c>
      <c r="P271" s="61">
        <f t="shared" si="88"/>
        <v>78.772001194053985</v>
      </c>
      <c r="Q271" s="61">
        <f t="shared" si="88"/>
        <v>91.50149069043141</v>
      </c>
      <c r="R271" s="61">
        <f t="shared" si="88"/>
        <v>86.18365360539957</v>
      </c>
      <c r="S271" s="61">
        <f t="shared" si="88"/>
        <v>87.587943066546444</v>
      </c>
      <c r="T271" s="61">
        <f t="shared" si="88"/>
        <v>90.263004342700299</v>
      </c>
      <c r="U271" s="61">
        <f t="shared" si="88"/>
        <v>91.810583812239216</v>
      </c>
      <c r="V271" s="61">
        <f t="shared" si="88"/>
        <v>90.872319784628587</v>
      </c>
    </row>
    <row r="272" spans="3:22" ht="22.5" customHeight="1" x14ac:dyDescent="0.2">
      <c r="C272" s="89" t="s">
        <v>148</v>
      </c>
      <c r="D272" s="63" t="str">
        <f t="shared" ref="D272:V272" si="89">+IFERROR(IF(D232&gt;0,+((D232/D38)*100),"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>
        <f t="shared" si="89"/>
        <v>55.081877894904977</v>
      </c>
      <c r="V272" s="63">
        <f t="shared" si="89"/>
        <v>74.776759865949245</v>
      </c>
    </row>
    <row r="273" spans="3:22" x14ac:dyDescent="0.2">
      <c r="C273" s="87" t="s">
        <v>149</v>
      </c>
      <c r="D273" s="60">
        <f t="shared" ref="D273:V273" si="90">+IFERROR(IF(D233&gt;0,+((D233/D39)*100)," "),"")</f>
        <v>73.183100352798817</v>
      </c>
      <c r="E273" s="60">
        <f t="shared" si="90"/>
        <v>80.020179060151719</v>
      </c>
      <c r="F273" s="60">
        <f t="shared" si="90"/>
        <v>75.670206452503422</v>
      </c>
      <c r="G273" s="60">
        <f t="shared" si="90"/>
        <v>85.680502325169925</v>
      </c>
      <c r="H273" s="60">
        <f t="shared" si="90"/>
        <v>85.898835017868436</v>
      </c>
      <c r="I273" s="60">
        <f t="shared" si="90"/>
        <v>81.19298144847437</v>
      </c>
      <c r="J273" s="60">
        <f t="shared" si="90"/>
        <v>65.710037176414176</v>
      </c>
      <c r="K273" s="60">
        <f t="shared" si="90"/>
        <v>75.448397321193823</v>
      </c>
      <c r="L273" s="60">
        <f t="shared" si="90"/>
        <v>82.576303931267461</v>
      </c>
      <c r="M273" s="60">
        <f t="shared" si="90"/>
        <v>29.108923767482015</v>
      </c>
      <c r="N273" s="60">
        <f t="shared" si="90"/>
        <v>72.615802372508824</v>
      </c>
      <c r="O273" s="60">
        <f t="shared" si="90"/>
        <v>83.762816367324703</v>
      </c>
      <c r="P273" s="60">
        <f t="shared" si="90"/>
        <v>53.714702002826776</v>
      </c>
      <c r="Q273" s="60">
        <f t="shared" si="90"/>
        <v>51.263744155599255</v>
      </c>
      <c r="R273" s="60">
        <f t="shared" si="90"/>
        <v>51.481401934441791</v>
      </c>
      <c r="S273" s="60">
        <f t="shared" si="90"/>
        <v>80.338102636625536</v>
      </c>
      <c r="T273" s="60">
        <f t="shared" si="90"/>
        <v>93.67419100109511</v>
      </c>
      <c r="U273" s="60">
        <f t="shared" si="90"/>
        <v>89.324663618619155</v>
      </c>
      <c r="V273" s="60">
        <f t="shared" si="90"/>
        <v>90.424595997746522</v>
      </c>
    </row>
    <row r="274" spans="3:22" x14ac:dyDescent="0.2">
      <c r="C274" s="88" t="s">
        <v>150</v>
      </c>
      <c r="D274" s="62">
        <f t="shared" ref="D274:V274" si="91">+IFERROR(IF(D234&gt;0,+((D234/D40)*100)," "),"")</f>
        <v>47.22023532345009</v>
      </c>
      <c r="E274" s="62">
        <f t="shared" si="91"/>
        <v>65.966069012395124</v>
      </c>
      <c r="F274" s="62">
        <f t="shared" si="91"/>
        <v>35.389317707563677</v>
      </c>
      <c r="G274" s="62">
        <f t="shared" si="91"/>
        <v>73.762831788651042</v>
      </c>
      <c r="H274" s="62">
        <f t="shared" si="91"/>
        <v>71.945848792556973</v>
      </c>
      <c r="I274" s="62">
        <f t="shared" si="91"/>
        <v>73.28533348752147</v>
      </c>
      <c r="J274" s="62">
        <f t="shared" si="91"/>
        <v>54.798343705564179</v>
      </c>
      <c r="K274" s="62">
        <f t="shared" si="91"/>
        <v>71.532213248279589</v>
      </c>
      <c r="L274" s="62">
        <f t="shared" si="91"/>
        <v>74.814963609556244</v>
      </c>
      <c r="M274" s="62">
        <f t="shared" si="91"/>
        <v>72.342661530254546</v>
      </c>
      <c r="N274" s="62">
        <f t="shared" si="91"/>
        <v>68.394693637342655</v>
      </c>
      <c r="O274" s="62">
        <f t="shared" si="91"/>
        <v>73.248372915714597</v>
      </c>
      <c r="P274" s="62">
        <f t="shared" si="91"/>
        <v>73.218034699762541</v>
      </c>
      <c r="Q274" s="62">
        <f t="shared" si="91"/>
        <v>70.252966134658905</v>
      </c>
      <c r="R274" s="62">
        <f t="shared" si="91"/>
        <v>79.382211682804027</v>
      </c>
      <c r="S274" s="62">
        <f t="shared" si="91"/>
        <v>73.51541376362772</v>
      </c>
      <c r="T274" s="62">
        <f t="shared" si="91"/>
        <v>68.6238824438595</v>
      </c>
      <c r="U274" s="62">
        <f t="shared" si="91"/>
        <v>60.464419573707197</v>
      </c>
      <c r="V274" s="62">
        <f t="shared" si="91"/>
        <v>68.817050609556858</v>
      </c>
    </row>
    <row r="275" spans="3:22" x14ac:dyDescent="0.2">
      <c r="C275" s="87" t="s">
        <v>151</v>
      </c>
      <c r="D275" s="60">
        <f t="shared" ref="D275:V275" si="92">+IFERROR(IF(D235&gt;0,+((D235/D41)*100)," "),"")</f>
        <v>47.534145770268964</v>
      </c>
      <c r="E275" s="60">
        <f t="shared" si="92"/>
        <v>22.933092349854942</v>
      </c>
      <c r="F275" s="60">
        <f t="shared" si="92"/>
        <v>43.231068968976231</v>
      </c>
      <c r="G275" s="60">
        <f t="shared" si="92"/>
        <v>24.023485022478734</v>
      </c>
      <c r="H275" s="60">
        <f t="shared" si="92"/>
        <v>8.0915464000352486</v>
      </c>
      <c r="I275" s="60">
        <f t="shared" si="92"/>
        <v>16.584817488068694</v>
      </c>
      <c r="J275" s="60">
        <f t="shared" si="92"/>
        <v>55.376429338554644</v>
      </c>
      <c r="K275" s="60">
        <f t="shared" si="92"/>
        <v>75.199156844436573</v>
      </c>
      <c r="L275" s="60">
        <f t="shared" si="92"/>
        <v>47.685598927717677</v>
      </c>
      <c r="M275" s="60">
        <f t="shared" si="92"/>
        <v>34.220245691438585</v>
      </c>
      <c r="N275" s="60">
        <f t="shared" si="92"/>
        <v>29.026405123128836</v>
      </c>
      <c r="O275" s="60">
        <f t="shared" si="92"/>
        <v>68.991385617817684</v>
      </c>
      <c r="P275" s="60">
        <f t="shared" si="92"/>
        <v>67.669579693836795</v>
      </c>
      <c r="Q275" s="60">
        <f t="shared" si="92"/>
        <v>55.961330195240734</v>
      </c>
      <c r="R275" s="60">
        <f t="shared" si="92"/>
        <v>59.952103368201982</v>
      </c>
      <c r="S275" s="60">
        <f t="shared" si="92"/>
        <v>54.766628728115364</v>
      </c>
      <c r="T275" s="60">
        <f t="shared" si="92"/>
        <v>63.732317865196542</v>
      </c>
      <c r="U275" s="60">
        <f t="shared" si="92"/>
        <v>59.64231689257786</v>
      </c>
      <c r="V275" s="60">
        <f t="shared" si="92"/>
        <v>60.531093047790641</v>
      </c>
    </row>
    <row r="276" spans="3:22" x14ac:dyDescent="0.2">
      <c r="C276" s="91" t="s">
        <v>154</v>
      </c>
      <c r="D276" s="64">
        <f t="shared" ref="D276:V276" si="93">+IFERROR(IF(D236&gt;0,+((D236/D42)*100)," "),"")</f>
        <v>77.995110435880676</v>
      </c>
      <c r="E276" s="64">
        <f t="shared" si="93"/>
        <v>84.474791100733938</v>
      </c>
      <c r="F276" s="64">
        <f t="shared" si="93"/>
        <v>82.225392565613504</v>
      </c>
      <c r="G276" s="64">
        <f t="shared" si="93"/>
        <v>87.205439255281505</v>
      </c>
      <c r="H276" s="64">
        <f t="shared" si="93"/>
        <v>85.370834641796051</v>
      </c>
      <c r="I276" s="64">
        <f t="shared" si="93"/>
        <v>88.296629143304855</v>
      </c>
      <c r="J276" s="64">
        <f t="shared" si="93"/>
        <v>86.956651265553589</v>
      </c>
      <c r="K276" s="64">
        <f t="shared" si="93"/>
        <v>88.344826002156708</v>
      </c>
      <c r="L276" s="64">
        <f t="shared" si="93"/>
        <v>89.757838786206833</v>
      </c>
      <c r="M276" s="64">
        <f t="shared" si="93"/>
        <v>85.350469958783904</v>
      </c>
      <c r="N276" s="64">
        <f t="shared" si="93"/>
        <v>81.859426622289703</v>
      </c>
      <c r="O276" s="64">
        <f t="shared" si="93"/>
        <v>84.712557683830923</v>
      </c>
      <c r="P276" s="64">
        <f t="shared" si="93"/>
        <v>83.117239791750421</v>
      </c>
      <c r="Q276" s="64">
        <f t="shared" si="93"/>
        <v>84.30560634377548</v>
      </c>
      <c r="R276" s="64">
        <f t="shared" si="93"/>
        <v>84.477121977110031</v>
      </c>
      <c r="S276" s="64">
        <f t="shared" si="93"/>
        <v>86.999691175328437</v>
      </c>
      <c r="T276" s="64">
        <f t="shared" si="93"/>
        <v>88.327764031890453</v>
      </c>
      <c r="U276" s="64">
        <f t="shared" si="93"/>
        <v>89.483975447166202</v>
      </c>
      <c r="V276" s="64">
        <f t="shared" si="93"/>
        <v>90.670007384790665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D2:V2"/>
    <mergeCell ref="Q128:Q129"/>
    <mergeCell ref="H245:H246"/>
    <mergeCell ref="A5:C6"/>
    <mergeCell ref="K205:K206"/>
    <mergeCell ref="D126:V126"/>
    <mergeCell ref="O6:O7"/>
    <mergeCell ref="D47:V47"/>
    <mergeCell ref="L87:Q87"/>
    <mergeCell ref="K167:K168"/>
    <mergeCell ref="D4:V4"/>
    <mergeCell ref="C89:C90"/>
    <mergeCell ref="H89:H90"/>
    <mergeCell ref="F205:F206"/>
    <mergeCell ref="H6:H7"/>
    <mergeCell ref="J6:J7"/>
    <mergeCell ref="C205:C206"/>
    <mergeCell ref="V6:V7"/>
    <mergeCell ref="H167:H168"/>
    <mergeCell ref="K50:K51"/>
    <mergeCell ref="E205:E206"/>
    <mergeCell ref="L205:L206"/>
    <mergeCell ref="T167:T168"/>
    <mergeCell ref="V167:V168"/>
    <mergeCell ref="D245:D246"/>
    <mergeCell ref="D50:D51"/>
    <mergeCell ref="D89:D90"/>
    <mergeCell ref="M205:M206"/>
    <mergeCell ref="D242:V242"/>
    <mergeCell ref="E167:E168"/>
    <mergeCell ref="M6:M7"/>
    <mergeCell ref="I205:I206"/>
    <mergeCell ref="C11:C12"/>
    <mergeCell ref="E6:E7"/>
    <mergeCell ref="N167:N168"/>
    <mergeCell ref="E11:E12"/>
    <mergeCell ref="T89:T90"/>
    <mergeCell ref="R89:R90"/>
    <mergeCell ref="O50:O51"/>
    <mergeCell ref="L6:L7"/>
    <mergeCell ref="Q89:Q90"/>
    <mergeCell ref="N6:N7"/>
    <mergeCell ref="S89:S90"/>
    <mergeCell ref="F11:F12"/>
    <mergeCell ref="A7:C7"/>
    <mergeCell ref="U50:U51"/>
    <mergeCell ref="I11:I12"/>
    <mergeCell ref="P128:P129"/>
    <mergeCell ref="S11:S12"/>
    <mergeCell ref="R128:R129"/>
    <mergeCell ref="U11:U12"/>
    <mergeCell ref="M11:M12"/>
    <mergeCell ref="C50:C51"/>
    <mergeCell ref="F89:F90"/>
    <mergeCell ref="K11:K12"/>
    <mergeCell ref="G6:G7"/>
    <mergeCell ref="J89:J90"/>
    <mergeCell ref="L89:L90"/>
    <mergeCell ref="Q6:Q7"/>
    <mergeCell ref="F50:F51"/>
    <mergeCell ref="U128:U129"/>
    <mergeCell ref="R11:R12"/>
    <mergeCell ref="D6:D7"/>
    <mergeCell ref="F6:F7"/>
    <mergeCell ref="I89:I90"/>
    <mergeCell ref="D128:D129"/>
    <mergeCell ref="F128:F129"/>
    <mergeCell ref="Q50:Q51"/>
    <mergeCell ref="U205:U206"/>
    <mergeCell ref="O11:O12"/>
    <mergeCell ref="J50:J51"/>
    <mergeCell ref="U245:U246"/>
    <mergeCell ref="K245:K246"/>
    <mergeCell ref="C245:C246"/>
    <mergeCell ref="S50:S51"/>
    <mergeCell ref="G11:G12"/>
    <mergeCell ref="R167:R168"/>
    <mergeCell ref="O205:O206"/>
    <mergeCell ref="Q205:Q206"/>
    <mergeCell ref="L245:L246"/>
    <mergeCell ref="C167:C168"/>
    <mergeCell ref="R245:R246"/>
    <mergeCell ref="T245:T246"/>
    <mergeCell ref="L243:Q243"/>
    <mergeCell ref="H205:H206"/>
    <mergeCell ref="M245:M246"/>
    <mergeCell ref="O245:O246"/>
    <mergeCell ref="Q245:Q246"/>
    <mergeCell ref="G245:G246"/>
    <mergeCell ref="L128:L129"/>
    <mergeCell ref="N128:N129"/>
    <mergeCell ref="D203:V203"/>
    <mergeCell ref="N205:N206"/>
    <mergeCell ref="I245:I246"/>
    <mergeCell ref="P205:P206"/>
    <mergeCell ref="S6:S7"/>
    <mergeCell ref="O167:O168"/>
    <mergeCell ref="R50:R51"/>
    <mergeCell ref="Q167:Q168"/>
    <mergeCell ref="S205:S206"/>
    <mergeCell ref="N245:N246"/>
    <mergeCell ref="F245:F246"/>
    <mergeCell ref="P245:P246"/>
    <mergeCell ref="L50:L51"/>
    <mergeCell ref="L48:Q48"/>
    <mergeCell ref="T6:T7"/>
    <mergeCell ref="G205:G206"/>
    <mergeCell ref="J205:J206"/>
    <mergeCell ref="V11:V12"/>
    <mergeCell ref="D205:D206"/>
    <mergeCell ref="G167:G168"/>
    <mergeCell ref="M89:M90"/>
    <mergeCell ref="I167:I168"/>
    <mergeCell ref="O89:O90"/>
    <mergeCell ref="F167:F168"/>
    <mergeCell ref="G89:G90"/>
    <mergeCell ref="V89:V90"/>
    <mergeCell ref="V50:V51"/>
    <mergeCell ref="I128:I129"/>
    <mergeCell ref="L11:L12"/>
    <mergeCell ref="U167:U168"/>
    <mergeCell ref="K128:K129"/>
    <mergeCell ref="N11:N12"/>
    <mergeCell ref="D86:V86"/>
    <mergeCell ref="D164:V165"/>
    <mergeCell ref="V205:V206"/>
    <mergeCell ref="Q11:Q12"/>
    <mergeCell ref="E50:E51"/>
    <mergeCell ref="D167:D168"/>
    <mergeCell ref="G50:G51"/>
    <mergeCell ref="I50:I51"/>
    <mergeCell ref="P167:P168"/>
    <mergeCell ref="I6:I7"/>
    <mergeCell ref="K6:K7"/>
    <mergeCell ref="N89:N90"/>
    <mergeCell ref="P89:P90"/>
    <mergeCell ref="M50:M51"/>
    <mergeCell ref="U6:U7"/>
    <mergeCell ref="S167:S168"/>
    <mergeCell ref="N50:N51"/>
    <mergeCell ref="D11:D12"/>
    <mergeCell ref="P50:P51"/>
    <mergeCell ref="M128:M129"/>
    <mergeCell ref="P11:P12"/>
    <mergeCell ref="E128:E129"/>
    <mergeCell ref="O128:O129"/>
    <mergeCell ref="G128:G129"/>
    <mergeCell ref="U89:U90"/>
    <mergeCell ref="L167:L168"/>
    <mergeCell ref="V245:V246"/>
    <mergeCell ref="M167:M168"/>
    <mergeCell ref="C128:C129"/>
    <mergeCell ref="J245:J246"/>
    <mergeCell ref="J167:J168"/>
    <mergeCell ref="K89:K90"/>
    <mergeCell ref="D9:V9"/>
    <mergeCell ref="H50:H51"/>
    <mergeCell ref="P6:P7"/>
    <mergeCell ref="T205:T206"/>
    <mergeCell ref="R6:R7"/>
    <mergeCell ref="T50:T51"/>
    <mergeCell ref="H11:H12"/>
    <mergeCell ref="J11:J12"/>
    <mergeCell ref="S128:S129"/>
    <mergeCell ref="R205:R206"/>
    <mergeCell ref="E245:E246"/>
    <mergeCell ref="H128:H129"/>
    <mergeCell ref="E89:E90"/>
    <mergeCell ref="J128:J129"/>
    <mergeCell ref="T128:T129"/>
    <mergeCell ref="S245:S246"/>
    <mergeCell ref="V128:V129"/>
    <mergeCell ref="T11:T12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K298"/>
  <sheetViews>
    <sheetView showGridLines="0" zoomScaleNormal="100" workbookViewId="0">
      <pane xSplit="3" ySplit="9" topLeftCell="D1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60.14062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6.5" customHeight="1" x14ac:dyDescent="0.2">
      <c r="A7" s="165" t="s">
        <v>22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56"/>
      <c r="B8" s="156"/>
      <c r="C8" s="156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ht="16.5" customHeight="1" x14ac:dyDescent="0.2">
      <c r="A9" s="162" t="s">
        <v>227</v>
      </c>
      <c r="B9" s="156"/>
      <c r="C9" s="156"/>
      <c r="D9" s="156"/>
      <c r="E9" s="178"/>
      <c r="F9" s="178"/>
      <c r="G9" s="178"/>
      <c r="H9" s="178"/>
      <c r="I9" s="178"/>
      <c r="J9" s="178"/>
      <c r="K9" s="178"/>
    </row>
    <row r="10" spans="1:11" s="102" customFormat="1" ht="16.5" customHeight="1" x14ac:dyDescent="0.25">
      <c r="A10" s="120"/>
      <c r="B10" s="98"/>
      <c r="C10" s="98"/>
      <c r="D10" s="98"/>
    </row>
    <row r="11" spans="1:11" ht="16.5" customHeight="1" x14ac:dyDescent="0.2">
      <c r="D11" s="155" t="s">
        <v>119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2193.742180851*Deflactores!$T$5</f>
        <v>3404.5257382923428</v>
      </c>
      <c r="E15" s="42">
        <f>1754.409588688*Deflactores!$U$5</f>
        <v>2679.5729000143019</v>
      </c>
      <c r="F15" s="42">
        <f>2305.665630003*Deflactores!$V$5</f>
        <v>3334.1470268296803</v>
      </c>
      <c r="G15" s="42">
        <f>2510.265185453*Deflactores!$W$5</f>
        <v>3208.9919521610223</v>
      </c>
      <c r="H15" s="42">
        <f>5299.275204156*Deflactores!$X$5</f>
        <v>6199.0453384733519</v>
      </c>
      <c r="I15" s="42">
        <f>7757.551166971*Deflactores!$Y$5</f>
        <v>8626.1548022078841</v>
      </c>
      <c r="J15" s="42">
        <f>4928.443349889*Deflactores!$Z$5</f>
        <v>5214.2930641825624</v>
      </c>
      <c r="K15" s="42">
        <f>4024.54225949*Deflactores!$AA$5</f>
        <v>4024.5422594900001</v>
      </c>
    </row>
    <row r="16" spans="1:11" x14ac:dyDescent="0.2">
      <c r="C16" s="88" t="s">
        <v>124</v>
      </c>
      <c r="D16" s="50">
        <f>493.464824051*Deflactores!$T$5</f>
        <v>765.82093788788723</v>
      </c>
      <c r="E16" s="50">
        <f>577.096483533*Deflactores!$U$5</f>
        <v>881.42022703204668</v>
      </c>
      <c r="F16" s="50">
        <f>968.877352388*Deflactores!$V$5</f>
        <v>1401.0615857698583</v>
      </c>
      <c r="G16" s="50">
        <f>1123.75782107*Deflactores!$W$5</f>
        <v>1436.5533270704536</v>
      </c>
      <c r="H16" s="50">
        <f>1755.882291883*Deflactores!$X$5</f>
        <v>2054.0155996934691</v>
      </c>
      <c r="I16" s="50">
        <f>1762.908120112*Deflactores!$Y$5</f>
        <v>1960.298813226281</v>
      </c>
      <c r="J16" s="50">
        <f>1496.596743646*Deflactores!$Z$5</f>
        <v>1583.399354777468</v>
      </c>
      <c r="K16" s="50">
        <f>1501.188299644*Deflactores!$AA$5</f>
        <v>1501.1882996439999</v>
      </c>
    </row>
    <row r="17" spans="3:11" x14ac:dyDescent="0.2">
      <c r="C17" s="87" t="s">
        <v>125</v>
      </c>
      <c r="D17" s="42">
        <f>350.968983876*Deflactores!$T$5</f>
        <v>544.67792495316439</v>
      </c>
      <c r="E17" s="42">
        <f>270.045579608*Deflactores!$U$5</f>
        <v>412.45033175370781</v>
      </c>
      <c r="F17" s="42">
        <f>412.035071887*Deflactores!$V$5</f>
        <v>595.8303285632129</v>
      </c>
      <c r="G17" s="42">
        <f>330.504086272*Deflactores!$W$5</f>
        <v>422.49916827484032</v>
      </c>
      <c r="H17" s="42">
        <f>484.836286945*Deflactores!$X$5</f>
        <v>567.15720711240385</v>
      </c>
      <c r="I17" s="42">
        <f>375.665563998*Deflactores!$Y$5</f>
        <v>417.72838350105013</v>
      </c>
      <c r="J17" s="42">
        <f>281.450237264*Deflactores!$Z$5</f>
        <v>297.774351025312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649.80718938*Deflactores!$T$5</f>
        <v>1008.4527345476046</v>
      </c>
      <c r="E18" s="50">
        <f>729.492084062*Deflactores!$U$5</f>
        <v>1114.1795119173362</v>
      </c>
      <c r="F18" s="50">
        <f>756.860043066*Deflactores!$V$5</f>
        <v>1094.4703470777783</v>
      </c>
      <c r="G18" s="50">
        <f>722.198435191*Deflactores!$W$5</f>
        <v>923.22077357455919</v>
      </c>
      <c r="H18" s="50">
        <f>957.891217249*Deflactores!$X$5</f>
        <v>1120.5326872616552</v>
      </c>
      <c r="I18" s="50">
        <f>957.151438402*Deflactores!$Y$5</f>
        <v>1064.3225289915076</v>
      </c>
      <c r="J18" s="50">
        <f>920.436549416*Deflactores!$Z$5</f>
        <v>973.82186928212809</v>
      </c>
      <c r="K18" s="50">
        <f>1190.811716398*Deflactores!$AA$5</f>
        <v>1190.811716398</v>
      </c>
    </row>
    <row r="19" spans="3:11" x14ac:dyDescent="0.2">
      <c r="C19" s="87" t="s">
        <v>127</v>
      </c>
      <c r="D19" s="42">
        <f>647.367*Deflactores!$T$5</f>
        <v>1004.6657409696743</v>
      </c>
      <c r="E19" s="42">
        <f>690.460829558*Deflactores!$U$5</f>
        <v>1054.5656723117895</v>
      </c>
      <c r="F19" s="42">
        <f>776.347897349*Deflactores!$V$5</f>
        <v>1122.6510904481299</v>
      </c>
      <c r="G19" s="42">
        <f>971.637279727*Deflactores!$W$5</f>
        <v>1242.0903692296176</v>
      </c>
      <c r="H19" s="42">
        <f>1183.665725483*Deflactores!$X$5</f>
        <v>1384.6417132877905</v>
      </c>
      <c r="I19" s="42">
        <f>1371.608*Deflactores!$Y$5</f>
        <v>1525.1852912452703</v>
      </c>
      <c r="J19" s="42">
        <f>1566.670325863*Deflactores!$Z$5</f>
        <v>1657.5372047630542</v>
      </c>
      <c r="K19" s="42">
        <f>1332.772*Deflactores!$AA$5</f>
        <v>1332.7719999999999</v>
      </c>
    </row>
    <row r="20" spans="3:11" x14ac:dyDescent="0.2">
      <c r="C20" s="88" t="s">
        <v>128</v>
      </c>
      <c r="D20" s="50">
        <f>372.932811057*Deflactores!$T$5</f>
        <v>578.76416152272895</v>
      </c>
      <c r="E20" s="50">
        <f>368.359243969*Deflactores!$U$5</f>
        <v>562.60832930537686</v>
      </c>
      <c r="F20" s="50">
        <f>598.645211057*Deflactores!$V$5</f>
        <v>865.68109642547165</v>
      </c>
      <c r="G20" s="50">
        <f>548.947605809*Deflactores!$W$5</f>
        <v>701.74595871680845</v>
      </c>
      <c r="H20" s="50">
        <f>788.20390568*Deflactores!$X$5</f>
        <v>922.03396861520253</v>
      </c>
      <c r="I20" s="50">
        <f>1305.349852005*Deflactores!$Y$5</f>
        <v>1451.5082984403828</v>
      </c>
      <c r="J20" s="50">
        <f>1056.187262962*Deflactores!$Z$5</f>
        <v>1117.4461242137961</v>
      </c>
      <c r="K20" s="50">
        <f>1130.162561919*Deflactores!$AA$5</f>
        <v>1130.1625619189999</v>
      </c>
    </row>
    <row r="21" spans="3:11" x14ac:dyDescent="0.2">
      <c r="C21" s="87" t="s">
        <v>129</v>
      </c>
      <c r="D21" s="42">
        <f>31357.899513172*Deflactores!$T$5</f>
        <v>48665.142569289965</v>
      </c>
      <c r="E21" s="42">
        <f>33511.759638076*Deflactores!$U$5</f>
        <v>51183.716469045627</v>
      </c>
      <c r="F21" s="42">
        <f>36472.325436507*Deflactores!$V$5</f>
        <v>52741.426958572527</v>
      </c>
      <c r="G21" s="42">
        <f>39645.505738811*Deflactores!$W$5</f>
        <v>50680.744645008395</v>
      </c>
      <c r="H21" s="42">
        <f>45303.012*Deflactores!$X$5</f>
        <v>52995.063388509217</v>
      </c>
      <c r="I21" s="42">
        <f>52970.342283668*Deflactores!$Y$5</f>
        <v>58901.3675359708</v>
      </c>
      <c r="J21" s="42">
        <f>57290.4742089203*Deflactores!$Z$5</f>
        <v>60613.32171303768</v>
      </c>
      <c r="K21" s="42">
        <f>62594.792324886*Deflactores!$AA$5</f>
        <v>62594.792324886002</v>
      </c>
    </row>
    <row r="22" spans="3:11" x14ac:dyDescent="0.2">
      <c r="C22" s="88" t="s">
        <v>130</v>
      </c>
      <c r="D22" s="50">
        <f>499.630371065*Deflactores!$T$5</f>
        <v>775.38941119484252</v>
      </c>
      <c r="E22" s="50">
        <f>461.981328593*Deflactores!$U$5</f>
        <v>705.60070829078938</v>
      </c>
      <c r="F22" s="50">
        <f>767.722084933*Deflactores!$V$5</f>
        <v>1110.1775875921414</v>
      </c>
      <c r="G22" s="50">
        <f>898.135598597*Deflactores!$W$5</f>
        <v>1148.1296575951169</v>
      </c>
      <c r="H22" s="50">
        <f>948.780870577*Deflactores!$X$5</f>
        <v>1109.8754841738353</v>
      </c>
      <c r="I22" s="50">
        <f>1058.666759556*Deflactores!$Y$5</f>
        <v>1177.2043980533101</v>
      </c>
      <c r="J22" s="50">
        <f>449.600696578*Deflactores!$Z$5</f>
        <v>475.67753697952401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41436.619001368*Deflactores!$T$5</f>
        <v>64306.570356980621</v>
      </c>
      <c r="E23" s="42">
        <f>44586.195241894*Deflactores!$U$5</f>
        <v>68098.100497883439</v>
      </c>
      <c r="F23" s="42">
        <f>48065.263487952*Deflactores!$V$5</f>
        <v>69505.59234034807</v>
      </c>
      <c r="G23" s="42">
        <f>49722.974844481*Deflactores!$W$5</f>
        <v>63563.255005128216</v>
      </c>
      <c r="H23" s="42">
        <f>59011.675314875*Deflactores!$X$5</f>
        <v>69031.336679643398</v>
      </c>
      <c r="I23" s="42">
        <f>70075.896899264*Deflactores!$Y$5</f>
        <v>77922.210443200602</v>
      </c>
      <c r="J23" s="42">
        <f>80158.0865108663*Deflactores!$Z$5</f>
        <v>84807.255528496549</v>
      </c>
      <c r="K23" s="42">
        <f>88159.15625474*Deflactores!$AA$5</f>
        <v>88159.156254739995</v>
      </c>
    </row>
    <row r="24" spans="3:11" x14ac:dyDescent="0.2">
      <c r="C24" s="88" t="s">
        <v>132</v>
      </c>
      <c r="D24" s="50">
        <f>43.89019714*Deflactores!$T$5</f>
        <v>68.114342298824596</v>
      </c>
      <c r="E24" s="50">
        <f>47.15463742*Deflactores!$U$5</f>
        <v>72.020974665969447</v>
      </c>
      <c r="F24" s="50">
        <f>52.401741241*Deflactores!$V$5</f>
        <v>75.776429802248074</v>
      </c>
      <c r="G24" s="50">
        <f>53.619991985*Deflactores!$W$5</f>
        <v>68.544998254338864</v>
      </c>
      <c r="H24" s="50">
        <f>55.628389568*Deflactores!$X$5</f>
        <v>65.073598889116795</v>
      </c>
      <c r="I24" s="50">
        <f>59.810945242*Deflactores!$Y$5</f>
        <v>66.507904546032606</v>
      </c>
      <c r="J24" s="50">
        <f>63.051262597*Deflactores!$Z$5</f>
        <v>66.708235827625998</v>
      </c>
      <c r="K24" s="50">
        <f>62.804200049*Deflactores!$AA$5</f>
        <v>62.804200049000002</v>
      </c>
    </row>
    <row r="25" spans="3:11" x14ac:dyDescent="0.2">
      <c r="C25" s="87" t="s">
        <v>133</v>
      </c>
      <c r="D25" s="42">
        <f>3801.364715368*Deflactores!$T$5</f>
        <v>5899.4371020783683</v>
      </c>
      <c r="E25" s="42">
        <f>3938.500071956*Deflactores!$U$5</f>
        <v>6015.4128930689994</v>
      </c>
      <c r="F25" s="42">
        <f>4407.61265739*Deflactores!$V$5</f>
        <v>6373.7033010439654</v>
      </c>
      <c r="G25" s="42">
        <f>4727.547948948*Deflactores!$W$5</f>
        <v>6043.450472700476</v>
      </c>
      <c r="H25" s="42">
        <f>5408.025041101*Deflactores!$X$5</f>
        <v>6326.2599374141537</v>
      </c>
      <c r="I25" s="42">
        <f>5975.962549919*Deflactores!$Y$5</f>
        <v>6645.0838593599901</v>
      </c>
      <c r="J25" s="42">
        <f>6814.249144023*Deflactores!$Z$5</f>
        <v>7209.4755943763339</v>
      </c>
      <c r="K25" s="42">
        <f>7157.63184582*Deflactores!$AA$5</f>
        <v>7157.6318458200003</v>
      </c>
    </row>
    <row r="26" spans="3:11" x14ac:dyDescent="0.2">
      <c r="C26" s="88" t="s">
        <v>134</v>
      </c>
      <c r="D26" s="50">
        <f>10278.962512542*Deflactores!$T$5</f>
        <v>15952.190162709119</v>
      </c>
      <c r="E26" s="50">
        <f>40603.961281009*Deflactores!$U$5</f>
        <v>62015.891262419835</v>
      </c>
      <c r="F26" s="50">
        <f>23818.0966236651*Deflactores!$V$5</f>
        <v>34442.564008048168</v>
      </c>
      <c r="G26" s="50">
        <f>17897.698561544*Deflactores!$W$5</f>
        <v>22879.483402401645</v>
      </c>
      <c r="H26" s="50">
        <f>41269.715902469*Deflactores!$X$5</f>
        <v>48276.949229713719</v>
      </c>
      <c r="I26" s="50">
        <f>32340.617698929*Deflactores!$Y$5</f>
        <v>35961.757604354141</v>
      </c>
      <c r="J26" s="50">
        <f>24492.8674779056*Deflactores!$Z$5</f>
        <v>25913.453791624124</v>
      </c>
      <c r="K26" s="50">
        <f>33029.178605621*Deflactores!$AA$5</f>
        <v>33029.178605620997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584.89558474069247</v>
      </c>
      <c r="I27" s="42">
        <f>7881.726289979*Deflactores!$Y$5</f>
        <v>8764.2336637706449</v>
      </c>
      <c r="J27" s="42">
        <f>6854.864793304*Deflactores!$Z$5</f>
        <v>7252.4469513156328</v>
      </c>
      <c r="K27" s="42">
        <f>6685.228894339*Deflactores!$AA$5</f>
        <v>6685.2288943390004</v>
      </c>
    </row>
    <row r="28" spans="3:11" x14ac:dyDescent="0.2">
      <c r="C28" s="88" t="s">
        <v>136</v>
      </c>
      <c r="D28" s="50">
        <f>8846.272112976*Deflactores!$T$5</f>
        <v>13728.760544177258</v>
      </c>
      <c r="E28" s="50">
        <f>15516.748561204*Deflactores!$U$5</f>
        <v>23699.288472329667</v>
      </c>
      <c r="F28" s="50">
        <f>20941.657735447*Deflactores!$V$5</f>
        <v>30283.040596582316</v>
      </c>
      <c r="G28" s="50">
        <f>20202.332456994*Deflactores!$W$5</f>
        <v>25825.607049430582</v>
      </c>
      <c r="H28" s="50">
        <f>18011.266579252*Deflactores!$X$5</f>
        <v>21069.420595584179</v>
      </c>
      <c r="I28" s="50">
        <f>13356.452735708*Deflactores!$Y$5</f>
        <v>14851.958617706003</v>
      </c>
      <c r="J28" s="50">
        <f>10911.027645757*Deflactores!$Z$5</f>
        <v>11543.867249210907</v>
      </c>
      <c r="K28" s="50">
        <f>13154.776421214*Deflactores!$AA$5</f>
        <v>13154.776421213999</v>
      </c>
    </row>
    <row r="29" spans="3:11" x14ac:dyDescent="0.2">
      <c r="C29" s="87" t="s">
        <v>137</v>
      </c>
      <c r="D29" s="42">
        <f>339.51981743*Deflactores!$T$5</f>
        <v>526.90966476851543</v>
      </c>
      <c r="E29" s="42">
        <f>341.34847086*Deflactores!$U$5</f>
        <v>521.35380351049832</v>
      </c>
      <c r="F29" s="42">
        <f>501.513935051*Deflactores!$V$5</f>
        <v>725.22276157699821</v>
      </c>
      <c r="G29" s="42">
        <f>584.669015718*Deflactores!$W$5</f>
        <v>747.41034412999329</v>
      </c>
      <c r="H29" s="42">
        <f>972.068612575*Deflactores!$X$5</f>
        <v>1137.1172791202566</v>
      </c>
      <c r="I29" s="42">
        <f>1228.01033096*Deflactores!$Y$5</f>
        <v>1365.5091646282526</v>
      </c>
      <c r="J29" s="42">
        <f>967.051821949*Deflactores!$Z$5</f>
        <v>1023.140827622042</v>
      </c>
      <c r="K29" s="42">
        <f>763.939555053*Deflactores!$AA$5</f>
        <v>763.93955505300005</v>
      </c>
    </row>
    <row r="30" spans="3:11" x14ac:dyDescent="0.2">
      <c r="C30" s="88" t="s">
        <v>138</v>
      </c>
      <c r="D30" s="50">
        <f>97.627789965*Deflactores!$T$5</f>
        <v>151.511114938541</v>
      </c>
      <c r="E30" s="50">
        <f>99.695353307*Deflactores!$U$5</f>
        <v>152.26830080116267</v>
      </c>
      <c r="F30" s="50">
        <f>117.173050941*Deflactores!$V$5</f>
        <v>169.44008460541153</v>
      </c>
      <c r="G30" s="50">
        <f>111.804*Deflactores!$W$5</f>
        <v>142.92439631419506</v>
      </c>
      <c r="H30" s="50">
        <f>143.794*Deflactores!$X$5</f>
        <v>168.20895142440628</v>
      </c>
      <c r="I30" s="50">
        <f>168.585191002*Deflactores!$Y$5</f>
        <v>187.46147123523986</v>
      </c>
      <c r="J30" s="50">
        <f>175.85005386*Deflactores!$Z$5</f>
        <v>186.04935698388002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1285.20619975*Deflactores!$T$5</f>
        <v>1994.5450400941861</v>
      </c>
      <c r="E31" s="42">
        <f>1676.087913982*Deflactores!$U$5</f>
        <v>2559.9493877061645</v>
      </c>
      <c r="F31" s="42">
        <f>2109.198288477*Deflactores!$V$5</f>
        <v>3050.0420837303673</v>
      </c>
      <c r="G31" s="42">
        <f>2897.118471822*Deflactores!$W$5</f>
        <v>3703.5249958486525</v>
      </c>
      <c r="H31" s="42">
        <f>3212.847733221*Deflactores!$X$5</f>
        <v>3758.3609072102104</v>
      </c>
      <c r="I31" s="42">
        <f>3888.787990604*Deflactores!$Y$5</f>
        <v>4324.2108853553427</v>
      </c>
      <c r="J31" s="42">
        <f>4257.375653839*Deflactores!$Z$5</f>
        <v>4504.3034417616618</v>
      </c>
      <c r="K31" s="42">
        <f>4097.416797682*Deflactores!$AA$5</f>
        <v>4097.4167976819999</v>
      </c>
    </row>
    <row r="32" spans="3:11" x14ac:dyDescent="0.2">
      <c r="C32" s="88" t="s">
        <v>161</v>
      </c>
      <c r="D32" s="50">
        <f>2301.560290903*Deflactores!$T$5</f>
        <v>3571.8514769001845</v>
      </c>
      <c r="E32" s="50">
        <f>2491.243376664*Deflactores!$U$5</f>
        <v>3804.9656605223481</v>
      </c>
      <c r="F32" s="50">
        <f>2946.372463849*Deflactores!$V$5</f>
        <v>4260.6520487804646</v>
      </c>
      <c r="G32" s="50">
        <f>3242.16466669*Deflactores!$W$5</f>
        <v>4144.6140365092642</v>
      </c>
      <c r="H32" s="50">
        <f>3358.93627396*Deflactores!$X$5</f>
        <v>3929.2539921291141</v>
      </c>
      <c r="I32" s="50">
        <f>3988.868321567*Deflactores!$Y$5</f>
        <v>4435.4970901075212</v>
      </c>
      <c r="J32" s="50">
        <f>4292.477049383*Deflactores!$Z$5</f>
        <v>4541.4407182472141</v>
      </c>
      <c r="K32" s="50">
        <f>4636.128941332*Deflactores!$AA$5</f>
        <v>4636.1289413320001</v>
      </c>
    </row>
    <row r="33" spans="1:11" x14ac:dyDescent="0.2">
      <c r="C33" s="87" t="s">
        <v>140</v>
      </c>
      <c r="D33" s="42">
        <f>3203.654942707*Deflactores!$T$5</f>
        <v>4971.8357080695923</v>
      </c>
      <c r="E33" s="42">
        <f>3205.21845397*Deflactores!$U$5</f>
        <v>4895.445489617151</v>
      </c>
      <c r="F33" s="42">
        <f>4618.342935265*Deflactores!$V$5</f>
        <v>6678.4334060067604</v>
      </c>
      <c r="G33" s="42">
        <f>4584.405172311*Deflactores!$W$5</f>
        <v>5860.4642205307773</v>
      </c>
      <c r="H33" s="42">
        <f>7044.622799663*Deflactores!$X$5</f>
        <v>8240.7375433730085</v>
      </c>
      <c r="I33" s="42">
        <f>7278.596406651*Deflactores!$Y$5</f>
        <v>8093.5720558168096</v>
      </c>
      <c r="J33" s="42">
        <f>6856.308400891*Deflactores!$Z$5</f>
        <v>7253.9742881426782</v>
      </c>
      <c r="K33" s="42">
        <f>9964.096562025*Deflactores!$AA$5</f>
        <v>9964.0965620250008</v>
      </c>
    </row>
    <row r="34" spans="1:11" x14ac:dyDescent="0.2">
      <c r="C34" s="88" t="s">
        <v>141</v>
      </c>
      <c r="D34" s="50">
        <f>1878.302755191*Deflactores!$T$5</f>
        <v>2914.9870619128669</v>
      </c>
      <c r="E34" s="50">
        <f>2344.760585884*Deflactores!$U$5</f>
        <v>3581.2372227485416</v>
      </c>
      <c r="F34" s="50">
        <f>2842.980710026*Deflactores!$V$5</f>
        <v>4111.1406434310202</v>
      </c>
      <c r="G34" s="50">
        <f>3170.574440704*Deflactores!$W$5</f>
        <v>4053.0968293337974</v>
      </c>
      <c r="H34" s="50">
        <f>3986.415878127*Deflactores!$X$5</f>
        <v>4663.2740921133454</v>
      </c>
      <c r="I34" s="50">
        <f>4266.732677902*Deflactores!$Y$5</f>
        <v>4744.4735828397579</v>
      </c>
      <c r="J34" s="50">
        <f>4243.35196867*Deflactores!$Z$5</f>
        <v>4489.4663828528601</v>
      </c>
      <c r="K34" s="50">
        <f>5008.764822036*Deflactores!$AA$5</f>
        <v>5008.7648220359997</v>
      </c>
    </row>
    <row r="35" spans="1:11" x14ac:dyDescent="0.2">
      <c r="C35" s="87" t="s">
        <v>142</v>
      </c>
      <c r="D35" s="42">
        <f>362.193820179*Deflactores!$T$5</f>
        <v>562.09804133477917</v>
      </c>
      <c r="E35" s="42">
        <f>277.053739159*Deflactores!$U$5</f>
        <v>423.15414603568473</v>
      </c>
      <c r="F35" s="42">
        <f>840.748478704*Deflactores!$V$5</f>
        <v>1215.7786472181879</v>
      </c>
      <c r="G35" s="42">
        <f>1541.479384987*Deflactores!$W$5</f>
        <v>1970.5467651429615</v>
      </c>
      <c r="H35" s="42">
        <f>1624.539382176*Deflactores!$X$5</f>
        <v>1900.3718237442295</v>
      </c>
      <c r="I35" s="42">
        <f>1222.976248454*Deflactores!$Y$5</f>
        <v>1359.9114219838043</v>
      </c>
      <c r="J35" s="42">
        <f>886.631702761*Deflactores!$Z$5</f>
        <v>938.05634152113805</v>
      </c>
      <c r="K35" s="42">
        <f>1270.9527011*Deflactores!$AA$5</f>
        <v>1270.9527011</v>
      </c>
    </row>
    <row r="36" spans="1:11" x14ac:dyDescent="0.2">
      <c r="C36" s="88" t="s">
        <v>143</v>
      </c>
      <c r="D36" s="50">
        <f>1581.380102079*Deflactores!$T$5</f>
        <v>2454.1850480637686</v>
      </c>
      <c r="E36" s="50">
        <f>5313.440677923*Deflactores!$U$5</f>
        <v>8115.4091599804296</v>
      </c>
      <c r="F36" s="50">
        <f>8718.338260364*Deflactores!$V$5</f>
        <v>12607.301428026341</v>
      </c>
      <c r="G36" s="50">
        <f>5981.66412421076*Deflactores!$W$5</f>
        <v>7646.6471137624876</v>
      </c>
      <c r="H36" s="50">
        <f>5520.030805745*Deflactores!$X$5</f>
        <v>6457.2832918257154</v>
      </c>
      <c r="I36" s="50">
        <f>2881.107216984*Deflactores!$Y$5</f>
        <v>3203.7013125066287</v>
      </c>
      <c r="J36" s="50">
        <f>4070.934755621*Deflactores!$Z$5</f>
        <v>4307.0489714470186</v>
      </c>
      <c r="K36" s="50">
        <f>9501.731992416*Deflactores!$AA$5</f>
        <v>9501.7319924160001</v>
      </c>
    </row>
    <row r="37" spans="1:11" x14ac:dyDescent="0.2">
      <c r="C37" s="87" t="s">
        <v>144</v>
      </c>
      <c r="D37" s="42">
        <f>4676.900083947*Deflactores!$T$5</f>
        <v>7258.2032885206454</v>
      </c>
      <c r="E37" s="42">
        <f>4875.879900141*Deflactores!$U$5</f>
        <v>7447.1068377555257</v>
      </c>
      <c r="F37" s="42">
        <f>5437.736589865*Deflactores!$V$5</f>
        <v>7863.3315463690033</v>
      </c>
      <c r="G37" s="42">
        <f>6036.03122774*Deflactores!$W$5</f>
        <v>7716.1471804082967</v>
      </c>
      <c r="H37" s="42">
        <f>7903.13935*Deflactores!$X$5</f>
        <v>9245.0226228108531</v>
      </c>
      <c r="I37" s="42">
        <f>9329.619831189*Deflactores!$Y$5</f>
        <v>10374.246096143828</v>
      </c>
      <c r="J37" s="42">
        <f>10674.585282309*Deflactores!$Z$5</f>
        <v>11293.711228682923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1461.293723561*Deflactores!$T$5</f>
        <v>2267.8198634711785</v>
      </c>
      <c r="E38" s="50">
        <f>644.113059438*Deflactores!$U$5</f>
        <v>983.77705510950943</v>
      </c>
      <c r="F38" s="50">
        <f>1353.943460913*Deflactores!$V$5</f>
        <v>1957.8929858501178</v>
      </c>
      <c r="G38" s="50">
        <f>3219.539810582*Deflactores!$W$5</f>
        <v>4115.6916017043241</v>
      </c>
      <c r="H38" s="50">
        <f>3287.579677065*Deflactores!$X$5</f>
        <v>3845.7816751971</v>
      </c>
      <c r="I38" s="50">
        <f>1434.743967482*Deflactores!$Y$5</f>
        <v>1595.3905167558289</v>
      </c>
      <c r="J38" s="50">
        <f>2915.768021621*Deflactores!$Z$5</f>
        <v>3084.8825668750183</v>
      </c>
      <c r="K38" s="50">
        <f>6700.420794151*Deflactores!$AA$5</f>
        <v>6700.4207941510003</v>
      </c>
    </row>
    <row r="39" spans="1:11" x14ac:dyDescent="0.2">
      <c r="C39" s="87" t="s">
        <v>146</v>
      </c>
      <c r="D39" s="42">
        <f>736.17901762*Deflactores!$T$5</f>
        <v>1142.4954287498811</v>
      </c>
      <c r="E39" s="42">
        <f>813.606604506999*Deflactores!$U$5</f>
        <v>1242.6506459873867</v>
      </c>
      <c r="F39" s="42">
        <f>947.536223412999*Deflactores!$V$5</f>
        <v>1370.200882988295</v>
      </c>
      <c r="G39" s="42">
        <f>1202.41594112*Deflactores!$W$5</f>
        <v>1537.1057610026542</v>
      </c>
      <c r="H39" s="42">
        <f>1272.521463919*Deflactores!$X$5</f>
        <v>1488.5843714679711</v>
      </c>
      <c r="I39" s="42">
        <f>1222.96157046*Deflactores!$Y$5</f>
        <v>1359.8951005125432</v>
      </c>
      <c r="J39" s="42">
        <f>1300.070342079*Deflactores!$Z$5</f>
        <v>1375.474421919582</v>
      </c>
      <c r="K39" s="42">
        <f>1278.947845812*Deflactores!$AA$5</f>
        <v>1278.947845812</v>
      </c>
    </row>
    <row r="40" spans="1:11" x14ac:dyDescent="0.2">
      <c r="C40" s="88" t="s">
        <v>162</v>
      </c>
      <c r="D40" s="50">
        <f>28987.696216655*Deflactores!$T$5</f>
        <v>44986.762220671611</v>
      </c>
      <c r="E40" s="50">
        <f>34848.320764675*Deflactores!$U$5</f>
        <v>53225.094375971887</v>
      </c>
      <c r="F40" s="50">
        <f>43181.5796681788*Deflactores!$V$5</f>
        <v>62443.458232180863</v>
      </c>
      <c r="G40" s="50">
        <f>41807.9954097972*Deflactores!$W$5</f>
        <v>53445.158536831448</v>
      </c>
      <c r="H40" s="50">
        <f>53116.799123168*Deflactores!$X$5</f>
        <v>62135.562565398497</v>
      </c>
      <c r="I40" s="50">
        <f>60651.159432722*Deflactores!$Y$5</f>
        <v>67442.196504948515</v>
      </c>
      <c r="J40" s="50">
        <f>66093.289680738*Deflactores!$Z$5</f>
        <v>69926.700482220811</v>
      </c>
      <c r="K40" s="50">
        <f>77571.72467072*Deflactores!$AA$5</f>
        <v>77571.724670719996</v>
      </c>
    </row>
    <row r="41" spans="1:11" x14ac:dyDescent="0.2">
      <c r="C41" s="87" t="s">
        <v>148</v>
      </c>
      <c r="D41" s="42">
        <f>429.800784122*Deflactores!$T$5</f>
        <v>667.0190529472095</v>
      </c>
      <c r="E41" s="42">
        <f>503.025491789*Deflactores!$U$5</f>
        <v>768.28893577933889</v>
      </c>
      <c r="F41" s="42">
        <f>582.429387376*Deflactores!$V$5</f>
        <v>842.23192859729443</v>
      </c>
      <c r="G41" s="42">
        <f>620.080899014*Deflactores!$W$5</f>
        <v>792.67904688150077</v>
      </c>
      <c r="H41" s="42">
        <f>739.291751364*Deflactores!$X$5</f>
        <v>864.81696241603481</v>
      </c>
      <c r="I41" s="42">
        <f>855.471019958*Deflactores!$Y$5</f>
        <v>951.25707689553485</v>
      </c>
      <c r="J41" s="42">
        <f>967.948137067*Deflactores!$Z$5</f>
        <v>1024.0891290168861</v>
      </c>
      <c r="K41" s="42">
        <f>940.950692462*Deflactores!$AA$5</f>
        <v>940.95069246200001</v>
      </c>
    </row>
    <row r="42" spans="1:11" x14ac:dyDescent="0.2">
      <c r="C42" s="88" t="s">
        <v>149</v>
      </c>
      <c r="D42" s="50">
        <f>83.518496183*Deflactores!$T$5</f>
        <v>129.6145337225509</v>
      </c>
      <c r="E42" s="50">
        <f>54.421210989*Deflactores!$U$5</f>
        <v>83.119473977076069</v>
      </c>
      <c r="F42" s="50">
        <f>81.8916*Deflactores!$V$5</f>
        <v>118.42074197982045</v>
      </c>
      <c r="G42" s="50">
        <f>106.793*Deflactores!$W$5</f>
        <v>136.5185955384587</v>
      </c>
      <c r="H42" s="50">
        <f>108.200203899*Deflactores!$X$5</f>
        <v>126.57164305713552</v>
      </c>
      <c r="I42" s="50">
        <f>926.436055307*Deflactores!$Y$5</f>
        <v>1030.1679815468603</v>
      </c>
      <c r="J42" s="50">
        <f>631.671777708*Deflactores!$Z$5</f>
        <v>668.30874081506408</v>
      </c>
      <c r="K42" s="50">
        <f>305.78732957*Deflactores!$AA$5</f>
        <v>305.78732957</v>
      </c>
    </row>
    <row r="43" spans="1:11" x14ac:dyDescent="0.2">
      <c r="C43" s="87" t="s">
        <v>163</v>
      </c>
      <c r="D43" s="42">
        <f>26383.610593279*Deflactores!$T$5</f>
        <v>40945.413785614648</v>
      </c>
      <c r="E43" s="42">
        <f>30833.183675652*Deflactores!$U$5</f>
        <v>47092.631008831864</v>
      </c>
      <c r="F43" s="42">
        <f>26181.119856046*Deflactores!$V$5</f>
        <v>37859.653972026157</v>
      </c>
      <c r="G43" s="42">
        <f>32827.56258787*Deflactores!$W$5</f>
        <v>41965.042085594214</v>
      </c>
      <c r="H43" s="42">
        <f>32404.528468452*Deflactores!$X$5</f>
        <v>37906.531253603302</v>
      </c>
      <c r="I43" s="42">
        <f>37890.077656283*Deflactores!$Y$5</f>
        <v>42132.583890954193</v>
      </c>
      <c r="J43" s="42">
        <f>48752.785180547*Deflactores!$Z$5</f>
        <v>51580.446721018729</v>
      </c>
      <c r="K43" s="42">
        <f>53737.787544292*Deflactores!$AA$5</f>
        <v>53737.787544291998</v>
      </c>
    </row>
    <row r="44" spans="1:11" x14ac:dyDescent="0.2">
      <c r="C44" s="88" t="s">
        <v>150</v>
      </c>
      <c r="D44" s="50">
        <f>4690.830839722*Deflactores!$T$5</f>
        <v>7279.8227919444498</v>
      </c>
      <c r="E44" s="50">
        <f>5054.289106832*Deflactores!$U$5</f>
        <v>7719.5976394729068</v>
      </c>
      <c r="F44" s="50">
        <f>7939.956777833*Deflactores!$V$5</f>
        <v>11481.709637114043</v>
      </c>
      <c r="G44" s="50">
        <f>9000.564474142*Deflactores!$W$5</f>
        <v>11505.851704355264</v>
      </c>
      <c r="H44" s="50">
        <f>9325.25861041*Deflactores!$X$5</f>
        <v>10908.605175587867</v>
      </c>
      <c r="I44" s="50">
        <f>10153.55116797*Deflactores!$Y$5</f>
        <v>11290.432029628057</v>
      </c>
      <c r="J44" s="50">
        <f>8832.279947778*Deflactores!$Z$5</f>
        <v>9344.5521847491254</v>
      </c>
      <c r="K44" s="50">
        <f>10550.745938111*Deflactores!$AA$5</f>
        <v>10550.745938111</v>
      </c>
    </row>
    <row r="45" spans="1:11" x14ac:dyDescent="0.2">
      <c r="C45" s="87" t="s">
        <v>151</v>
      </c>
      <c r="D45" s="42">
        <f>4150.67212431*Deflactores!$T$5</f>
        <v>6441.5363855310488</v>
      </c>
      <c r="E45" s="42">
        <f>4367.675378358*Deflactores!$U$5</f>
        <v>6670.9077830907436</v>
      </c>
      <c r="F45" s="42">
        <f>5976.574657216*Deflactores!$V$5</f>
        <v>8642.5275047173309</v>
      </c>
      <c r="G45" s="42">
        <f>5824.493172477*Deflactores!$W$5</f>
        <v>7445.7279749599847</v>
      </c>
      <c r="H45" s="42">
        <f>7950.394320144*Deflactores!$X$5</f>
        <v>9300.3010695994108</v>
      </c>
      <c r="I45" s="42">
        <f>9141.143100719*Deflactores!$Y$5</f>
        <v>10164.665853789715</v>
      </c>
      <c r="J45" s="42">
        <f>8343.751804098*Deflactores!$Z$5</f>
        <v>8827.6894087356832</v>
      </c>
      <c r="K45" s="42">
        <f>7276.872469107*Deflactores!$AA$5</f>
        <v>7276.8724691070001</v>
      </c>
    </row>
    <row r="46" spans="1:11" ht="21.75" customHeight="1" x14ac:dyDescent="0.2">
      <c r="C46" s="79" t="s">
        <v>152</v>
      </c>
      <c r="D46" s="44">
        <f t="shared" ref="D46:K46" si="0">SUM(D15:D45)</f>
        <v>284969.12223415804</v>
      </c>
      <c r="E46" s="44">
        <f t="shared" si="0"/>
        <v>367781.78517693712</v>
      </c>
      <c r="F46" s="44">
        <f t="shared" si="0"/>
        <v>368343.56123230205</v>
      </c>
      <c r="G46" s="44">
        <f t="shared" si="0"/>
        <v>335073.46796839434</v>
      </c>
      <c r="H46" s="44">
        <f t="shared" si="0"/>
        <v>377782.68623319064</v>
      </c>
      <c r="I46" s="44">
        <f t="shared" si="0"/>
        <v>393390.69418022234</v>
      </c>
      <c r="J46" s="44">
        <f t="shared" si="0"/>
        <v>393095.81378172501</v>
      </c>
      <c r="K46" s="44">
        <f t="shared" si="0"/>
        <v>425592.00894771091</v>
      </c>
    </row>
    <row r="47" spans="1:11" s="31" customFormat="1" ht="22.5" x14ac:dyDescent="0.2">
      <c r="A47" s="5"/>
      <c r="B47" s="5"/>
      <c r="C47" s="184" t="str">
        <f>+'C8 B Ejec. Sect. PGN 19-26'!C47</f>
        <v>* Información con corte a 30 de abril  no incluye provisión incremento salarial en los sectores que está prevista en el sector Hacienda</v>
      </c>
      <c r="D47" s="123">
        <f>+D46-'C6 Ejec. Nac 19-26'!D33</f>
        <v>1.2223608791828156E-9</v>
      </c>
      <c r="E47" s="123">
        <f>+E46-'C6 Ejec. Nac 19-26'!E33</f>
        <v>6.9849193096160889E-10</v>
      </c>
      <c r="F47" s="123">
        <f>+F46-'C6 Ejec. Nac 19-26'!F33</f>
        <v>0</v>
      </c>
      <c r="G47" s="123">
        <f>+G46-'C6 Ejec. Nac 19-26'!G33</f>
        <v>0</v>
      </c>
      <c r="H47" s="123">
        <f>+H46-'C6 Ejec. Nac 19-26'!H33</f>
        <v>0</v>
      </c>
      <c r="I47" s="123">
        <f>+I46-'C6 Ejec. Nac 19-26'!I33</f>
        <v>0</v>
      </c>
      <c r="J47" s="123">
        <f>+J46-'C6 Ejec. Nac 19-26'!J33</f>
        <v>8.149072527885437E-10</v>
      </c>
      <c r="K47" s="123">
        <f>+K46-'C6 Ejec. Nac 19-26'!K33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D52" s="155" t="s">
        <v>153</v>
      </c>
      <c r="E52" s="178"/>
      <c r="F52" s="178"/>
      <c r="G52" s="178"/>
      <c r="H52" s="178"/>
      <c r="I52" s="178"/>
      <c r="J52" s="178"/>
      <c r="K52" s="178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ht="12" thickBot="1" x14ac:dyDescent="0.25">
      <c r="C55" s="176" t="s">
        <v>120</v>
      </c>
      <c r="D55" s="153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10</v>
      </c>
    </row>
    <row r="56" spans="3:11" ht="12" customHeight="1" thickBot="1" x14ac:dyDescent="0.25">
      <c r="C56" s="160"/>
      <c r="D56" s="154"/>
      <c r="E56" s="154"/>
      <c r="F56" s="154"/>
      <c r="G56" s="154"/>
      <c r="H56" s="154"/>
      <c r="I56" s="154"/>
      <c r="J56" s="154"/>
      <c r="K56" s="154"/>
    </row>
    <row r="57" spans="3:11" x14ac:dyDescent="0.2">
      <c r="C57" s="87" t="s">
        <v>123</v>
      </c>
      <c r="D57" s="42">
        <f>2109.46148441399*Deflactores!$T$5</f>
        <v>3273.7283261052394</v>
      </c>
      <c r="E57" s="42">
        <f>1605.26097287806*Deflactores!$U$5</f>
        <v>2451.7728517383271</v>
      </c>
      <c r="F57" s="42">
        <f>2151.57635932346*Deflactores!$V$5</f>
        <v>3111.3236143551344</v>
      </c>
      <c r="G57" s="42">
        <f>2251.80277596243*Deflactores!$W$5</f>
        <v>2878.5871021882845</v>
      </c>
      <c r="H57" s="42">
        <f>4813.81641969647*Deflactores!$X$5</f>
        <v>5631.1599392654271</v>
      </c>
      <c r="I57" s="42">
        <f>7529.68804314529*Deflactores!$Y$5</f>
        <v>8372.7781196016495</v>
      </c>
      <c r="J57" s="42">
        <f>4689.28010698354*Deflactores!$Z$5</f>
        <v>4961.2583531885848</v>
      </c>
      <c r="K57" s="42">
        <f>1803.26606365183*Deflactores!$AA$5</f>
        <v>1803.2660636518301</v>
      </c>
    </row>
    <row r="58" spans="3:11" x14ac:dyDescent="0.2">
      <c r="C58" s="88" t="s">
        <v>124</v>
      </c>
      <c r="D58" s="50">
        <f>476.37925131732*Deflactores!$T$5</f>
        <v>739.30539169789938</v>
      </c>
      <c r="E58" s="50">
        <f>556.352925991079*Deflactores!$U$5</f>
        <v>849.73784510845837</v>
      </c>
      <c r="F58" s="50">
        <f>790.93639237373*Deflactores!$V$5</f>
        <v>1143.747031975679</v>
      </c>
      <c r="G58" s="50">
        <f>961.8216149836*Deflactores!$W$5</f>
        <v>1229.5425358974205</v>
      </c>
      <c r="H58" s="50">
        <f>1508.05714265367*Deflactores!$X$5</f>
        <v>1764.1119285495924</v>
      </c>
      <c r="I58" s="50">
        <f>1742.36881339849*Deflactores!$Y$5</f>
        <v>1937.4597451457355</v>
      </c>
      <c r="J58" s="50">
        <f>1464.82353425646*Deflactores!$Z$5</f>
        <v>1549.7832992433348</v>
      </c>
      <c r="K58" s="50">
        <f>670.860458899279*Deflactores!$AA$5</f>
        <v>670.86045889927902</v>
      </c>
    </row>
    <row r="59" spans="3:11" x14ac:dyDescent="0.2">
      <c r="C59" s="87" t="s">
        <v>125</v>
      </c>
      <c r="D59" s="42">
        <f>350.05227755947*Deflactores!$T$5</f>
        <v>543.2552644982012</v>
      </c>
      <c r="E59" s="42">
        <f>266.59040046537*Deflactores!$U$5</f>
        <v>407.17311230906847</v>
      </c>
      <c r="F59" s="42">
        <f>407.942990848219*Deflactores!$V$5</f>
        <v>589.91290512962496</v>
      </c>
      <c r="G59" s="42">
        <f>327.212574684229*Deflactores!$W$5</f>
        <v>418.29147171082343</v>
      </c>
      <c r="H59" s="42">
        <f>477.96120264284*Deflactores!$X$5</f>
        <v>559.11479420629701</v>
      </c>
      <c r="I59" s="42">
        <f>368.51494771048*Deflactores!$Y$5</f>
        <v>409.77712134373962</v>
      </c>
      <c r="J59" s="42">
        <f>274.46519305375*Deflactores!$Z$5</f>
        <v>290.38417425086749</v>
      </c>
      <c r="K59" s="42">
        <f>222.76506758782*Deflactores!$AA$5</f>
        <v>222.76506758782</v>
      </c>
    </row>
    <row r="60" spans="3:11" x14ac:dyDescent="0.2">
      <c r="C60" s="88" t="s">
        <v>126</v>
      </c>
      <c r="D60" s="50">
        <f>639.75747425612*Deflactores!$T$5</f>
        <v>992.85631938979304</v>
      </c>
      <c r="E60" s="50">
        <f>716.79254142148*Deflactores!$U$5</f>
        <v>1094.7830434292896</v>
      </c>
      <c r="F60" s="50">
        <f>740.33408287456*Deflactores!$V$5</f>
        <v>1070.5727010701376</v>
      </c>
      <c r="G60" s="50">
        <f>706.76809537421*Deflactores!$W$5</f>
        <v>903.4954327706738</v>
      </c>
      <c r="H60" s="50">
        <f>945.01795190465*Deflactores!$X$5</f>
        <v>1105.4736551394437</v>
      </c>
      <c r="I60" s="50">
        <f>935.29392817523*Deflactores!$Y$5</f>
        <v>1040.0176597423397</v>
      </c>
      <c r="J60" s="50">
        <f>906.60455047624*Deflactores!$Z$5</f>
        <v>959.18761440386197</v>
      </c>
      <c r="K60" s="50">
        <f>992.45885787893*Deflactores!$AA$5</f>
        <v>992.45885787892996</v>
      </c>
    </row>
    <row r="61" spans="3:11" x14ac:dyDescent="0.2">
      <c r="C61" s="87" t="s">
        <v>127</v>
      </c>
      <c r="D61" s="42">
        <f>636.93320394978*Deflactores!$T$5</f>
        <v>988.4732605993114</v>
      </c>
      <c r="E61" s="42">
        <f>684.61391961214*Deflactores!$U$5</f>
        <v>1045.6354763411514</v>
      </c>
      <c r="F61" s="42">
        <f>745.77291119638*Deflactores!$V$5</f>
        <v>1078.4376113340816</v>
      </c>
      <c r="G61" s="42">
        <f>918.75331715076*Deflactores!$W$5</f>
        <v>1174.4862725433488</v>
      </c>
      <c r="H61" s="42">
        <f>1160.37816599848*Deflactores!$X$5</f>
        <v>1357.4001318440264</v>
      </c>
      <c r="I61" s="42">
        <f>1303.64901856052*Deflactores!$Y$5</f>
        <v>1449.6170247292503</v>
      </c>
      <c r="J61" s="42">
        <f>1355.00451363828*Deflactores!$Z$5</f>
        <v>1433.5947754293004</v>
      </c>
      <c r="K61" s="42">
        <f>657.4982312192*Deflactores!$AA$5</f>
        <v>657.49823121919997</v>
      </c>
    </row>
    <row r="62" spans="3:11" x14ac:dyDescent="0.2">
      <c r="C62" s="88" t="s">
        <v>128</v>
      </c>
      <c r="D62" s="50">
        <f>370.97818661516*Deflactores!$T$5</f>
        <v>575.73072884361704</v>
      </c>
      <c r="E62" s="50">
        <f>367.53482156345*Deflactores!$U$5</f>
        <v>561.34915929723275</v>
      </c>
      <c r="F62" s="50">
        <f>584.76850981389*Deflactores!$V$5</f>
        <v>845.61445641060584</v>
      </c>
      <c r="G62" s="50">
        <f>536.076814312962*Deflactores!$W$5</f>
        <v>685.29261085217831</v>
      </c>
      <c r="H62" s="50">
        <f>779.016601113635*Deflactores!$X$5</f>
        <v>911.28674086213266</v>
      </c>
      <c r="I62" s="50">
        <f>1291.96489769429*Deflactores!$Y$5</f>
        <v>1436.6246469607436</v>
      </c>
      <c r="J62" s="50">
        <f>1051.92169154398*Deflactores!$Z$5</f>
        <v>1112.9331496535308</v>
      </c>
      <c r="K62" s="50">
        <f>597.26288616971*Deflactores!$AA$5</f>
        <v>597.26288616970999</v>
      </c>
    </row>
    <row r="63" spans="3:11" x14ac:dyDescent="0.2">
      <c r="C63" s="87" t="s">
        <v>129</v>
      </c>
      <c r="D63" s="42">
        <f>31328.0848319591*Deflactores!$T$5</f>
        <v>48618.872387472642</v>
      </c>
      <c r="E63" s="42">
        <f>33428.715498006*Deflactores!$U$5</f>
        <v>51056.880165441646</v>
      </c>
      <c r="F63" s="42">
        <f>35946.5156150983*Deflactores!$V$5</f>
        <v>51981.070717010574</v>
      </c>
      <c r="G63" s="42">
        <f>39018.4015798964*Deflactores!$W$5</f>
        <v>49879.087429354302</v>
      </c>
      <c r="H63" s="42">
        <f>44900.6101253405*Deflactores!$X$5</f>
        <v>52524.337228949778</v>
      </c>
      <c r="I63" s="42">
        <f>52543.7171166216*Deflactores!$Y$5</f>
        <v>58426.973664212812</v>
      </c>
      <c r="J63" s="42">
        <f>57125.446765525*Deflactores!$Z$5</f>
        <v>60438.722677925449</v>
      </c>
      <c r="K63" s="42">
        <f>22021.5327231748*Deflactores!$AA$5</f>
        <v>22021.532723174802</v>
      </c>
    </row>
    <row r="64" spans="3:11" x14ac:dyDescent="0.2">
      <c r="C64" s="88" t="s">
        <v>130</v>
      </c>
      <c r="D64" s="50">
        <f>481.20349976978*Deflactores!$T$5</f>
        <v>746.79226876471398</v>
      </c>
      <c r="E64" s="50">
        <f>442.03751439524*Deflactores!$U$5</f>
        <v>675.13980315677054</v>
      </c>
      <c r="F64" s="50">
        <f>733.24381649454*Deflactores!$V$5</f>
        <v>1060.3197006945613</v>
      </c>
      <c r="G64" s="50">
        <f>878.91889869088*Deflactores!$W$5</f>
        <v>1123.5640317388572</v>
      </c>
      <c r="H64" s="50">
        <f>698.67283655832*Deflactores!$X$5</f>
        <v>817.30131456243373</v>
      </c>
      <c r="I64" s="50">
        <f>992.07376549019*Deflactores!$Y$5</f>
        <v>1103.1550668674631</v>
      </c>
      <c r="J64" s="50">
        <f>442.66369772782*Deflactores!$Z$5</f>
        <v>468.33819219603362</v>
      </c>
      <c r="K64" s="50">
        <f>394.28981711863*Deflactores!$AA$5</f>
        <v>394.28981711863003</v>
      </c>
    </row>
    <row r="65" spans="3:11" x14ac:dyDescent="0.2">
      <c r="C65" s="87" t="s">
        <v>131</v>
      </c>
      <c r="D65" s="42">
        <f>41429.5954202998*Deflactores!$T$5</f>
        <v>64295.670278233709</v>
      </c>
      <c r="E65" s="42">
        <f>44580.3060162541*Deflactores!$U$5</f>
        <v>68089.105671630503</v>
      </c>
      <c r="F65" s="42">
        <f>48053.2547193227*Deflactores!$V$5</f>
        <v>69488.226856081732</v>
      </c>
      <c r="G65" s="42">
        <f>49689.2435639159*Deflactores!$W$5</f>
        <v>63520.134697163638</v>
      </c>
      <c r="H65" s="42">
        <f>58498.9910696492*Deflactores!$X$5</f>
        <v>68431.603176846038</v>
      </c>
      <c r="I65" s="42">
        <f>69982.1293204175*Deflactores!$Y$5</f>
        <v>77817.943821795401</v>
      </c>
      <c r="J65" s="42">
        <f>79842.2684107054*Deflactores!$Z$5</f>
        <v>84473.119978526316</v>
      </c>
      <c r="K65" s="42">
        <f>43988.7374746111*Deflactores!$AA$5</f>
        <v>43988.737474611102</v>
      </c>
    </row>
    <row r="66" spans="3:11" x14ac:dyDescent="0.2">
      <c r="C66" s="88" t="s">
        <v>132</v>
      </c>
      <c r="D66" s="50">
        <f>39.99647523325*Deflactores!$T$5</f>
        <v>62.071573661290032</v>
      </c>
      <c r="E66" s="50">
        <f>43.08739883447*Deflactores!$U$5</f>
        <v>65.808934808259323</v>
      </c>
      <c r="F66" s="50">
        <f>49.49284182321*Deflactores!$V$5</f>
        <v>71.569966289514653</v>
      </c>
      <c r="G66" s="50">
        <f>49.44353830894*Deflactores!$W$5</f>
        <v>63.206037927471527</v>
      </c>
      <c r="H66" s="50">
        <f>53.9701232038699*Deflactores!$X$5</f>
        <v>63.133773539709402</v>
      </c>
      <c r="I66" s="50">
        <f>56.53164470031*Deflactores!$Y$5</f>
        <v>62.861424683157615</v>
      </c>
      <c r="J66" s="50">
        <f>60.97380561627*Deflactores!$Z$5</f>
        <v>64.510286342013657</v>
      </c>
      <c r="K66" s="50">
        <f>21.63211442496*Deflactores!$AA$5</f>
        <v>21.632114424960001</v>
      </c>
    </row>
    <row r="67" spans="3:11" x14ac:dyDescent="0.2">
      <c r="C67" s="87" t="s">
        <v>133</v>
      </c>
      <c r="D67" s="42">
        <f>3776.17322268774*Deflactores!$T$5</f>
        <v>5860.3417671914403</v>
      </c>
      <c r="E67" s="42">
        <f>3896.74692604511*Deflactores!$U$5</f>
        <v>5951.6418107661311</v>
      </c>
      <c r="F67" s="42">
        <f>4209.52690074424*Deflactores!$V$5</f>
        <v>6087.2580212152034</v>
      </c>
      <c r="G67" s="42">
        <f>4683.04628814377*Deflactores!$W$5</f>
        <v>5986.5618729596463</v>
      </c>
      <c r="H67" s="42">
        <f>5368.64045222389*Deflactores!$X$5</f>
        <v>6280.1881931320559</v>
      </c>
      <c r="I67" s="42">
        <f>5900.95665718845*Deflactores!$Y$5</f>
        <v>6561.6796474063167</v>
      </c>
      <c r="J67" s="42">
        <f>6790.3031862481*Deflactores!$Z$5</f>
        <v>7184.14077105049</v>
      </c>
      <c r="K67" s="42">
        <f>2155.53825069914*Deflactores!$AA$5</f>
        <v>2155.53825069914</v>
      </c>
    </row>
    <row r="68" spans="3:11" x14ac:dyDescent="0.2">
      <c r="C68" s="88" t="s">
        <v>134</v>
      </c>
      <c r="D68" s="50">
        <f>9381.31700132766*Deflactores!$T$5</f>
        <v>14559.110668925441</v>
      </c>
      <c r="E68" s="50">
        <f>20557.4860423517*Deflactores!$U$5</f>
        <v>31398.188226218201</v>
      </c>
      <c r="F68" s="50">
        <f>21336.1792113233*Deflactores!$V$5</f>
        <v>30853.545091551827</v>
      </c>
      <c r="G68" s="50">
        <f>16616.518723527*Deflactores!$W$5</f>
        <v>21241.689987868194</v>
      </c>
      <c r="H68" s="50">
        <f>36879.4709318675*Deflactores!$X$5</f>
        <v>43141.279431244024</v>
      </c>
      <c r="I68" s="50">
        <f>27525.7246014054*Deflactores!$Y$5</f>
        <v>30607.746741730582</v>
      </c>
      <c r="J68" s="50">
        <f>22551.9363828367*Deflactores!$Z$5</f>
        <v>23859.948693041228</v>
      </c>
      <c r="K68" s="50">
        <f>9257.58398862014*Deflactores!$AA$5</f>
        <v>9257.5839886201393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552.09597420584521</v>
      </c>
      <c r="I69" s="42">
        <f>7848.14138458895*Deflactores!$Y$5</f>
        <v>8726.8882970851409</v>
      </c>
      <c r="J69" s="42">
        <f>6843.82566051525*Deflactores!$Z$5</f>
        <v>7240.7675488251352</v>
      </c>
      <c r="K69" s="42">
        <f>4003.1879186782*Deflactores!$AA$5</f>
        <v>4003.1879186781998</v>
      </c>
    </row>
    <row r="70" spans="3:11" x14ac:dyDescent="0.2">
      <c r="C70" s="88" t="s">
        <v>136</v>
      </c>
      <c r="D70" s="50">
        <f>8776.14877050845*Deflactores!$T$5</f>
        <v>13619.93429906524</v>
      </c>
      <c r="E70" s="50">
        <f>15395.5957675269*Deflactores!$U$5</f>
        <v>23514.247450671231</v>
      </c>
      <c r="F70" s="50">
        <f>20513.9891297609*Deflactores!$V$5</f>
        <v>29664.603130385254</v>
      </c>
      <c r="G70" s="50">
        <f>19955.5047535154*Deflactores!$W$5</f>
        <v>25510.075400175654</v>
      </c>
      <c r="H70" s="50">
        <f>16463.0455528234*Deflactores!$X$5</f>
        <v>19258.325310462602</v>
      </c>
      <c r="I70" s="50">
        <f>12989.1261231777*Deflactores!$Y$5</f>
        <v>14443.502887997394</v>
      </c>
      <c r="J70" s="50">
        <f>10727.7152514365*Deflactores!$Z$5</f>
        <v>11349.922736019818</v>
      </c>
      <c r="K70" s="50">
        <f>4096.81023256066*Deflactores!$AA$5</f>
        <v>4096.8102325606596</v>
      </c>
    </row>
    <row r="71" spans="3:11" x14ac:dyDescent="0.2">
      <c r="C71" s="87" t="s">
        <v>137</v>
      </c>
      <c r="D71" s="42">
        <f>319.239698987329*Deflactores!$T$5</f>
        <v>495.4364197279761</v>
      </c>
      <c r="E71" s="42">
        <f>313.229944314829*Deflactores!$U$5</f>
        <v>478.40736602829173</v>
      </c>
      <c r="F71" s="42">
        <f>365.42320398323*Deflactores!$V$5</f>
        <v>528.42644364424893</v>
      </c>
      <c r="G71" s="42">
        <f>420.412891809299*Deflactores!$W$5</f>
        <v>537.43389113581861</v>
      </c>
      <c r="H71" s="42">
        <f>840.5584357774*Deflactores!$X$5</f>
        <v>983.27783560548835</v>
      </c>
      <c r="I71" s="42">
        <f>1179.05805734666*Deflactores!$Y$5</f>
        <v>1311.0757640589354</v>
      </c>
      <c r="J71" s="42">
        <f>938.976579536959*Deflactores!$Z$5</f>
        <v>993.43722115010269</v>
      </c>
      <c r="K71" s="42">
        <f>354.895824790679*Deflactores!$AA$5</f>
        <v>354.895824790679</v>
      </c>
    </row>
    <row r="72" spans="3:11" x14ac:dyDescent="0.2">
      <c r="C72" s="88" t="s">
        <v>138</v>
      </c>
      <c r="D72" s="50">
        <f>94.5223990089999*Deflactores!$T$5</f>
        <v>146.69177767573586</v>
      </c>
      <c r="E72" s="50">
        <f>98.9260034643899*Deflactores!$U$5</f>
        <v>151.09324510027014</v>
      </c>
      <c r="F72" s="50">
        <f>113.94134567572*Deflactores!$V$5</f>
        <v>164.7668222027408</v>
      </c>
      <c r="G72" s="50">
        <f>107.24716079672*Deflactores!$W$5</f>
        <v>137.09917098925453</v>
      </c>
      <c r="H72" s="50">
        <f>134.17444472116*Deflactores!$X$5</f>
        <v>156.95608060488121</v>
      </c>
      <c r="I72" s="50">
        <f>163.26377849481*Deflactores!$Y$5</f>
        <v>181.54422659638183</v>
      </c>
      <c r="J72" s="50">
        <f>172.35737484458*Deflactores!$Z$5</f>
        <v>182.35410258556564</v>
      </c>
      <c r="K72" s="50">
        <f>51.55376235525*Deflactores!$AA$5</f>
        <v>51.553762355250001</v>
      </c>
    </row>
    <row r="73" spans="3:11" x14ac:dyDescent="0.2">
      <c r="C73" s="87" t="s">
        <v>160</v>
      </c>
      <c r="D73" s="42">
        <f>1262.55101449317*Deflactores!$T$5</f>
        <v>1959.3858668850817</v>
      </c>
      <c r="E73" s="42">
        <f>1631.42376734728*Deflactores!$U$5</f>
        <v>2491.7322292408139</v>
      </c>
      <c r="F73" s="42">
        <f>2040.38636780977*Deflactores!$V$5</f>
        <v>2950.5354346666059</v>
      </c>
      <c r="G73" s="42">
        <f>2488.08585807416*Deflactores!$W$5</f>
        <v>3180.6390580223906</v>
      </c>
      <c r="H73" s="42">
        <f>3078.79725587678*Deflactores!$X$5</f>
        <v>3601.5498425481774</v>
      </c>
      <c r="I73" s="42">
        <f>3500.60392681727*Deflactores!$Y$5</f>
        <v>3892.5623207630274</v>
      </c>
      <c r="J73" s="42">
        <f>4181.83613740413*Deflactores!$Z$5</f>
        <v>4424.3826333735697</v>
      </c>
      <c r="K73" s="42">
        <f>2651.95488201906*Deflactores!$AA$5</f>
        <v>2651.9548820190598</v>
      </c>
    </row>
    <row r="74" spans="3:11" x14ac:dyDescent="0.2">
      <c r="C74" s="88" t="s">
        <v>161</v>
      </c>
      <c r="D74" s="50">
        <f>2225.03082430177*Deflactores!$T$5</f>
        <v>3453.0834005710872</v>
      </c>
      <c r="E74" s="50">
        <f>2394.59860659834*Deflactores!$U$5</f>
        <v>3657.3566252857595</v>
      </c>
      <c r="F74" s="50">
        <f>2563.71247213923*Deflactores!$V$5</f>
        <v>3707.3000548731179</v>
      </c>
      <c r="G74" s="50">
        <f>2866.41884592789*Deflactores!$W$5</f>
        <v>3664.2801969328057</v>
      </c>
      <c r="H74" s="50">
        <f>3236.10447559342*Deflactores!$X$5</f>
        <v>3785.5664390683705</v>
      </c>
      <c r="I74" s="50">
        <f>3928.84958786917*Deflactores!$Y$5</f>
        <v>4368.7581312832099</v>
      </c>
      <c r="J74" s="50">
        <f>4255.19767819898*Deflactores!$Z$5</f>
        <v>4501.999143534521</v>
      </c>
      <c r="K74" s="50">
        <f>1897.92901394159*Deflactores!$AA$5</f>
        <v>1897.92901394159</v>
      </c>
    </row>
    <row r="75" spans="3:11" x14ac:dyDescent="0.2">
      <c r="C75" s="87" t="s">
        <v>140</v>
      </c>
      <c r="D75" s="42">
        <f>3129.34593960251*Deflactores!$T$5</f>
        <v>4856.5136269862342</v>
      </c>
      <c r="E75" s="42">
        <f>3161.3289520747*Deflactores!$U$5</f>
        <v>4828.4114739391352</v>
      </c>
      <c r="F75" s="42">
        <f>4501.80914441736*Deflactores!$V$5</f>
        <v>6509.9177343395959</v>
      </c>
      <c r="G75" s="42">
        <f>4332.67394108354*Deflactores!$W$5</f>
        <v>5538.6641574148452</v>
      </c>
      <c r="H75" s="42">
        <f>6649.23927619015*Deflactores!$X$5</f>
        <v>7778.2213890560333</v>
      </c>
      <c r="I75" s="42">
        <f>7056.04337306585*Deflactores!$Y$5</f>
        <v>7846.1000278422825</v>
      </c>
      <c r="J75" s="42">
        <f>6471.55894019615*Deflactores!$Z$5</f>
        <v>6846.9093587275265</v>
      </c>
      <c r="K75" s="42">
        <f>4923.46093009971*Deflactores!$AA$5</f>
        <v>4923.4609300997099</v>
      </c>
    </row>
    <row r="76" spans="3:11" x14ac:dyDescent="0.2">
      <c r="C76" s="88" t="s">
        <v>141</v>
      </c>
      <c r="D76" s="50">
        <f>1799.95076226553*Deflactores!$T$5</f>
        <v>2793.3905594205899</v>
      </c>
      <c r="E76" s="50">
        <f>2033.15458949765*Deflactores!$U$5</f>
        <v>3105.3101708317572</v>
      </c>
      <c r="F76" s="50">
        <f>2533.43707549369*Deflactores!$V$5</f>
        <v>3663.5198022648133</v>
      </c>
      <c r="G76" s="50">
        <f>2886.5636131342*Deflactores!$W$5</f>
        <v>3690.0322155712429</v>
      </c>
      <c r="H76" s="50">
        <f>3706.38987532065*Deflactores!$X$5</f>
        <v>4335.7021468053081</v>
      </c>
      <c r="I76" s="50">
        <f>3889.22123621085*Deflactores!$Y$5</f>
        <v>4324.6926409495536</v>
      </c>
      <c r="J76" s="50">
        <f>4122.59480747749*Deflactores!$Z$5</f>
        <v>4361.7053063111844</v>
      </c>
      <c r="K76" s="50">
        <f>1512.6893067211*Deflactores!$AA$5</f>
        <v>1512.6893067210999</v>
      </c>
    </row>
    <row r="77" spans="3:11" x14ac:dyDescent="0.2">
      <c r="C77" s="87" t="s">
        <v>142</v>
      </c>
      <c r="D77" s="42">
        <f>348.55154809633*Deflactores!$T$5</f>
        <v>540.92624328136355</v>
      </c>
      <c r="E77" s="42">
        <f>268.542062594899*Deflactores!$U$5</f>
        <v>410.15395611315472</v>
      </c>
      <c r="F77" s="42">
        <f>741.39338348313*Deflactores!$V$5</f>
        <v>1072.1045207445186</v>
      </c>
      <c r="G77" s="42">
        <f>1438.91352813125*Deflactores!$W$5</f>
        <v>1839.4319287010076</v>
      </c>
      <c r="H77" s="42">
        <f>1513.24663421543*Deflactores!$X$5</f>
        <v>1770.1825499526374</v>
      </c>
      <c r="I77" s="42">
        <f>1068.64599234911*Deflactores!$Y$5</f>
        <v>1188.3009934901722</v>
      </c>
      <c r="J77" s="42">
        <f>842.911123740589*Deflactores!$Z$5</f>
        <v>891.7999689175432</v>
      </c>
      <c r="K77" s="42">
        <f>581.5728046137*Deflactores!$AA$5</f>
        <v>581.57280461369999</v>
      </c>
    </row>
    <row r="78" spans="3:11" x14ac:dyDescent="0.2">
      <c r="C78" s="88" t="s">
        <v>143</v>
      </c>
      <c r="D78" s="50">
        <f>1556.5290810042*Deflactores!$T$5</f>
        <v>2415.6180999462913</v>
      </c>
      <c r="E78" s="50">
        <f>5286.29498937136*Deflactores!$U$5</f>
        <v>8073.9485729748612</v>
      </c>
      <c r="F78" s="50">
        <f>8633.81645777572*Deflactores!$V$5</f>
        <v>12485.077236827537</v>
      </c>
      <c r="G78" s="50">
        <f>5920.29487984452*Deflactores!$W$5</f>
        <v>7568.1958758523679</v>
      </c>
      <c r="H78" s="50">
        <f>5402.41678110902*Deflactores!$X$5</f>
        <v>6319.6994443993799</v>
      </c>
      <c r="I78" s="50">
        <f>2735.09259165966*Deflactores!$Y$5</f>
        <v>3041.3376059291136</v>
      </c>
      <c r="J78" s="50">
        <f>4029.72198793832*Deflactores!$Z$5</f>
        <v>4263.4458632387432</v>
      </c>
      <c r="K78" s="50">
        <f>2463.508396346*Deflactores!$AA$5</f>
        <v>2463.5083963460002</v>
      </c>
    </row>
    <row r="79" spans="3:11" x14ac:dyDescent="0.2">
      <c r="C79" s="87" t="s">
        <v>144</v>
      </c>
      <c r="D79" s="42">
        <f>4626.32897868672*Deflactores!$T$5</f>
        <v>7179.7206705651824</v>
      </c>
      <c r="E79" s="42">
        <f>4814.99562553242*Deflactores!$U$5</f>
        <v>7354.1160941286716</v>
      </c>
      <c r="F79" s="42">
        <f>5248.11138993475*Deflactores!$V$5</f>
        <v>7589.1207985778756</v>
      </c>
      <c r="G79" s="42">
        <f>5888.869694292*Deflactores!$W$5</f>
        <v>7528.0235593506723</v>
      </c>
      <c r="H79" s="42">
        <f>7248.83290953504*Deflactores!$X$5</f>
        <v>8479.6207266201454</v>
      </c>
      <c r="I79" s="42">
        <f>9048.40157833253*Deflactores!$Y$5</f>
        <v>10061.540175147173</v>
      </c>
      <c r="J79" s="42">
        <f>10484.8778535153*Deflactores!$Z$5</f>
        <v>11093.000769019187</v>
      </c>
      <c r="K79" s="42">
        <f>2787.24479861885*Deflactores!$AA$5</f>
        <v>2787.2447986188499</v>
      </c>
    </row>
    <row r="80" spans="3:11" x14ac:dyDescent="0.2">
      <c r="C80" s="88" t="s">
        <v>145</v>
      </c>
      <c r="D80" s="50">
        <f>1399.94985729061*Deflactores!$T$5</f>
        <v>2172.6187165784795</v>
      </c>
      <c r="E80" s="50">
        <f>625.26477317853*Deflactores!$U$5</f>
        <v>954.98938921995102</v>
      </c>
      <c r="F80" s="50">
        <f>1274.58704465004*Deflactores!$V$5</f>
        <v>1843.1382894622195</v>
      </c>
      <c r="G80" s="50">
        <f>3134.51912316638*Deflactores!$W$5</f>
        <v>4007.0055938414985</v>
      </c>
      <c r="H80" s="50">
        <f>3132.01089535081*Deflactores!$X$5</f>
        <v>3663.7986881008637</v>
      </c>
      <c r="I80" s="50">
        <f>973.244289906709*Deflactores!$Y$5</f>
        <v>1082.2172776435834</v>
      </c>
      <c r="J80" s="50">
        <f>2779.9624562727*Deflactores!$Z$5</f>
        <v>2941.2002787365168</v>
      </c>
      <c r="K80" s="50">
        <f>2898.42549826703*Deflactores!$AA$5</f>
        <v>2898.42549826703</v>
      </c>
    </row>
    <row r="81" spans="1:11" x14ac:dyDescent="0.2">
      <c r="C81" s="87" t="s">
        <v>146</v>
      </c>
      <c r="D81" s="42">
        <f>711.020672472754*Deflactores!$T$5</f>
        <v>1103.451536384455</v>
      </c>
      <c r="E81" s="42">
        <f>761.156663979979*Deflactores!$U$5</f>
        <v>1162.5419643261864</v>
      </c>
      <c r="F81" s="42">
        <f>858.84292757712*Deflactores!$V$5</f>
        <v>1241.9444329797409</v>
      </c>
      <c r="G81" s="42">
        <f>1159.08910678208*Deflactores!$W$5</f>
        <v>1481.7189980786768</v>
      </c>
      <c r="H81" s="42">
        <f>1194.24043644937*Deflactores!$X$5</f>
        <v>1397.0119167960681</v>
      </c>
      <c r="I81" s="42">
        <f>1164.85417254854*Deflactores!$Y$5</f>
        <v>1295.2814874342475</v>
      </c>
      <c r="J81" s="42">
        <f>1246.62531000697*Deflactores!$Z$5</f>
        <v>1318.9295779873744</v>
      </c>
      <c r="K81" s="42">
        <f>500.8629286492*Deflactores!$AA$5</f>
        <v>500.8629286492</v>
      </c>
    </row>
    <row r="82" spans="1:11" x14ac:dyDescent="0.2">
      <c r="C82" s="88" t="s">
        <v>162</v>
      </c>
      <c r="D82" s="50">
        <f>28956.5939454297*Deflactores!$T$5</f>
        <v>44938.493794313144</v>
      </c>
      <c r="E82" s="50">
        <f>34054.627209408*Deflactores!$U$5</f>
        <v>52012.857646691395</v>
      </c>
      <c r="F82" s="50">
        <f>43056.3147320253*Deflactores!$V$5</f>
        <v>62262.316739239555</v>
      </c>
      <c r="G82" s="50">
        <f>41743.7333637966*Deflactores!$W$5</f>
        <v>53363.009292345108</v>
      </c>
      <c r="H82" s="50">
        <f>52625.9340019895*Deflactores!$X$5</f>
        <v>61561.352881237479</v>
      </c>
      <c r="I82" s="50">
        <f>59900.5591686111*Deflactores!$Y$5</f>
        <v>66607.552435778052</v>
      </c>
      <c r="J82" s="50">
        <f>65497.2020690874*Deflactores!$Z$5</f>
        <v>69296.039789094473</v>
      </c>
      <c r="K82" s="50">
        <f>28531.0114309513*Deflactores!$AA$5</f>
        <v>28531.011430951301</v>
      </c>
    </row>
    <row r="83" spans="1:11" x14ac:dyDescent="0.2">
      <c r="C83" s="87" t="s">
        <v>148</v>
      </c>
      <c r="D83" s="42">
        <f>395.93703267237*Deflactores!$T$5</f>
        <v>614.46501336509391</v>
      </c>
      <c r="E83" s="42">
        <f>487.15641910575*Deflactores!$U$5</f>
        <v>744.05152999646612</v>
      </c>
      <c r="F83" s="42">
        <f>555.2356866964*Deflactores!$V$5</f>
        <v>802.90801489118314</v>
      </c>
      <c r="G83" s="42">
        <f>602.38589612996*Deflactores!$W$5</f>
        <v>770.05867905048069</v>
      </c>
      <c r="H83" s="42">
        <f>684.59175392637*Deflactores!$X$5</f>
        <v>800.82938844284081</v>
      </c>
      <c r="I83" s="42">
        <f>840.28836694924*Deflactores!$Y$5</f>
        <v>934.37444056573679</v>
      </c>
      <c r="J83" s="42">
        <f>962.0780591807*Deflactores!$Z$5</f>
        <v>1017.8785866131807</v>
      </c>
      <c r="K83" s="42">
        <f>453.01014961913*Deflactores!$AA$5</f>
        <v>453.01014961913</v>
      </c>
    </row>
    <row r="84" spans="1:11" x14ac:dyDescent="0.2">
      <c r="C84" s="88" t="s">
        <v>149</v>
      </c>
      <c r="D84" s="50">
        <f>78.72085952353*Deflactores!$T$5</f>
        <v>122.16895619173809</v>
      </c>
      <c r="E84" s="50">
        <f>53.71154523094*Deflactores!$U$5</f>
        <v>82.035575926343355</v>
      </c>
      <c r="F84" s="50">
        <f>65.78004969265*Deflactores!$V$5</f>
        <v>95.122360438348665</v>
      </c>
      <c r="G84" s="50">
        <f>93.64234653543*Deflactores!$W$5</f>
        <v>119.70748674484803</v>
      </c>
      <c r="H84" s="50">
        <f>94.20563140713*Deflactores!$X$5</f>
        <v>110.20091573547889</v>
      </c>
      <c r="I84" s="50">
        <f>904.26955045929*Deflactores!$Y$5</f>
        <v>1005.519519922224</v>
      </c>
      <c r="J84" s="50">
        <f>607.12201219546*Deflactores!$Z$5</f>
        <v>642.33508890279677</v>
      </c>
      <c r="K84" s="50">
        <f>102.08277853058*Deflactores!$AA$5</f>
        <v>102.08277853058</v>
      </c>
    </row>
    <row r="85" spans="1:11" x14ac:dyDescent="0.2">
      <c r="C85" s="87" t="s">
        <v>163</v>
      </c>
      <c r="D85" s="42">
        <f>26211.2781298117*Deflactores!$T$5</f>
        <v>40677.966538376982</v>
      </c>
      <c r="E85" s="42">
        <f>30515.519866477*Deflactores!$U$5</f>
        <v>46607.451641442975</v>
      </c>
      <c r="F85" s="42">
        <f>25722.2268060704*Deflactores!$V$5</f>
        <v>37196.063866722398</v>
      </c>
      <c r="G85" s="42">
        <f>28207.5201190497*Deflactores!$W$5</f>
        <v>36059.021005828865</v>
      </c>
      <c r="H85" s="42">
        <f>31781.8902211575*Deflactores!$X$5</f>
        <v>37178.174530136828</v>
      </c>
      <c r="I85" s="42">
        <f>34649.1041897659*Deflactores!$Y$5</f>
        <v>38528.722539570947</v>
      </c>
      <c r="J85" s="42">
        <f>48408.3455622162*Deflactores!$Z$5</f>
        <v>51216.02960482474</v>
      </c>
      <c r="K85" s="42">
        <f>10394.7950032576*Deflactores!$AA$5</f>
        <v>10394.795003257599</v>
      </c>
    </row>
    <row r="86" spans="1:11" x14ac:dyDescent="0.2">
      <c r="C86" s="88" t="s">
        <v>150</v>
      </c>
      <c r="D86" s="50">
        <f>4672.027525428*Deflactores!$T$5</f>
        <v>7250.6414378008703</v>
      </c>
      <c r="E86" s="50">
        <f>4978.1880835465*Deflactores!$U$5</f>
        <v>7603.3658079929619</v>
      </c>
      <c r="F86" s="50">
        <f>7893.25341230116*Deflactores!$V$5</f>
        <v>11414.173440492714</v>
      </c>
      <c r="G86" s="50">
        <f>8818.84699641385*Deflactores!$W$5</f>
        <v>11273.553568295427</v>
      </c>
      <c r="H86" s="50">
        <f>9172.54433115609*Deflactores!$X$5</f>
        <v>10729.961360262931</v>
      </c>
      <c r="I86" s="50">
        <f>10024.2076381672*Deflactores!$Y$5</f>
        <v>11146.606061003657</v>
      </c>
      <c r="J86" s="50">
        <f>8795.64043590807*Deflactores!$Z$5</f>
        <v>9305.7875811907379</v>
      </c>
      <c r="K86" s="50">
        <f>8640.53850103931*Deflactores!$AA$5</f>
        <v>8640.5385010393093</v>
      </c>
    </row>
    <row r="87" spans="1:11" x14ac:dyDescent="0.2">
      <c r="C87" s="87" t="s">
        <v>151</v>
      </c>
      <c r="D87" s="42">
        <f>4116.00261322804*Deflactores!$T$5</f>
        <v>6387.7318665484408</v>
      </c>
      <c r="E87" s="42">
        <f>4322.03503306087*Deflactores!$U$5</f>
        <v>6601.1996412782373</v>
      </c>
      <c r="F87" s="42">
        <f>5949.62559731739*Deflactores!$V$5</f>
        <v>8603.5573579763713</v>
      </c>
      <c r="G87" s="42">
        <f>5755.35965229809*Deflactores!$W$5</f>
        <v>7357.3512922237142</v>
      </c>
      <c r="H87" s="42">
        <f>7851.71537372369*Deflactores!$X$5</f>
        <v>9184.8673094632049</v>
      </c>
      <c r="I87" s="42">
        <f>9078.12873302914*Deflactores!$Y$5</f>
        <v>10094.595843453162</v>
      </c>
      <c r="J87" s="42">
        <f>8330.75467886576*Deflactores!$Z$5</f>
        <v>8813.9384502399753</v>
      </c>
      <c r="K87" s="42">
        <f>3147.42735260165*Deflactores!$AA$5</f>
        <v>3147.42735260165</v>
      </c>
    </row>
    <row r="88" spans="1:11" x14ac:dyDescent="0.2">
      <c r="C88" s="79" t="s">
        <v>154</v>
      </c>
      <c r="D88" s="44">
        <f t="shared" ref="D88:K88" si="1">SUM(D57:D87)</f>
        <v>281984.44705906726</v>
      </c>
      <c r="E88" s="44">
        <f t="shared" si="1"/>
        <v>333480.48648143356</v>
      </c>
      <c r="F88" s="44">
        <f t="shared" si="1"/>
        <v>359176.19515384751</v>
      </c>
      <c r="G88" s="44">
        <f t="shared" si="1"/>
        <v>322729.24085352948</v>
      </c>
      <c r="H88" s="44">
        <f t="shared" si="1"/>
        <v>364233.78503764555</v>
      </c>
      <c r="I88" s="44">
        <f t="shared" si="1"/>
        <v>379307.80736073322</v>
      </c>
      <c r="J88" s="44">
        <f t="shared" si="1"/>
        <v>387497.78557454358</v>
      </c>
      <c r="K88" s="44">
        <f t="shared" si="1"/>
        <v>162776.3874477162</v>
      </c>
    </row>
    <row r="89" spans="1:11" s="31" customFormat="1" x14ac:dyDescent="0.2">
      <c r="A89" s="5"/>
      <c r="B89" s="5"/>
      <c r="C89" s="72" t="str">
        <f>+'C1 Aprop Resumen 2000-2026'!B20</f>
        <v>* Información con corte a 30 de abril</v>
      </c>
      <c r="D89" s="123">
        <f>+D88-'C6 Ejec. Nac 19-26'!D66</f>
        <v>0</v>
      </c>
      <c r="E89" s="123">
        <f>+E88-'C6 Ejec. Nac 19-26'!E66</f>
        <v>1.2223608791828156E-9</v>
      </c>
      <c r="F89" s="123">
        <f>+F88-'C6 Ejec. Nac 19-26'!F66</f>
        <v>-4.6566128730773926E-10</v>
      </c>
      <c r="G89" s="123">
        <f>+G88-'C6 Ejec. Nac 19-26'!G66</f>
        <v>0</v>
      </c>
      <c r="H89" s="123">
        <f>+H88-'C6 Ejec. Nac 19-26'!H66</f>
        <v>0</v>
      </c>
      <c r="I89" s="123">
        <f>+I88-'C6 Ejec. Nac 19-26'!I66</f>
        <v>0</v>
      </c>
      <c r="J89" s="123">
        <f>+J88-'C6 Ejec. Nac 19-26'!J66</f>
        <v>0</v>
      </c>
      <c r="K89" s="123">
        <f>+K88-'C6 Ejec. Nac 19-26'!K66</f>
        <v>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D94" s="155" t="s">
        <v>155</v>
      </c>
      <c r="E94" s="178"/>
      <c r="F94" s="178"/>
      <c r="G94" s="178"/>
      <c r="H94" s="178"/>
      <c r="I94" s="178"/>
      <c r="J94" s="178"/>
      <c r="K94" s="178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76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10</v>
      </c>
    </row>
    <row r="97" spans="3:11" ht="12" customHeight="1" thickBot="1" x14ac:dyDescent="0.25">
      <c r="C97" s="160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I107" si="2">+IFERROR(IF(D57&gt;0,+((D57/D15)*100)," "),"0")</f>
        <v>96.158131198247034</v>
      </c>
      <c r="E98" s="47">
        <f t="shared" si="2"/>
        <v>91.498643374294502</v>
      </c>
      <c r="F98" s="47">
        <f t="shared" si="2"/>
        <v>93.31692901718192</v>
      </c>
      <c r="G98" s="47">
        <f t="shared" si="2"/>
        <v>89.703780660769993</v>
      </c>
      <c r="H98" s="47">
        <f t="shared" si="2"/>
        <v>90.839147510610417</v>
      </c>
      <c r="I98" s="47">
        <f t="shared" si="2"/>
        <v>97.062692608514496</v>
      </c>
      <c r="J98" s="47">
        <f t="shared" ref="J98:K129" si="3">+IFERROR(IF(J57&gt;0,+((J57/J15)*100)," "),"")</f>
        <v>95.147286355419965</v>
      </c>
      <c r="K98" s="47">
        <f t="shared" si="3"/>
        <v>44.806736950013899</v>
      </c>
    </row>
    <row r="99" spans="3:11" x14ac:dyDescent="0.2">
      <c r="C99" s="88" t="s">
        <v>124</v>
      </c>
      <c r="D99" s="116">
        <f t="shared" si="2"/>
        <v>96.537631072987253</v>
      </c>
      <c r="E99" s="116">
        <f t="shared" si="2"/>
        <v>96.405530421026242</v>
      </c>
      <c r="F99" s="116">
        <f t="shared" si="2"/>
        <v>81.634315264393635</v>
      </c>
      <c r="G99" s="116">
        <f t="shared" si="2"/>
        <v>85.589759372512276</v>
      </c>
      <c r="H99" s="116">
        <f t="shared" si="2"/>
        <v>85.886004410719167</v>
      </c>
      <c r="I99" s="116">
        <f t="shared" si="2"/>
        <v>98.834919047726373</v>
      </c>
      <c r="J99" s="116">
        <f t="shared" si="3"/>
        <v>97.876969228722615</v>
      </c>
      <c r="K99" s="116">
        <f t="shared" si="3"/>
        <v>44.688628272573837</v>
      </c>
    </row>
    <row r="100" spans="3:11" x14ac:dyDescent="0.2">
      <c r="C100" s="87" t="s">
        <v>125</v>
      </c>
      <c r="D100" s="47">
        <f t="shared" si="2"/>
        <v>99.738807028927141</v>
      </c>
      <c r="E100" s="47">
        <f t="shared" si="2"/>
        <v>98.720520014567327</v>
      </c>
      <c r="F100" s="47">
        <f t="shared" si="2"/>
        <v>99.006860988789001</v>
      </c>
      <c r="G100" s="47">
        <f t="shared" si="2"/>
        <v>99.004093527284837</v>
      </c>
      <c r="H100" s="47">
        <f t="shared" si="2"/>
        <v>98.581978187837265</v>
      </c>
      <c r="I100" s="47">
        <f t="shared" si="2"/>
        <v>98.096547308882947</v>
      </c>
      <c r="J100" s="47">
        <f t="shared" si="3"/>
        <v>97.518195657551345</v>
      </c>
      <c r="K100" s="47">
        <f t="shared" si="3"/>
        <v>58.644645677536126</v>
      </c>
    </row>
    <row r="101" spans="3:11" x14ac:dyDescent="0.2">
      <c r="C101" s="88" t="s">
        <v>126</v>
      </c>
      <c r="D101" s="116">
        <f t="shared" si="2"/>
        <v>98.453431219579358</v>
      </c>
      <c r="E101" s="116">
        <f t="shared" si="2"/>
        <v>98.259125367090249</v>
      </c>
      <c r="F101" s="116">
        <f t="shared" si="2"/>
        <v>97.816510417897831</v>
      </c>
      <c r="G101" s="116">
        <f t="shared" si="2"/>
        <v>97.863421039854629</v>
      </c>
      <c r="H101" s="116">
        <f t="shared" si="2"/>
        <v>98.656082745875764</v>
      </c>
      <c r="I101" s="116">
        <f t="shared" si="2"/>
        <v>97.716400002149925</v>
      </c>
      <c r="J101" s="116">
        <f t="shared" si="3"/>
        <v>98.497234931779261</v>
      </c>
      <c r="K101" s="116">
        <f t="shared" si="3"/>
        <v>83.343054507470484</v>
      </c>
    </row>
    <row r="102" spans="3:11" x14ac:dyDescent="0.2">
      <c r="C102" s="87" t="s">
        <v>127</v>
      </c>
      <c r="D102" s="47">
        <f t="shared" si="2"/>
        <v>98.388271868936798</v>
      </c>
      <c r="E102" s="47">
        <f t="shared" si="2"/>
        <v>99.153187306859564</v>
      </c>
      <c r="F102" s="47">
        <f t="shared" si="2"/>
        <v>96.06169009318829</v>
      </c>
      <c r="G102" s="47">
        <f t="shared" si="2"/>
        <v>94.557232037134384</v>
      </c>
      <c r="H102" s="47">
        <f t="shared" si="2"/>
        <v>98.032589861887104</v>
      </c>
      <c r="I102" s="47">
        <f t="shared" si="2"/>
        <v>95.045305842523518</v>
      </c>
      <c r="J102" s="47">
        <f t="shared" si="3"/>
        <v>86.489447796994313</v>
      </c>
      <c r="K102" s="47">
        <f t="shared" si="3"/>
        <v>49.333136591945213</v>
      </c>
    </row>
    <row r="103" spans="3:11" x14ac:dyDescent="0.2">
      <c r="C103" s="88" t="s">
        <v>128</v>
      </c>
      <c r="D103" s="116">
        <f t="shared" si="2"/>
        <v>99.475877588700214</v>
      </c>
      <c r="E103" s="116">
        <f t="shared" si="2"/>
        <v>99.776190656526765</v>
      </c>
      <c r="F103" s="116">
        <f t="shared" si="2"/>
        <v>97.681982418499842</v>
      </c>
      <c r="G103" s="116">
        <f t="shared" si="2"/>
        <v>97.6553697730278</v>
      </c>
      <c r="H103" s="116">
        <f t="shared" si="2"/>
        <v>98.834400020076146</v>
      </c>
      <c r="I103" s="116">
        <f t="shared" si="2"/>
        <v>98.974607896101503</v>
      </c>
      <c r="J103" s="116">
        <f t="shared" si="3"/>
        <v>99.596134931029397</v>
      </c>
      <c r="K103" s="116">
        <f t="shared" si="3"/>
        <v>52.8475200200904</v>
      </c>
    </row>
    <row r="104" spans="3:11" x14ac:dyDescent="0.2">
      <c r="C104" s="87" t="s">
        <v>129</v>
      </c>
      <c r="D104" s="47">
        <f t="shared" si="2"/>
        <v>99.904921306350957</v>
      </c>
      <c r="E104" s="47">
        <f t="shared" si="2"/>
        <v>99.752194032880197</v>
      </c>
      <c r="F104" s="47">
        <f t="shared" si="2"/>
        <v>98.558332063788868</v>
      </c>
      <c r="G104" s="47">
        <f t="shared" si="2"/>
        <v>98.418221316065356</v>
      </c>
      <c r="H104" s="47">
        <f t="shared" si="2"/>
        <v>99.111754700417038</v>
      </c>
      <c r="I104" s="47">
        <f t="shared" si="2"/>
        <v>99.194596167112294</v>
      </c>
      <c r="J104" s="47">
        <f t="shared" si="3"/>
        <v>99.711946103302438</v>
      </c>
      <c r="K104" s="47">
        <f t="shared" si="3"/>
        <v>35.181093994012073</v>
      </c>
    </row>
    <row r="105" spans="3:11" x14ac:dyDescent="0.2">
      <c r="C105" s="88" t="s">
        <v>130</v>
      </c>
      <c r="D105" s="116">
        <f t="shared" si="2"/>
        <v>96.311899283475952</v>
      </c>
      <c r="E105" s="116">
        <f t="shared" si="2"/>
        <v>95.682982630813157</v>
      </c>
      <c r="F105" s="116">
        <f t="shared" si="2"/>
        <v>95.509016984776579</v>
      </c>
      <c r="G105" s="116">
        <f t="shared" si="2"/>
        <v>97.860378773969217</v>
      </c>
      <c r="H105" s="116">
        <f t="shared" si="2"/>
        <v>73.639009620147917</v>
      </c>
      <c r="I105" s="116">
        <f t="shared" si="2"/>
        <v>93.709730331597555</v>
      </c>
      <c r="J105" s="116">
        <f t="shared" si="3"/>
        <v>98.45707559997598</v>
      </c>
      <c r="K105" s="116">
        <f t="shared" si="3"/>
        <v>79.479942253380258</v>
      </c>
    </row>
    <row r="106" spans="3:11" x14ac:dyDescent="0.2">
      <c r="C106" s="87" t="s">
        <v>131</v>
      </c>
      <c r="D106" s="47">
        <f t="shared" si="2"/>
        <v>99.983049821058088</v>
      </c>
      <c r="E106" s="47">
        <f t="shared" si="2"/>
        <v>99.9867913698221</v>
      </c>
      <c r="F106" s="47">
        <f t="shared" si="2"/>
        <v>99.975015702072852</v>
      </c>
      <c r="G106" s="47">
        <f t="shared" si="2"/>
        <v>99.932161579892181</v>
      </c>
      <c r="H106" s="47">
        <f t="shared" si="2"/>
        <v>99.131215573036684</v>
      </c>
      <c r="I106" s="47">
        <f t="shared" si="2"/>
        <v>99.866191396763313</v>
      </c>
      <c r="J106" s="47">
        <f t="shared" si="3"/>
        <v>99.606005939128679</v>
      </c>
      <c r="K106" s="47">
        <f t="shared" si="3"/>
        <v>49.896958345998222</v>
      </c>
    </row>
    <row r="107" spans="3:11" x14ac:dyDescent="0.2">
      <c r="C107" s="88" t="s">
        <v>132</v>
      </c>
      <c r="D107" s="116">
        <f t="shared" si="2"/>
        <v>91.128493011025029</v>
      </c>
      <c r="E107" s="116">
        <f t="shared" si="2"/>
        <v>91.374679547838213</v>
      </c>
      <c r="F107" s="116">
        <f t="shared" si="2"/>
        <v>94.448849696784436</v>
      </c>
      <c r="G107" s="116">
        <f t="shared" si="2"/>
        <v>92.211013986670594</v>
      </c>
      <c r="H107" s="116">
        <f t="shared" si="2"/>
        <v>97.019028634465428</v>
      </c>
      <c r="I107" s="116">
        <f t="shared" si="2"/>
        <v>94.517223346961515</v>
      </c>
      <c r="J107" s="116">
        <f t="shared" si="3"/>
        <v>96.705130246148556</v>
      </c>
      <c r="K107" s="116">
        <f t="shared" si="3"/>
        <v>34.443738488958644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99.337303979846567</v>
      </c>
      <c r="E108" s="47">
        <f t="shared" si="4"/>
        <v>98.939871901788393</v>
      </c>
      <c r="F108" s="47">
        <f t="shared" si="4"/>
        <v>95.505826576805916</v>
      </c>
      <c r="G108" s="47">
        <f t="shared" si="4"/>
        <v>99.058673517756006</v>
      </c>
      <c r="H108" s="47">
        <f t="shared" si="4"/>
        <v>99.271738045260761</v>
      </c>
      <c r="I108" s="47">
        <f t="shared" si="4"/>
        <v>98.744873447515729</v>
      </c>
      <c r="J108" s="47">
        <f t="shared" si="3"/>
        <v>99.648589928709853</v>
      </c>
      <c r="K108" s="47">
        <f t="shared" si="3"/>
        <v>30.115243381202362</v>
      </c>
    </row>
    <row r="109" spans="3:11" x14ac:dyDescent="0.2">
      <c r="C109" s="88" t="s">
        <v>134</v>
      </c>
      <c r="D109" s="116">
        <f t="shared" si="4"/>
        <v>91.267158430444042</v>
      </c>
      <c r="E109" s="116">
        <f t="shared" si="4"/>
        <v>50.629262253697163</v>
      </c>
      <c r="F109" s="116">
        <f t="shared" si="4"/>
        <v>89.579698783000879</v>
      </c>
      <c r="G109" s="116">
        <f t="shared" si="4"/>
        <v>92.841650374144663</v>
      </c>
      <c r="H109" s="116">
        <f t="shared" si="4"/>
        <v>89.362066409720924</v>
      </c>
      <c r="I109" s="116">
        <f t="shared" si="4"/>
        <v>85.111932176598302</v>
      </c>
      <c r="J109" s="116">
        <f t="shared" si="3"/>
        <v>92.075525265386887</v>
      </c>
      <c r="K109" s="116">
        <f t="shared" si="3"/>
        <v>28.028502007750983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</v>
      </c>
      <c r="I110" s="47">
        <f t="shared" si="4"/>
        <v>99.573888966015573</v>
      </c>
      <c r="J110" s="47">
        <f t="shared" si="3"/>
        <v>99.838959146217832</v>
      </c>
      <c r="K110" s="47">
        <f t="shared" si="3"/>
        <v>59.881089816805947</v>
      </c>
    </row>
    <row r="111" spans="3:11" x14ac:dyDescent="0.2">
      <c r="C111" s="88" t="s">
        <v>136</v>
      </c>
      <c r="D111" s="116">
        <f t="shared" si="4"/>
        <v>99.207311943697846</v>
      </c>
      <c r="E111" s="116">
        <f t="shared" si="4"/>
        <v>99.219212754532776</v>
      </c>
      <c r="F111" s="116">
        <f t="shared" si="4"/>
        <v>97.957809209333973</v>
      </c>
      <c r="G111" s="116">
        <f t="shared" si="4"/>
        <v>98.778221752344493</v>
      </c>
      <c r="H111" s="116">
        <f t="shared" si="4"/>
        <v>91.40415239752177</v>
      </c>
      <c r="I111" s="116">
        <f t="shared" si="4"/>
        <v>97.249819096441186</v>
      </c>
      <c r="J111" s="116">
        <f t="shared" si="3"/>
        <v>98.31993465444306</v>
      </c>
      <c r="K111" s="116">
        <f t="shared" si="3"/>
        <v>31.143138441744661</v>
      </c>
    </row>
    <row r="112" spans="3:11" x14ac:dyDescent="0.2">
      <c r="C112" s="87" t="s">
        <v>137</v>
      </c>
      <c r="D112" s="47">
        <f t="shared" si="4"/>
        <v>94.026823354176599</v>
      </c>
      <c r="E112" s="47">
        <f t="shared" si="4"/>
        <v>91.762515744005341</v>
      </c>
      <c r="F112" s="47">
        <f t="shared" si="4"/>
        <v>72.864018014986826</v>
      </c>
      <c r="G112" s="47">
        <f t="shared" si="4"/>
        <v>71.906135010936566</v>
      </c>
      <c r="H112" s="47">
        <f t="shared" si="4"/>
        <v>86.47110141235494</v>
      </c>
      <c r="I112" s="47">
        <f t="shared" si="4"/>
        <v>96.013692036689022</v>
      </c>
      <c r="J112" s="47">
        <f t="shared" si="3"/>
        <v>97.096821310417681</v>
      </c>
      <c r="K112" s="47">
        <f t="shared" si="3"/>
        <v>46.45600852099578</v>
      </c>
    </row>
    <row r="113" spans="3:11" x14ac:dyDescent="0.2">
      <c r="C113" s="88" t="s">
        <v>138</v>
      </c>
      <c r="D113" s="116">
        <f t="shared" si="4"/>
        <v>96.819152664304497</v>
      </c>
      <c r="E113" s="116">
        <f t="shared" si="4"/>
        <v>99.228299196411896</v>
      </c>
      <c r="F113" s="116">
        <f t="shared" si="4"/>
        <v>97.24193810835628</v>
      </c>
      <c r="G113" s="116">
        <f t="shared" si="4"/>
        <v>95.924261025294271</v>
      </c>
      <c r="H113" s="116">
        <f t="shared" si="4"/>
        <v>93.310183123885565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29.018487637126533</v>
      </c>
    </row>
    <row r="114" spans="3:11" x14ac:dyDescent="0.2">
      <c r="C114" s="87" t="s">
        <v>160</v>
      </c>
      <c r="D114" s="47">
        <f t="shared" si="4"/>
        <v>98.237233429060893</v>
      </c>
      <c r="E114" s="47">
        <f t="shared" si="4"/>
        <v>97.335214563500543</v>
      </c>
      <c r="F114" s="47">
        <f t="shared" si="4"/>
        <v>96.737531931295209</v>
      </c>
      <c r="G114" s="47">
        <f t="shared" si="4"/>
        <v>85.881398440340647</v>
      </c>
      <c r="H114" s="47">
        <f t="shared" si="4"/>
        <v>95.827674123546785</v>
      </c>
      <c r="I114" s="47">
        <f t="shared" si="4"/>
        <v>90.017865084837439</v>
      </c>
      <c r="J114" s="47">
        <f t="shared" si="3"/>
        <v>98.22567885531187</v>
      </c>
      <c r="K114" s="47">
        <f t="shared" si="3"/>
        <v>64.722604825541055</v>
      </c>
    </row>
    <row r="115" spans="3:11" x14ac:dyDescent="0.2">
      <c r="C115" s="88" t="s">
        <v>161</v>
      </c>
      <c r="D115" s="116">
        <f t="shared" si="4"/>
        <v>96.674887601088898</v>
      </c>
      <c r="E115" s="116">
        <f t="shared" si="4"/>
        <v>96.12062109342861</v>
      </c>
      <c r="F115" s="116">
        <f t="shared" si="4"/>
        <v>87.012504481192408</v>
      </c>
      <c r="G115" s="116">
        <f t="shared" si="4"/>
        <v>88.410649692703061</v>
      </c>
      <c r="H115" s="116">
        <f t="shared" si="4"/>
        <v>96.343134005880728</v>
      </c>
      <c r="I115" s="116">
        <f t="shared" si="4"/>
        <v>98.495344321763639</v>
      </c>
      <c r="J115" s="116">
        <f t="shared" si="3"/>
        <v>99.131518450648954</v>
      </c>
      <c r="K115" s="116">
        <f t="shared" si="3"/>
        <v>40.937796121699293</v>
      </c>
    </row>
    <row r="116" spans="3:11" x14ac:dyDescent="0.2">
      <c r="C116" s="87" t="s">
        <v>140</v>
      </c>
      <c r="D116" s="47">
        <f t="shared" si="4"/>
        <v>97.680492923445087</v>
      </c>
      <c r="E116" s="47">
        <f t="shared" si="4"/>
        <v>98.630686097512694</v>
      </c>
      <c r="F116" s="47">
        <f t="shared" si="4"/>
        <v>97.476718544268223</v>
      </c>
      <c r="G116" s="47">
        <f t="shared" si="4"/>
        <v>94.508966337707861</v>
      </c>
      <c r="H116" s="47">
        <f t="shared" si="4"/>
        <v>94.387442241878958</v>
      </c>
      <c r="I116" s="47">
        <f t="shared" si="4"/>
        <v>96.94236331909012</v>
      </c>
      <c r="J116" s="47">
        <f t="shared" si="3"/>
        <v>94.388387479115565</v>
      </c>
      <c r="K116" s="47">
        <f t="shared" si="3"/>
        <v>49.412015424096978</v>
      </c>
    </row>
    <row r="117" spans="3:11" x14ac:dyDescent="0.2">
      <c r="C117" s="88" t="s">
        <v>141</v>
      </c>
      <c r="D117" s="116">
        <f t="shared" si="4"/>
        <v>95.828574881821837</v>
      </c>
      <c r="E117" s="116">
        <f t="shared" si="4"/>
        <v>86.7105410137696</v>
      </c>
      <c r="F117" s="116">
        <f t="shared" si="4"/>
        <v>89.11200369947359</v>
      </c>
      <c r="G117" s="116">
        <f t="shared" si="4"/>
        <v>91.042291140568892</v>
      </c>
      <c r="H117" s="116">
        <f t="shared" si="4"/>
        <v>92.975494495122305</v>
      </c>
      <c r="I117" s="116">
        <f t="shared" si="4"/>
        <v>91.152212472875675</v>
      </c>
      <c r="J117" s="116">
        <f t="shared" si="3"/>
        <v>97.154203514483413</v>
      </c>
      <c r="K117" s="116">
        <f t="shared" si="3"/>
        <v>30.200845127845525</v>
      </c>
    </row>
    <row r="118" spans="3:11" x14ac:dyDescent="0.2">
      <c r="C118" s="87" t="s">
        <v>142</v>
      </c>
      <c r="D118" s="47">
        <f t="shared" ref="D118:I127" si="5">+IFERROR(IF(D77&gt;0,+((D77/D35)*100)," "),"0")</f>
        <v>96.233433227566451</v>
      </c>
      <c r="E118" s="47">
        <f t="shared" si="5"/>
        <v>96.927788598003318</v>
      </c>
      <c r="F118" s="47">
        <f t="shared" si="5"/>
        <v>88.182542372955083</v>
      </c>
      <c r="G118" s="47">
        <f t="shared" si="5"/>
        <v>93.346271260279295</v>
      </c>
      <c r="H118" s="47">
        <f t="shared" si="5"/>
        <v>93.149273622933165</v>
      </c>
      <c r="I118" s="47">
        <f t="shared" si="5"/>
        <v>87.380764238064032</v>
      </c>
      <c r="J118" s="47">
        <f t="shared" si="3"/>
        <v>95.068913181847236</v>
      </c>
      <c r="K118" s="47">
        <f t="shared" si="3"/>
        <v>45.758807869903663</v>
      </c>
    </row>
    <row r="119" spans="3:11" x14ac:dyDescent="0.2">
      <c r="C119" s="88" t="s">
        <v>143</v>
      </c>
      <c r="D119" s="116">
        <f t="shared" si="5"/>
        <v>98.428523222081211</v>
      </c>
      <c r="E119" s="116">
        <f t="shared" si="5"/>
        <v>99.48911279532247</v>
      </c>
      <c r="F119" s="116">
        <f t="shared" si="5"/>
        <v>99.03052852431135</v>
      </c>
      <c r="G119" s="116">
        <f t="shared" si="5"/>
        <v>98.974043960144016</v>
      </c>
      <c r="H119" s="116">
        <f t="shared" si="5"/>
        <v>97.869323038676299</v>
      </c>
      <c r="I119" s="116">
        <f t="shared" si="5"/>
        <v>94.931996127614056</v>
      </c>
      <c r="J119" s="116">
        <f t="shared" si="3"/>
        <v>98.987633795265936</v>
      </c>
      <c r="K119" s="116">
        <f t="shared" si="3"/>
        <v>25.926940460037173</v>
      </c>
    </row>
    <row r="120" spans="3:11" x14ac:dyDescent="0.2">
      <c r="C120" s="87" t="s">
        <v>144</v>
      </c>
      <c r="D120" s="47">
        <f t="shared" si="5"/>
        <v>98.918704604490912</v>
      </c>
      <c r="E120" s="47">
        <f t="shared" si="5"/>
        <v>98.751317180580685</v>
      </c>
      <c r="F120" s="47">
        <f t="shared" si="5"/>
        <v>96.512791732433712</v>
      </c>
      <c r="G120" s="47">
        <f t="shared" si="5"/>
        <v>97.561948772370741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25.549737661753291</v>
      </c>
    </row>
    <row r="121" spans="3:11" x14ac:dyDescent="0.2">
      <c r="C121" s="88" t="s">
        <v>145</v>
      </c>
      <c r="D121" s="116">
        <f t="shared" si="5"/>
        <v>95.802085146790191</v>
      </c>
      <c r="E121" s="116">
        <f t="shared" si="5"/>
        <v>97.073761200259554</v>
      </c>
      <c r="F121" s="116">
        <f t="shared" si="5"/>
        <v>94.138867792201026</v>
      </c>
      <c r="G121" s="116">
        <f t="shared" si="5"/>
        <v>97.359228572475686</v>
      </c>
      <c r="H121" s="116">
        <f t="shared" si="5"/>
        <v>95.267984444621149</v>
      </c>
      <c r="I121" s="116">
        <f t="shared" si="5"/>
        <v>67.834004670169065</v>
      </c>
      <c r="J121" s="116">
        <f t="shared" si="3"/>
        <v>95.342374141520352</v>
      </c>
      <c r="K121" s="116">
        <f t="shared" si="3"/>
        <v>43.257365280657496</v>
      </c>
    </row>
    <row r="122" spans="3:11" x14ac:dyDescent="0.2">
      <c r="C122" s="87" t="s">
        <v>146</v>
      </c>
      <c r="D122" s="47">
        <f t="shared" si="5"/>
        <v>96.582577804433939</v>
      </c>
      <c r="E122" s="47">
        <f t="shared" si="5"/>
        <v>93.553402807146384</v>
      </c>
      <c r="F122" s="47">
        <f t="shared" si="5"/>
        <v>90.639587844313937</v>
      </c>
      <c r="G122" s="47">
        <f t="shared" si="5"/>
        <v>96.396684969299145</v>
      </c>
      <c r="H122" s="47">
        <f t="shared" si="5"/>
        <v>93.848353077790364</v>
      </c>
      <c r="I122" s="47">
        <f t="shared" si="5"/>
        <v>95.248632556000629</v>
      </c>
      <c r="J122" s="47">
        <f t="shared" si="3"/>
        <v>95.889066126486384</v>
      </c>
      <c r="K122" s="47">
        <f t="shared" si="3"/>
        <v>39.162107375160687</v>
      </c>
    </row>
    <row r="123" spans="3:11" x14ac:dyDescent="0.2">
      <c r="C123" s="88" t="s">
        <v>162</v>
      </c>
      <c r="D123" s="116">
        <f t="shared" si="5"/>
        <v>99.892705267114579</v>
      </c>
      <c r="E123" s="116">
        <f t="shared" si="5"/>
        <v>97.722433856636343</v>
      </c>
      <c r="F123" s="116">
        <f t="shared" si="5"/>
        <v>99.709911177136007</v>
      </c>
      <c r="G123" s="116">
        <f t="shared" si="5"/>
        <v>99.846292448679463</v>
      </c>
      <c r="H123" s="116">
        <f t="shared" si="5"/>
        <v>99.075875938909135</v>
      </c>
      <c r="I123" s="116">
        <f t="shared" si="5"/>
        <v>98.762430477617642</v>
      </c>
      <c r="J123" s="116">
        <f t="shared" si="3"/>
        <v>99.098111753053914</v>
      </c>
      <c r="K123" s="116">
        <f t="shared" si="3"/>
        <v>36.780169001090336</v>
      </c>
    </row>
    <row r="124" spans="3:11" x14ac:dyDescent="0.2">
      <c r="C124" s="87" t="s">
        <v>148</v>
      </c>
      <c r="D124" s="47">
        <f t="shared" si="5"/>
        <v>92.121058708906929</v>
      </c>
      <c r="E124" s="47">
        <f t="shared" si="5"/>
        <v>96.845274654608062</v>
      </c>
      <c r="F124" s="47">
        <f t="shared" si="5"/>
        <v>95.330987537885932</v>
      </c>
      <c r="G124" s="47">
        <f t="shared" si="5"/>
        <v>97.146339628881137</v>
      </c>
      <c r="H124" s="47">
        <f t="shared" si="5"/>
        <v>92.601026950901584</v>
      </c>
      <c r="I124" s="47">
        <f t="shared" si="5"/>
        <v>98.22522883247342</v>
      </c>
      <c r="J124" s="47">
        <f t="shared" si="3"/>
        <v>99.393554503437855</v>
      </c>
      <c r="K124" s="47">
        <f t="shared" si="3"/>
        <v>48.143877596160515</v>
      </c>
    </row>
    <row r="125" spans="3:11" x14ac:dyDescent="0.2">
      <c r="C125" s="88" t="s">
        <v>149</v>
      </c>
      <c r="D125" s="116">
        <f t="shared" si="5"/>
        <v>94.255599802757771</v>
      </c>
      <c r="E125" s="116">
        <f t="shared" si="5"/>
        <v>98.695975805824219</v>
      </c>
      <c r="F125" s="116">
        <f t="shared" si="5"/>
        <v>80.32575953168579</v>
      </c>
      <c r="G125" s="116">
        <f t="shared" si="5"/>
        <v>87.685846951981858</v>
      </c>
      <c r="H125" s="116">
        <f t="shared" si="5"/>
        <v>87.066038706421196</v>
      </c>
      <c r="I125" s="116">
        <f t="shared" si="5"/>
        <v>97.607335690279839</v>
      </c>
      <c r="J125" s="116">
        <f t="shared" si="3"/>
        <v>96.113525033266797</v>
      </c>
      <c r="K125" s="116">
        <f t="shared" si="3"/>
        <v>33.383586780436396</v>
      </c>
    </row>
    <row r="126" spans="3:11" x14ac:dyDescent="0.2">
      <c r="C126" s="87" t="s">
        <v>163</v>
      </c>
      <c r="D126" s="47">
        <f t="shared" si="5"/>
        <v>99.346820015941248</v>
      </c>
      <c r="E126" s="47">
        <f t="shared" si="5"/>
        <v>98.969733996603637</v>
      </c>
      <c r="F126" s="47">
        <f t="shared" si="5"/>
        <v>98.247236739685803</v>
      </c>
      <c r="G126" s="47">
        <f t="shared" si="5"/>
        <v>85.926331093105773</v>
      </c>
      <c r="H126" s="47">
        <f t="shared" si="5"/>
        <v>98.078545571491091</v>
      </c>
      <c r="I126" s="47">
        <f t="shared" si="5"/>
        <v>91.446379456074638</v>
      </c>
      <c r="J126" s="47">
        <f t="shared" si="3"/>
        <v>99.29349755700062</v>
      </c>
      <c r="K126" s="47">
        <f t="shared" si="3"/>
        <v>19.343548512655001</v>
      </c>
    </row>
    <row r="127" spans="3:11" x14ac:dyDescent="0.2">
      <c r="C127" s="88" t="s">
        <v>150</v>
      </c>
      <c r="D127" s="116">
        <f t="shared" si="5"/>
        <v>99.599147465843942</v>
      </c>
      <c r="E127" s="116">
        <f t="shared" si="5"/>
        <v>98.494327853493132</v>
      </c>
      <c r="F127" s="116">
        <f t="shared" si="5"/>
        <v>99.411793201919835</v>
      </c>
      <c r="G127" s="116">
        <f t="shared" si="5"/>
        <v>97.98104354176661</v>
      </c>
      <c r="H127" s="116">
        <f t="shared" si="5"/>
        <v>98.362358775943974</v>
      </c>
      <c r="I127" s="116">
        <f t="shared" si="5"/>
        <v>98.726125198336291</v>
      </c>
      <c r="J127" s="116">
        <f t="shared" si="3"/>
        <v>99.585163603434594</v>
      </c>
      <c r="K127" s="116">
        <f t="shared" si="3"/>
        <v>81.895048480205432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99.164725373538772</v>
      </c>
      <c r="E128" s="47">
        <f t="shared" si="6"/>
        <v>98.955042640685264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98.758816953641073</v>
      </c>
      <c r="I128" s="47">
        <f t="shared" si="6"/>
        <v>99.31065111884196</v>
      </c>
      <c r="J128" s="47">
        <f t="shared" si="3"/>
        <v>99.844229244380756</v>
      </c>
      <c r="K128" s="47">
        <f t="shared" si="3"/>
        <v>43.252473723617349</v>
      </c>
    </row>
    <row r="129" spans="1:11" x14ac:dyDescent="0.2">
      <c r="C129" s="91" t="s">
        <v>154</v>
      </c>
      <c r="D129" s="74">
        <f t="shared" ref="D129:I129" si="7">+IFERROR(IF(D88&gt;0,+((D88/D46)*100)," "),"")</f>
        <v>98.952632077577064</v>
      </c>
      <c r="E129" s="74">
        <f t="shared" si="7"/>
        <v>90.67346451673744</v>
      </c>
      <c r="F129" s="74">
        <f t="shared" si="7"/>
        <v>97.511191441005536</v>
      </c>
      <c r="G129" s="74">
        <f t="shared" si="7"/>
        <v>96.315964021350325</v>
      </c>
      <c r="H129" s="74">
        <f t="shared" si="7"/>
        <v>96.413572752462812</v>
      </c>
      <c r="I129" s="74">
        <f t="shared" si="7"/>
        <v>96.420127108284518</v>
      </c>
      <c r="J129" s="74">
        <f t="shared" si="3"/>
        <v>98.575912535591172</v>
      </c>
      <c r="K129" s="74">
        <f t="shared" si="3"/>
        <v>38.247049762561502</v>
      </c>
    </row>
    <row r="130" spans="1:11" s="31" customFormat="1" x14ac:dyDescent="0.2">
      <c r="A130" s="5"/>
      <c r="B130" s="5"/>
      <c r="C130" s="72" t="str">
        <f>+'C1 Aprop Resumen 2000-2026'!B20</f>
        <v>* Información con corte a 30 de abril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D136" s="155" t="s">
        <v>156</v>
      </c>
      <c r="E136" s="178"/>
      <c r="F136" s="178"/>
      <c r="G136" s="178"/>
      <c r="H136" s="178"/>
      <c r="I136" s="178"/>
      <c r="J136" s="178"/>
      <c r="K136" s="178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76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10</v>
      </c>
    </row>
    <row r="139" spans="1:11" ht="12" customHeight="1" thickBot="1" x14ac:dyDescent="0.25">
      <c r="C139" s="160"/>
      <c r="D139" s="154"/>
      <c r="E139" s="154"/>
      <c r="F139" s="154"/>
      <c r="G139" s="154"/>
      <c r="H139" s="154"/>
      <c r="I139" s="154"/>
      <c r="J139" s="154"/>
      <c r="K139" s="154"/>
    </row>
    <row r="140" spans="1:11" x14ac:dyDescent="0.2">
      <c r="C140" s="87" t="s">
        <v>123</v>
      </c>
      <c r="D140" s="42">
        <f>1377.779585587*Deflactores!$T$5</f>
        <v>2138.2120933669066</v>
      </c>
      <c r="E140" s="42">
        <f>1356.09138730611*Deflactores!$U$5</f>
        <v>2071.2071769316281</v>
      </c>
      <c r="F140" s="42">
        <f>1826.79049403707*Deflactores!$V$5</f>
        <v>2641.6614859833317</v>
      </c>
      <c r="G140" s="42">
        <f>1858.10324526012*Deflactores!$W$5</f>
        <v>2375.3021771873046</v>
      </c>
      <c r="H140" s="42">
        <f>3935.52023172768*Deflactores!$X$5</f>
        <v>4603.7368143903741</v>
      </c>
      <c r="I140" s="42">
        <f>2942.84695213217*Deflactores!$Y$5</f>
        <v>3272.3539712351921</v>
      </c>
      <c r="J140" s="42">
        <f>2902.27066327869*Deflactores!$Z$5</f>
        <v>3070.602361748854</v>
      </c>
      <c r="K140" s="42">
        <f>538.03125905551*Deflactores!$AA$5</f>
        <v>538.03125905550996</v>
      </c>
    </row>
    <row r="141" spans="1:11" x14ac:dyDescent="0.2">
      <c r="C141" s="88" t="s">
        <v>124</v>
      </c>
      <c r="D141" s="50">
        <f>432.10044421666*Deflactores!$T$5</f>
        <v>670.5879554599727</v>
      </c>
      <c r="E141" s="50">
        <f>456.19283176687*Deflactores!$U$5</f>
        <v>696.75972878000357</v>
      </c>
      <c r="F141" s="50">
        <f>621.27072631497*Deflactores!$V$5</f>
        <v>898.39910785185191</v>
      </c>
      <c r="G141" s="50">
        <f>662.237670151389*Deflactores!$W$5</f>
        <v>846.57006209890801</v>
      </c>
      <c r="H141" s="50">
        <f>792.18176651453*Deflactores!$X$5</f>
        <v>926.68723509286144</v>
      </c>
      <c r="I141" s="50">
        <f>891.58703115912*Deflactores!$Y$5</f>
        <v>991.41695425291221</v>
      </c>
      <c r="J141" s="50">
        <f>1179.34744149356*Deflactores!$Z$5</f>
        <v>1247.7495931001865</v>
      </c>
      <c r="K141" s="50">
        <f>264.969367753289*Deflactores!$AA$5</f>
        <v>264.96936775328902</v>
      </c>
    </row>
    <row r="142" spans="1:11" x14ac:dyDescent="0.2">
      <c r="C142" s="87" t="s">
        <v>125</v>
      </c>
      <c r="D142" s="42">
        <f>156.9631704478*Deflactores!$T$5</f>
        <v>243.59524032409479</v>
      </c>
      <c r="E142" s="42">
        <f>182.164232197009*Deflactores!$U$5</f>
        <v>278.22598730325603</v>
      </c>
      <c r="F142" s="42">
        <f>360.28363559592*Deflactores!$V$5</f>
        <v>520.99428330202477</v>
      </c>
      <c r="G142" s="42">
        <f>289.96073695917*Deflactores!$W$5</f>
        <v>370.67066728121068</v>
      </c>
      <c r="H142" s="42">
        <f>319.52175787501*Deflactores!$X$5</f>
        <v>373.77373081935588</v>
      </c>
      <c r="I142" s="42">
        <f>328.486339277249*Deflactores!$Y$5</f>
        <v>365.26655796748321</v>
      </c>
      <c r="J142" s="42">
        <f>268.60777290051*Deflactores!$Z$5</f>
        <v>284.18702372873958</v>
      </c>
      <c r="K142" s="42">
        <f>19.61798285421*Deflactores!$AA$5</f>
        <v>19.617982854209998</v>
      </c>
    </row>
    <row r="143" spans="1:11" x14ac:dyDescent="0.2">
      <c r="C143" s="88" t="s">
        <v>126</v>
      </c>
      <c r="D143" s="50">
        <f>528.134674944709*Deflactores!$T$5</f>
        <v>819.62598423321572</v>
      </c>
      <c r="E143" s="50">
        <f>580.97923579246*Deflactores!$U$5</f>
        <v>887.3504942849172</v>
      </c>
      <c r="F143" s="50">
        <f>512.0789720137*Deflactores!$V$5</f>
        <v>740.50051309445735</v>
      </c>
      <c r="G143" s="50">
        <f>548.254746744429*Deflactores!$W$5</f>
        <v>700.86024386282622</v>
      </c>
      <c r="H143" s="50">
        <f>646.57835886373*Deflactores!$X$5</f>
        <v>756.36165457655738</v>
      </c>
      <c r="I143" s="50">
        <f>587.7503110224*Deflactores!$Y$5</f>
        <v>653.56000351135117</v>
      </c>
      <c r="J143" s="50">
        <f>775.78573017155*Deflactores!$Z$5</f>
        <v>820.78130252149992</v>
      </c>
      <c r="K143" s="50">
        <f>278.82233209397*Deflactores!$AA$5</f>
        <v>278.82233209396998</v>
      </c>
    </row>
    <row r="144" spans="1:11" x14ac:dyDescent="0.2">
      <c r="C144" s="87" t="s">
        <v>127</v>
      </c>
      <c r="D144" s="42">
        <f>590.74732759686*Deflactores!$T$5</f>
        <v>916.79619382198098</v>
      </c>
      <c r="E144" s="42">
        <f>641.05703782282*Deflactores!$U$5</f>
        <v>979.10948332086105</v>
      </c>
      <c r="F144" s="42">
        <f>722.891786365659*Deflactores!$V$5</f>
        <v>1045.3499713345348</v>
      </c>
      <c r="G144" s="42">
        <f>860.374365491189*Deflactores!$W$5</f>
        <v>1099.8576687062789</v>
      </c>
      <c r="H144" s="42">
        <f>1029.84790740124*Deflactores!$X$5</f>
        <v>1204.7069879868536</v>
      </c>
      <c r="I144" s="42">
        <f>1105.41480856526*Deflactores!$Y$5</f>
        <v>1229.1867696517088</v>
      </c>
      <c r="J144" s="42">
        <f>1241.12687203137*Deflactores!$Z$5</f>
        <v>1313.1122306091897</v>
      </c>
      <c r="K144" s="42">
        <f>424.56943903953*Deflactores!$AA$5</f>
        <v>424.56943903952998</v>
      </c>
    </row>
    <row r="145" spans="3:11" x14ac:dyDescent="0.2">
      <c r="C145" s="88" t="s">
        <v>128</v>
      </c>
      <c r="D145" s="50">
        <f>354.34218718658*Deflactores!$T$5</f>
        <v>549.9128871978653</v>
      </c>
      <c r="E145" s="50">
        <f>351.105345203089*Deflactores!$U$5</f>
        <v>536.25582881129333</v>
      </c>
      <c r="F145" s="50">
        <f>497.32687600367*Deflactores!$V$5</f>
        <v>719.16799357761681</v>
      </c>
      <c r="G145" s="50">
        <f>437.25570539451*Deflactores!$W$5</f>
        <v>558.96486466001102</v>
      </c>
      <c r="H145" s="50">
        <f>593.955817070179*Deflactores!$X$5</f>
        <v>694.80426987079625</v>
      </c>
      <c r="I145" s="50">
        <f>844.21138800199*Deflactores!$Y$5</f>
        <v>938.7367175478629</v>
      </c>
      <c r="J145" s="50">
        <f>696.61050948885*Deflactores!$Z$5</f>
        <v>737.0139190392033</v>
      </c>
      <c r="K145" s="50">
        <f>232.21386599935*Deflactores!$AA$5</f>
        <v>232.21386599934999</v>
      </c>
    </row>
    <row r="146" spans="3:11" x14ac:dyDescent="0.2">
      <c r="C146" s="87" t="s">
        <v>129</v>
      </c>
      <c r="D146" s="42">
        <f>30242.2161843504*Deflactores!$T$5</f>
        <v>46933.684496453279</v>
      </c>
      <c r="E146" s="42">
        <f>32462.0754285622*Deflactores!$U$5</f>
        <v>49580.496001304367</v>
      </c>
      <c r="F146" s="42">
        <f>34776.4338434385*Deflactores!$V$5</f>
        <v>50289.054056241745</v>
      </c>
      <c r="G146" s="42">
        <f>37727.2769819125*Deflactores!$W$5</f>
        <v>48228.581152894993</v>
      </c>
      <c r="H146" s="42">
        <f>42972.3794164656*Deflactores!$X$5</f>
        <v>50268.709972985089</v>
      </c>
      <c r="I146" s="42">
        <f>47663.3304184179*Deflactores!$Y$5</f>
        <v>53000.135961538763</v>
      </c>
      <c r="J146" s="42">
        <f>52860.2609563732*Deflactores!$Z$5</f>
        <v>55926.156091842844</v>
      </c>
      <c r="K146" s="42">
        <f>16708.4142505425*Deflactores!$AA$5</f>
        <v>16708.414250542501</v>
      </c>
    </row>
    <row r="147" spans="3:11" x14ac:dyDescent="0.2">
      <c r="C147" s="88" t="s">
        <v>130</v>
      </c>
      <c r="D147" s="50">
        <f>265.50080154778*Deflactores!$T$5</f>
        <v>412.03762242289588</v>
      </c>
      <c r="E147" s="50">
        <f>241.73299196914*Deflactores!$U$5</f>
        <v>369.2074977795138</v>
      </c>
      <c r="F147" s="50">
        <f>671.605856234279*Deflactores!$V$5</f>
        <v>971.18707917852316</v>
      </c>
      <c r="G147" s="50">
        <f>556.162676796399*Deflactores!$W$5</f>
        <v>710.96932876830977</v>
      </c>
      <c r="H147" s="50">
        <f>560.386603394199*Deflactores!$X$5</f>
        <v>655.53530014620117</v>
      </c>
      <c r="I147" s="50">
        <f>381.37251859876*Deflactores!$Y$5</f>
        <v>424.07433891606934</v>
      </c>
      <c r="J147" s="50">
        <f>303.56938040264*Deflactores!$Z$5</f>
        <v>321.17640446599313</v>
      </c>
      <c r="K147" s="50">
        <f>138.89876457491*Deflactores!$AA$5</f>
        <v>138.89876457490999</v>
      </c>
    </row>
    <row r="148" spans="3:11" x14ac:dyDescent="0.2">
      <c r="C148" s="87" t="s">
        <v>131</v>
      </c>
      <c r="D148" s="42">
        <f>41281.5327756594*Deflactores!$T$5</f>
        <v>64065.887996177975</v>
      </c>
      <c r="E148" s="42">
        <f>44542.6749018904*Deflactores!$U$5</f>
        <v>68031.630316447496</v>
      </c>
      <c r="F148" s="42">
        <f>48010.5696007512*Deflactores!$V$5</f>
        <v>69426.501313868212</v>
      </c>
      <c r="G148" s="42">
        <f>49615.994280471*Deflactores!$W$5</f>
        <v>63426.496637552082</v>
      </c>
      <c r="H148" s="42">
        <f>57855.2995852406*Deflactores!$X$5</f>
        <v>67678.618562514486</v>
      </c>
      <c r="I148" s="42">
        <f>67551.1626605053*Deflactores!$Y$5</f>
        <v>75114.784760893352</v>
      </c>
      <c r="J148" s="42">
        <f>77993.9807822656*Deflactores!$Z$5</f>
        <v>82517.631667637004</v>
      </c>
      <c r="K148" s="42">
        <f>26729.7386709728*Deflactores!$AA$5</f>
        <v>26729.738670972802</v>
      </c>
    </row>
    <row r="149" spans="3:11" x14ac:dyDescent="0.2">
      <c r="C149" s="88" t="s">
        <v>132</v>
      </c>
      <c r="D149" s="50">
        <f>39.17080623979*Deflactores!$T$5</f>
        <v>60.790196403706339</v>
      </c>
      <c r="E149" s="50">
        <f>41.99408569583*Deflactores!$U$5</f>
        <v>64.139078307007424</v>
      </c>
      <c r="F149" s="50">
        <f>48.7608599207*Deflactores!$V$5</f>
        <v>70.511471401015285</v>
      </c>
      <c r="G149" s="50">
        <f>48.62149333392*Deflactores!$W$5</f>
        <v>62.1551785503665</v>
      </c>
      <c r="H149" s="50">
        <f>51.63981058317*Deflactores!$X$5</f>
        <v>60.407794413883629</v>
      </c>
      <c r="I149" s="50">
        <f>55.3584679554*Deflactores!$Y$5</f>
        <v>61.556888754985913</v>
      </c>
      <c r="J149" s="50">
        <f>57.6751532041*Deflactores!$Z$5</f>
        <v>61.020312089937804</v>
      </c>
      <c r="K149" s="50">
        <f>15.93524247622*Deflactores!$AA$5</f>
        <v>15.935242476219999</v>
      </c>
    </row>
    <row r="150" spans="3:11" x14ac:dyDescent="0.2">
      <c r="C150" s="87" t="s">
        <v>133</v>
      </c>
      <c r="D150" s="42">
        <f>3593.55410590247*Deflactores!$T$5</f>
        <v>5576.9303942294255</v>
      </c>
      <c r="E150" s="42">
        <f>3724.81310945764*Deflactores!$U$5</f>
        <v>5689.0411053810531</v>
      </c>
      <c r="F150" s="42">
        <f>4068.94181844623*Deflactores!$V$5</f>
        <v>5883.9625701918449</v>
      </c>
      <c r="G150" s="42">
        <f>4479.98557479999*Deflactores!$W$5</f>
        <v>5726.979658818922</v>
      </c>
      <c r="H150" s="42">
        <f>5116.85767177538*Deflactores!$X$5</f>
        <v>5985.6549199359188</v>
      </c>
      <c r="I150" s="42">
        <f>5549.91535021863*Deflactores!$Y$5</f>
        <v>6171.3326692537503</v>
      </c>
      <c r="J150" s="42">
        <f>6286.90434103635*Deflactores!$Z$5</f>
        <v>6651.5447928164585</v>
      </c>
      <c r="K150" s="42">
        <f>1750.53937626076*Deflactores!$AA$5</f>
        <v>1750.53937626076</v>
      </c>
    </row>
    <row r="151" spans="3:11" x14ac:dyDescent="0.2">
      <c r="C151" s="88" t="s">
        <v>134</v>
      </c>
      <c r="D151" s="50">
        <f>8283.13178466186*Deflactores!$T$5</f>
        <v>12854.808372973552</v>
      </c>
      <c r="E151" s="50">
        <f>16677.9545756836*Deflactores!$U$5</f>
        <v>25472.840206084187</v>
      </c>
      <c r="F151" s="50">
        <f>18470.078400646*Deflactores!$V$5</f>
        <v>26708.971233068532</v>
      </c>
      <c r="G151" s="50">
        <f>13794.1112068227*Deflactores!$W$5</f>
        <v>17633.671576383735</v>
      </c>
      <c r="H151" s="50">
        <f>33730.3376486072*Deflactores!$X$5</f>
        <v>39457.451124966203</v>
      </c>
      <c r="I151" s="50">
        <f>22528.1669816146*Deflactores!$Y$5</f>
        <v>25050.618630888668</v>
      </c>
      <c r="J151" s="50">
        <f>16841.1183449539*Deflactores!$Z$5</f>
        <v>17817.903208961226</v>
      </c>
      <c r="K151" s="50">
        <f>4843.87144881464*Deflactores!$AA$5</f>
        <v>4843.8714488146397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3.4089355341100349</v>
      </c>
      <c r="I152" s="42">
        <f>6005.12004607376*Deflactores!$Y$5</f>
        <v>6677.5060851451863</v>
      </c>
      <c r="J152" s="42">
        <f>6404.65177944855*Deflactores!$Z$5</f>
        <v>6776.1215826565658</v>
      </c>
      <c r="K152" s="42">
        <f>1974.42882715348*Deflactores!$AA$5</f>
        <v>1974.4288271534799</v>
      </c>
    </row>
    <row r="153" spans="3:11" x14ac:dyDescent="0.2">
      <c r="C153" s="88" t="s">
        <v>136</v>
      </c>
      <c r="D153" s="50">
        <f>7787.016263653*Deflactores!$T$5</f>
        <v>12084.873749304254</v>
      </c>
      <c r="E153" s="50">
        <f>15096.5152304948*Deflactores!$U$5</f>
        <v>23057.450983574712</v>
      </c>
      <c r="F153" s="50">
        <f>19466.8125761489*Deflactores!$V$5</f>
        <v>28150.315652028446</v>
      </c>
      <c r="G153" s="50">
        <f>19559.5804834346*Deflactores!$W$5</f>
        <v>25003.946484506836</v>
      </c>
      <c r="H153" s="50">
        <f>15912.8921342202*Deflactores!$X$5</f>
        <v>18614.760699520579</v>
      </c>
      <c r="I153" s="50">
        <f>9671.1000122994*Deflactores!$Y$5</f>
        <v>10753.961400721631</v>
      </c>
      <c r="J153" s="50">
        <f>7974.29801792114*Deflactores!$Z$5</f>
        <v>8436.8073029605657</v>
      </c>
      <c r="K153" s="50">
        <f>2836.02553125985*Deflactores!$AA$5</f>
        <v>2836.0255312598501</v>
      </c>
    </row>
    <row r="154" spans="3:11" x14ac:dyDescent="0.2">
      <c r="C154" s="87" t="s">
        <v>137</v>
      </c>
      <c r="D154" s="42">
        <f>296.376529705529*Deflactores!$T$5</f>
        <v>459.95447068297574</v>
      </c>
      <c r="E154" s="42">
        <f>294.18754924815*Deflactores!$U$5</f>
        <v>449.32323077216972</v>
      </c>
      <c r="F154" s="42">
        <f>332.961600099889*Deflactores!$V$5</f>
        <v>481.48478885034746</v>
      </c>
      <c r="G154" s="42">
        <f>369.440359111959*Deflactores!$W$5</f>
        <v>472.27326661099943</v>
      </c>
      <c r="H154" s="42">
        <f>546.71923308221*Deflactores!$X$5</f>
        <v>639.54733104520437</v>
      </c>
      <c r="I154" s="42">
        <f>764.36639362302*Deflactores!$Y$5</f>
        <v>849.95157557846176</v>
      </c>
      <c r="J154" s="42">
        <f>687.64497830521*Deflactores!$Z$5</f>
        <v>727.52838704691214</v>
      </c>
      <c r="K154" s="42">
        <f>153.73396468924*Deflactores!$AA$5</f>
        <v>153.73396468924</v>
      </c>
    </row>
    <row r="155" spans="3:11" x14ac:dyDescent="0.2">
      <c r="C155" s="88" t="s">
        <v>138</v>
      </c>
      <c r="D155" s="50">
        <f>91.27763542242*Deflactores!$T$5</f>
        <v>141.65614439046999</v>
      </c>
      <c r="E155" s="50">
        <f>97.64146220211*Deflactores!$U$5</f>
        <v>149.13131900413578</v>
      </c>
      <c r="F155" s="50">
        <f>110.959760434319*Deflactores!$V$5</f>
        <v>160.45525011765773</v>
      </c>
      <c r="G155" s="50">
        <f>106.51005576041*Deflactores!$W$5</f>
        <v>136.15689439508296</v>
      </c>
      <c r="H155" s="50">
        <f>122.721946485169*Deflactores!$X$5</f>
        <v>143.55904929991777</v>
      </c>
      <c r="I155" s="50">
        <f>137.65301361438*Deflactores!$Y$5</f>
        <v>153.06585530285426</v>
      </c>
      <c r="J155" s="50">
        <f>150.50415071102*Deflactores!$Z$5</f>
        <v>159.23339145225918</v>
      </c>
      <c r="K155" s="50">
        <f>42.88391447475*Deflactores!$AA$5</f>
        <v>42.88391447475</v>
      </c>
    </row>
    <row r="156" spans="3:11" x14ac:dyDescent="0.2">
      <c r="C156" s="87" t="s">
        <v>160</v>
      </c>
      <c r="D156" s="42">
        <f>1101.35085533362*Deflactores!$T$5</f>
        <v>1709.2151332108929</v>
      </c>
      <c r="E156" s="42">
        <f>1441.81518426992*Deflactores!$U$5</f>
        <v>2202.1362169412264</v>
      </c>
      <c r="F156" s="42">
        <f>1739.11320851529*Deflactores!$V$5</f>
        <v>2514.8742549820354</v>
      </c>
      <c r="G156" s="42">
        <f>2031.24056989938*Deflactores!$W$5</f>
        <v>2596.631893508018</v>
      </c>
      <c r="H156" s="42">
        <f>2200.92701256*Deflactores!$X$5</f>
        <v>2574.6249839657335</v>
      </c>
      <c r="I156" s="42">
        <f>2709.4885232417*Deflactores!$Y$5</f>
        <v>3012.8666808928715</v>
      </c>
      <c r="J156" s="42">
        <f>3366.59303680968*Deflactores!$Z$5</f>
        <v>3561.855432944642</v>
      </c>
      <c r="K156" s="42">
        <f>897.87827218763*Deflactores!$AA$5</f>
        <v>897.87827218763005</v>
      </c>
    </row>
    <row r="157" spans="3:11" x14ac:dyDescent="0.2">
      <c r="C157" s="88" t="s">
        <v>161</v>
      </c>
      <c r="D157" s="50">
        <f>1719.35079914496*Deflactores!$T$5</f>
        <v>2668.3053733195748</v>
      </c>
      <c r="E157" s="50">
        <f>1950.90544236698*Deflactores!$U$5</f>
        <v>2979.6880885530977</v>
      </c>
      <c r="F157" s="50">
        <f>1931.0487212112*Deflactores!$V$5</f>
        <v>2792.4258698696053</v>
      </c>
      <c r="G157" s="50">
        <f>2178.59154146719*Deflactores!$W$5</f>
        <v>2784.9976823674447</v>
      </c>
      <c r="H157" s="50">
        <f>2628.41823193799*Deflactores!$X$5</f>
        <v>3074.7004374249354</v>
      </c>
      <c r="I157" s="50">
        <f>3157.48196938839*Deflactores!$Y$5</f>
        <v>3511.0214121551649</v>
      </c>
      <c r="J157" s="50">
        <f>3513.0127806281*Deflactores!$Z$5</f>
        <v>3716.76752190453</v>
      </c>
      <c r="K157" s="50">
        <f>1010.7190478876*Deflactores!$AA$5</f>
        <v>1010.7190478876</v>
      </c>
    </row>
    <row r="158" spans="3:11" x14ac:dyDescent="0.2">
      <c r="C158" s="87" t="s">
        <v>140</v>
      </c>
      <c r="D158" s="42">
        <f>2668.13281722145*Deflactores!$T$5</f>
        <v>4140.7449465593591</v>
      </c>
      <c r="E158" s="42">
        <f>2813.33060918866*Deflactores!$U$5</f>
        <v>4296.9010815770771</v>
      </c>
      <c r="F158" s="42">
        <f>4268.30702520684*Deflactores!$V$5</f>
        <v>6172.2580206355015</v>
      </c>
      <c r="G158" s="42">
        <f>3871.83149089502*Deflactores!$W$5</f>
        <v>4949.547229673899</v>
      </c>
      <c r="H158" s="42">
        <f>6294.22653559743*Deflactores!$X$5</f>
        <v>7362.9306200572828</v>
      </c>
      <c r="I158" s="42">
        <f>4332.24577573847*Deflactores!$Y$5</f>
        <v>4817.3221031196745</v>
      </c>
      <c r="J158" s="42">
        <f>4639.91181699171*Deflactores!$Z$5</f>
        <v>4909.0267023772294</v>
      </c>
      <c r="K158" s="42">
        <f>2637.41893313662*Deflactores!$AA$5</f>
        <v>2637.4189331366201</v>
      </c>
    </row>
    <row r="159" spans="3:11" x14ac:dyDescent="0.2">
      <c r="C159" s="88" t="s">
        <v>141</v>
      </c>
      <c r="D159" s="50">
        <f>1674.78236068006*Deflactores!$T$5</f>
        <v>2599.1384506092727</v>
      </c>
      <c r="E159" s="50">
        <f>1911.68713472567*Deflactores!$U$5</f>
        <v>2919.7885559595338</v>
      </c>
      <c r="F159" s="50">
        <f>2333.90491671326*Deflactores!$V$5</f>
        <v>3374.9829280113627</v>
      </c>
      <c r="G159" s="50">
        <f>2690.63397566848*Deflactores!$W$5</f>
        <v>3439.5659965196251</v>
      </c>
      <c r="H159" s="50">
        <f>3257.96976745032*Deflactores!$X$5</f>
        <v>3811.1442644007057</v>
      </c>
      <c r="I159" s="50">
        <f>3723.67253913006*Deflactores!$Y$5</f>
        <v>4140.6076561926557</v>
      </c>
      <c r="J159" s="50">
        <f>3844.76028019594*Deflactores!$Z$5</f>
        <v>4067.7563764473048</v>
      </c>
      <c r="K159" s="50">
        <f>1111.70773397254*Deflactores!$AA$5</f>
        <v>1111.7077339725399</v>
      </c>
    </row>
    <row r="160" spans="3:11" x14ac:dyDescent="0.2">
      <c r="C160" s="87" t="s">
        <v>142</v>
      </c>
      <c r="D160" s="42">
        <f>220.51112983582*Deflactores!$T$5</f>
        <v>342.21697684399135</v>
      </c>
      <c r="E160" s="42">
        <f>196.99057631175*Deflactores!$U$5</f>
        <v>300.87079621920395</v>
      </c>
      <c r="F160" s="42">
        <f>599.26698136863*Deflactores!$V$5</f>
        <v>866.58021796717128</v>
      </c>
      <c r="G160" s="42">
        <f>650.88456699036*Deflactores!$W$5</f>
        <v>832.0568477632595</v>
      </c>
      <c r="H160" s="42">
        <f>585.245065703659*Deflactores!$X$5</f>
        <v>684.61450984269322</v>
      </c>
      <c r="I160" s="42">
        <f>612.00445429636*Deflactores!$Y$5</f>
        <v>680.52985391554773</v>
      </c>
      <c r="J160" s="42">
        <f>481.48612958059*Deflactores!$Z$5</f>
        <v>509.41232509626423</v>
      </c>
      <c r="K160" s="42">
        <f>185.14261607575*Deflactores!$AA$5</f>
        <v>185.14261607575</v>
      </c>
    </row>
    <row r="161" spans="1:11" x14ac:dyDescent="0.2">
      <c r="C161" s="88" t="s">
        <v>143</v>
      </c>
      <c r="D161" s="50">
        <f>655.624079112229*Deflactores!$T$5</f>
        <v>1017.4801175204295</v>
      </c>
      <c r="E161" s="50">
        <f>1829.40255491063*Deflactores!$U$5</f>
        <v>2794.1123560669353</v>
      </c>
      <c r="F161" s="50">
        <f>3921.93490400729*Deflactores!$V$5</f>
        <v>5671.380719501135</v>
      </c>
      <c r="G161" s="50">
        <f>1138.15737782787*Deflactores!$W$5</f>
        <v>1454.9609686289896</v>
      </c>
      <c r="H161" s="50">
        <f>882.53803081483*Deflactores!$X$5</f>
        <v>1032.3851951786785</v>
      </c>
      <c r="I161" s="50">
        <f>804.09958575137*Deflactores!$Y$5</f>
        <v>894.13364524295901</v>
      </c>
      <c r="J161" s="50">
        <f>1664.05786411197*Deflactores!$Z$5</f>
        <v>1760.5732202304644</v>
      </c>
      <c r="K161" s="50">
        <f>243.26508878261*Deflactores!$AA$5</f>
        <v>243.26508878261001</v>
      </c>
    </row>
    <row r="162" spans="1:11" x14ac:dyDescent="0.2">
      <c r="C162" s="87" t="s">
        <v>144</v>
      </c>
      <c r="D162" s="42">
        <f>4305.35715077878*Deflactores!$T$5</f>
        <v>6681.5961147637263</v>
      </c>
      <c r="E162" s="42">
        <f>4447.39013902944*Deflactores!$U$5</f>
        <v>6792.6590057263065</v>
      </c>
      <c r="F162" s="42">
        <f>4816.97245128618*Deflactores!$V$5</f>
        <v>6965.6649983351654</v>
      </c>
      <c r="G162" s="42">
        <f>5382.79974625188*Deflactores!$W$5</f>
        <v>6881.0901596834847</v>
      </c>
      <c r="H162" s="42">
        <f>6583.43763757045*Deflactores!$X$5</f>
        <v>7701.247213261302</v>
      </c>
      <c r="I162" s="42">
        <f>7941.61259140778*Deflactores!$Y$5</f>
        <v>8830.8253620446812</v>
      </c>
      <c r="J162" s="42">
        <f>9210.90295734786*Deflactores!$Z$5</f>
        <v>9745.1353288740356</v>
      </c>
      <c r="K162" s="42">
        <f>2406.55173138531*Deflactores!$AA$5</f>
        <v>2406.5517313853102</v>
      </c>
    </row>
    <row r="163" spans="1:11" x14ac:dyDescent="0.2">
      <c r="C163" s="88" t="s">
        <v>145</v>
      </c>
      <c r="D163" s="50">
        <f>1338.77850526561*Deflactores!$T$5</f>
        <v>2077.6852990451275</v>
      </c>
      <c r="E163" s="50">
        <f>569.51337956188*Deflactores!$U$5</f>
        <v>869.83827944693383</v>
      </c>
      <c r="F163" s="50">
        <f>1150.17060825992*Deflactores!$V$5</f>
        <v>1663.223784045264</v>
      </c>
      <c r="G163" s="50">
        <f>2975.67326257441*Deflactores!$W$5</f>
        <v>3803.9453390016351</v>
      </c>
      <c r="H163" s="50">
        <f>2548.89737463678*Deflactores!$X$5</f>
        <v>2981.6776407643906</v>
      </c>
      <c r="I163" s="50">
        <f>827.52328561536*Deflactores!$Y$5</f>
        <v>920.18006849151209</v>
      </c>
      <c r="J163" s="50">
        <f>2139.5435793151*Deflactores!$Z$5</f>
        <v>2263.6371069153761</v>
      </c>
      <c r="K163" s="50">
        <f>642.77458906816*Deflactores!$AA$5</f>
        <v>642.77458906816003</v>
      </c>
    </row>
    <row r="164" spans="1:11" x14ac:dyDescent="0.2">
      <c r="C164" s="87" t="s">
        <v>146</v>
      </c>
      <c r="D164" s="42">
        <f>691.871854839797*Deflactores!$T$5</f>
        <v>1073.7339865929027</v>
      </c>
      <c r="E164" s="42">
        <f>735.23203250507*Deflactores!$U$5</f>
        <v>1122.9463417355839</v>
      </c>
      <c r="F164" s="42">
        <f>849.537216787919*Deflactores!$V$5</f>
        <v>1228.4877515092751</v>
      </c>
      <c r="G164" s="42">
        <f>1118.36147168782*Deflactores!$W$5</f>
        <v>1429.6549157636261</v>
      </c>
      <c r="H164" s="42">
        <f>1165.35423611068*Deflactores!$X$5</f>
        <v>1363.2210947199983</v>
      </c>
      <c r="I164" s="42">
        <f>1112.14508944866*Deflactores!$Y$5</f>
        <v>1236.6706319573461</v>
      </c>
      <c r="J164" s="42">
        <f>1192.38208578622*Deflactores!$Z$5</f>
        <v>1261.5402467618208</v>
      </c>
      <c r="K164" s="42">
        <f>375.78608978204*Deflactores!$AA$5</f>
        <v>375.78608978203999</v>
      </c>
    </row>
    <row r="165" spans="1:11" x14ac:dyDescent="0.2">
      <c r="C165" s="88" t="s">
        <v>162</v>
      </c>
      <c r="D165" s="50">
        <f>28841.4576036517*Deflactores!$T$5</f>
        <v>44759.810700913367</v>
      </c>
      <c r="E165" s="50">
        <f>33943.8942501427*Deflactores!$U$5</f>
        <v>51843.731213104373</v>
      </c>
      <c r="F165" s="50">
        <f>42889.5661263738*Deflactores!$V$5</f>
        <v>62021.187079966192</v>
      </c>
      <c r="G165" s="50">
        <f>41675.327169854*Deflactores!$W$5</f>
        <v>53275.562385495636</v>
      </c>
      <c r="H165" s="50">
        <f>49403.8875080793*Deflactores!$X$5</f>
        <v>57792.231345002867</v>
      </c>
      <c r="I165" s="50">
        <f>57115.5036660326*Deflactores!$Y$5</f>
        <v>63510.657632135597</v>
      </c>
      <c r="J165" s="50">
        <f>63577.9194071508*Deflactores!$Z$5</f>
        <v>67265.438732765557</v>
      </c>
      <c r="K165" s="50">
        <f>23037.8648354537*Deflactores!$AA$5</f>
        <v>23037.8648354537</v>
      </c>
    </row>
    <row r="166" spans="1:11" x14ac:dyDescent="0.2">
      <c r="C166" s="87" t="s">
        <v>148</v>
      </c>
      <c r="D166" s="42">
        <f>354.31167624808*Deflactores!$T$5</f>
        <v>549.86553647619462</v>
      </c>
      <c r="E166" s="42">
        <f>454.57663114662*Deflactores!$U$5</f>
        <v>694.29124741115356</v>
      </c>
      <c r="F166" s="42">
        <f>538.07943145689*Deflactores!$V$5</f>
        <v>778.09892000162233</v>
      </c>
      <c r="G166" s="42">
        <f>579.259625078809*Deflactores!$W$5</f>
        <v>740.49526156108675</v>
      </c>
      <c r="H166" s="42">
        <f>652.34916360862*Deflactores!$X$5</f>
        <v>763.11229100793082</v>
      </c>
      <c r="I166" s="42">
        <f>770.89363698376*Deflactores!$Y$5</f>
        <v>857.20966649523893</v>
      </c>
      <c r="J166" s="42">
        <f>849.50019022322*Deflactores!$Z$5</f>
        <v>898.77120125616682</v>
      </c>
      <c r="K166" s="42">
        <f>255.56580160589*Deflactores!$AA$5</f>
        <v>255.56580160588999</v>
      </c>
    </row>
    <row r="167" spans="1:11" x14ac:dyDescent="0.2">
      <c r="C167" s="88" t="s">
        <v>149</v>
      </c>
      <c r="D167" s="50">
        <f>77.5039550683*Deflactores!$T$5</f>
        <v>120.28041041136476</v>
      </c>
      <c r="E167" s="50">
        <f>53.53657371515*Deflactores!$U$5</f>
        <v>81.768335633649841</v>
      </c>
      <c r="F167" s="50">
        <f>65.62099625465*Deflactores!$V$5</f>
        <v>94.892358507229943</v>
      </c>
      <c r="G167" s="50">
        <f>93.64234653543*Deflactores!$W$5</f>
        <v>119.70748674484803</v>
      </c>
      <c r="H167" s="50">
        <f>94.08753600713*Deflactores!$X$5</f>
        <v>110.06276877940252</v>
      </c>
      <c r="I167" s="50">
        <f>285.00499830429*Deflactores!$Y$5</f>
        <v>316.91666375895028</v>
      </c>
      <c r="J167" s="50">
        <f>445.435665317*Deflactores!$Z$5</f>
        <v>471.27093390538602</v>
      </c>
      <c r="K167" s="50">
        <f>29.00811434058*Deflactores!$AA$5</f>
        <v>29.008114340580001</v>
      </c>
    </row>
    <row r="168" spans="1:11" x14ac:dyDescent="0.2">
      <c r="C168" s="87" t="s">
        <v>163</v>
      </c>
      <c r="D168" s="42">
        <f>21532.9132789412*Deflactores!$T$5</f>
        <v>33417.490039843244</v>
      </c>
      <c r="E168" s="42">
        <f>26588.2851117734*Deflactores!$U$5</f>
        <v>40609.244672813875</v>
      </c>
      <c r="F168" s="42">
        <f>24456.4148159139*Deflactores!$V$5</f>
        <v>35365.614894162507</v>
      </c>
      <c r="G168" s="42">
        <f>20791.6210137925*Deflactores!$W$5</f>
        <v>26578.922773691691</v>
      </c>
      <c r="H168" s="42">
        <f>24754.4512957481*Deflactores!$X$5</f>
        <v>28957.538531123155</v>
      </c>
      <c r="I168" s="42">
        <f>30329.7227876883*Deflactores!$Y$5</f>
        <v>33725.705218494419</v>
      </c>
      <c r="J168" s="42">
        <f>41492.6695267386*Deflactores!$Z$5</f>
        <v>43899.244359289441</v>
      </c>
      <c r="K168" s="42">
        <f>8781.28992378269*Deflactores!$AA$5</f>
        <v>8781.2899237826896</v>
      </c>
    </row>
    <row r="169" spans="1:11" x14ac:dyDescent="0.2">
      <c r="C169" s="88" t="s">
        <v>150</v>
      </c>
      <c r="D169" s="50">
        <f>3693.74226959689*Deflactores!$T$5</f>
        <v>5732.4150199740889</v>
      </c>
      <c r="E169" s="50">
        <f>4254.5619864172*Deflactores!$U$5</f>
        <v>6498.1456290147817</v>
      </c>
      <c r="F169" s="50">
        <f>6780.91804662888*Deflactores!$V$5</f>
        <v>9805.6619529493473</v>
      </c>
      <c r="G169" s="50">
        <f>7204.54741245015*Deflactores!$W$5</f>
        <v>9209.9172627225671</v>
      </c>
      <c r="H169" s="50">
        <f>8133.89692879355*Deflactores!$X$5</f>
        <v>9514.9608007744519</v>
      </c>
      <c r="I169" s="50">
        <f>3698.37552451618*Deflactores!$Y$5</f>
        <v>4112.4781654041017</v>
      </c>
      <c r="J169" s="50">
        <f>2875.68323670499*Deflactores!$Z$5</f>
        <v>3042.4728644338797</v>
      </c>
      <c r="K169" s="50">
        <f>1219.52949032285*Deflactores!$AA$5</f>
        <v>1219.5294903228501</v>
      </c>
    </row>
    <row r="170" spans="1:11" x14ac:dyDescent="0.2">
      <c r="C170" s="87" t="s">
        <v>151</v>
      </c>
      <c r="D170" s="42">
        <f>2870.22447396841*Deflactores!$T$5</f>
        <v>4454.3762624427354</v>
      </c>
      <c r="E170" s="42">
        <f>3325.26543245578*Deflactores!$U$5</f>
        <v>5078.7975599393685</v>
      </c>
      <c r="F170" s="42">
        <f>4634.47821648233*Deflactores!$V$5</f>
        <v>6701.7661040345101</v>
      </c>
      <c r="G170" s="42">
        <f>4681.19939014682*Deflactores!$W$5</f>
        <v>5984.2008949868741</v>
      </c>
      <c r="H170" s="42">
        <f>4982.25223349219*Deflactores!$X$5</f>
        <v>5828.1946668680703</v>
      </c>
      <c r="I170" s="42">
        <f>5369.42881557816*Deflactores!$Y$5</f>
        <v>5970.6372753062988</v>
      </c>
      <c r="J170" s="42">
        <f>5806.97264535231*Deflactores!$Z$5</f>
        <v>6143.7770587827445</v>
      </c>
      <c r="K170" s="42">
        <f>1557.99817881938*Deflactores!$AA$5</f>
        <v>1557.99817881938</v>
      </c>
    </row>
    <row r="171" spans="1:11" x14ac:dyDescent="0.2">
      <c r="C171" s="79" t="s">
        <v>152</v>
      </c>
      <c r="D171" s="44">
        <f t="shared" ref="D171:K171" si="8">SUM(D140:D170)</f>
        <v>259273.7081659688</v>
      </c>
      <c r="E171" s="44">
        <f t="shared" si="8"/>
        <v>307397.08781822969</v>
      </c>
      <c r="F171" s="44">
        <f t="shared" si="8"/>
        <v>334725.61662456807</v>
      </c>
      <c r="G171" s="44">
        <f t="shared" si="8"/>
        <v>291434.71296039055</v>
      </c>
      <c r="H171" s="44">
        <f t="shared" si="8"/>
        <v>325620.37074627</v>
      </c>
      <c r="I171" s="44">
        <f t="shared" si="8"/>
        <v>322245.27117676719</v>
      </c>
      <c r="J171" s="44">
        <f t="shared" si="8"/>
        <v>340385.24898466223</v>
      </c>
      <c r="K171" s="44">
        <f t="shared" si="8"/>
        <v>101345.19468461836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abril</v>
      </c>
      <c r="D172" s="123">
        <f>+D171-'C6 Ejec. Nac 19-26'!D98</f>
        <v>7.8580342233181E-10</v>
      </c>
      <c r="E172" s="123">
        <f>+E171-'C6 Ejec. Nac 19-26'!E98</f>
        <v>1.1641532182693481E-9</v>
      </c>
      <c r="F172" s="123">
        <f>+F171-'C6 Ejec. Nac 19-26'!F98</f>
        <v>0</v>
      </c>
      <c r="G172" s="123">
        <f>+G171-'C6 Ejec. Nac 19-26'!G98</f>
        <v>0</v>
      </c>
      <c r="H172" s="123">
        <f>+H171-'C6 Ejec. Nac 19-26'!H98</f>
        <v>6.4028427004814148E-10</v>
      </c>
      <c r="I172" s="123">
        <f>+I171-'C6 Ejec. Nac 19-26'!I98</f>
        <v>6.4028427004814148E-10</v>
      </c>
      <c r="J172" s="123">
        <f>+J171-'C6 Ejec. Nac 19-26'!J98</f>
        <v>0</v>
      </c>
      <c r="K172" s="123">
        <f>+K171-'C6 Ejec. Nac 19-26'!K98</f>
        <v>0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D177" s="155" t="s">
        <v>157</v>
      </c>
      <c r="E177" s="178"/>
      <c r="F177" s="178"/>
      <c r="G177" s="178"/>
      <c r="H177" s="178"/>
      <c r="I177" s="178"/>
      <c r="J177" s="178"/>
      <c r="K177" s="178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76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10</v>
      </c>
    </row>
    <row r="181" spans="3:11" ht="12" customHeight="1" thickBot="1" x14ac:dyDescent="0.25">
      <c r="C181" s="160"/>
      <c r="D181" s="154"/>
      <c r="E181" s="154"/>
      <c r="F181" s="154"/>
      <c r="G181" s="154"/>
      <c r="H181" s="154"/>
      <c r="I181" s="154"/>
      <c r="J181" s="154"/>
      <c r="K181" s="154"/>
    </row>
    <row r="182" spans="3:11" x14ac:dyDescent="0.2">
      <c r="C182" s="87" t="s">
        <v>123</v>
      </c>
      <c r="D182" s="47">
        <f t="shared" ref="D182:D212" si="9">+IFERROR(IF(D140&gt;0,+((D140/D15)*100),""),"0")</f>
        <v>62.80499128901873</v>
      </c>
      <c r="E182" s="47">
        <f t="shared" ref="E182:K191" si="10">+IFERROR(IF(E140&gt;0,+((E140/E15)*100)," "),"0")</f>
        <v>77.296168240863068</v>
      </c>
      <c r="F182" s="47">
        <f t="shared" si="10"/>
        <v>79.230503775809552</v>
      </c>
      <c r="G182" s="47">
        <f t="shared" si="10"/>
        <v>74.020197389018421</v>
      </c>
      <c r="H182" s="47">
        <f t="shared" si="10"/>
        <v>74.265254777506485</v>
      </c>
      <c r="I182" s="47">
        <f t="shared" si="10"/>
        <v>37.935256742640718</v>
      </c>
      <c r="J182" s="47">
        <f t="shared" si="10"/>
        <v>58.888181464925552</v>
      </c>
      <c r="K182" s="47">
        <f t="shared" si="10"/>
        <v>13.368756602985469</v>
      </c>
    </row>
    <row r="183" spans="3:11" x14ac:dyDescent="0.2">
      <c r="C183" s="88" t="s">
        <v>124</v>
      </c>
      <c r="D183" s="116">
        <f t="shared" si="9"/>
        <v>87.564588833185425</v>
      </c>
      <c r="E183" s="116">
        <f t="shared" si="10"/>
        <v>79.049664100194377</v>
      </c>
      <c r="F183" s="116">
        <f t="shared" si="10"/>
        <v>64.122742139004373</v>
      </c>
      <c r="G183" s="116">
        <f t="shared" si="10"/>
        <v>58.93063947896097</v>
      </c>
      <c r="H183" s="116">
        <f t="shared" si="10"/>
        <v>45.115881068827107</v>
      </c>
      <c r="I183" s="116">
        <f t="shared" si="10"/>
        <v>50.57478724997172</v>
      </c>
      <c r="J183" s="116">
        <f t="shared" si="10"/>
        <v>78.801951594551838</v>
      </c>
      <c r="K183" s="116">
        <f t="shared" si="10"/>
        <v>17.650641682733959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87.440040952321439</v>
      </c>
      <c r="G184" s="47">
        <f t="shared" si="10"/>
        <v>87.732875024285335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95.437039070091885</v>
      </c>
      <c r="K184" s="47">
        <f t="shared" si="10"/>
        <v>5.1645873648460165</v>
      </c>
    </row>
    <row r="185" spans="3:11" x14ac:dyDescent="0.2">
      <c r="C185" s="88" t="s">
        <v>126</v>
      </c>
      <c r="D185" s="116">
        <f t="shared" si="9"/>
        <v>81.275597373525173</v>
      </c>
      <c r="E185" s="116">
        <f t="shared" si="10"/>
        <v>79.641609345151195</v>
      </c>
      <c r="F185" s="116">
        <f t="shared" si="10"/>
        <v>67.658344063097204</v>
      </c>
      <c r="G185" s="116">
        <f t="shared" si="10"/>
        <v>75.914696021105598</v>
      </c>
      <c r="H185" s="116">
        <f t="shared" si="10"/>
        <v>67.500186578666018</v>
      </c>
      <c r="I185" s="116">
        <f t="shared" si="10"/>
        <v>61.406198375846465</v>
      </c>
      <c r="J185" s="116">
        <f t="shared" si="10"/>
        <v>84.284542010394063</v>
      </c>
      <c r="K185" s="116">
        <f t="shared" si="10"/>
        <v>23.414476718230436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93.114412859765821</v>
      </c>
      <c r="G186" s="47">
        <f t="shared" si="10"/>
        <v>88.548924937598883</v>
      </c>
      <c r="H186" s="47">
        <f t="shared" si="10"/>
        <v>87.004961386459527</v>
      </c>
      <c r="I186" s="47">
        <f t="shared" si="10"/>
        <v>80.592618923574392</v>
      </c>
      <c r="J186" s="47">
        <f t="shared" si="10"/>
        <v>79.220679139862796</v>
      </c>
      <c r="K186" s="47">
        <f t="shared" si="10"/>
        <v>31.856119354212876</v>
      </c>
    </row>
    <row r="187" spans="3:11" x14ac:dyDescent="0.2">
      <c r="C187" s="88" t="s">
        <v>128</v>
      </c>
      <c r="D187" s="116">
        <f t="shared" si="9"/>
        <v>95.015020583002936</v>
      </c>
      <c r="E187" s="116">
        <f t="shared" si="10"/>
        <v>95.316013090915391</v>
      </c>
      <c r="F187" s="116">
        <f t="shared" si="10"/>
        <v>83.07539537910327</v>
      </c>
      <c r="G187" s="116">
        <f t="shared" si="10"/>
        <v>79.653449758672977</v>
      </c>
      <c r="H187" s="116">
        <f t="shared" si="10"/>
        <v>75.355604405152093</v>
      </c>
      <c r="I187" s="116">
        <f t="shared" si="10"/>
        <v>64.673189850620702</v>
      </c>
      <c r="J187" s="116">
        <f t="shared" si="10"/>
        <v>65.955208315545917</v>
      </c>
      <c r="K187" s="116">
        <f t="shared" si="10"/>
        <v>20.546943760467006</v>
      </c>
    </row>
    <row r="188" spans="3:11" x14ac:dyDescent="0.2">
      <c r="C188" s="87" t="s">
        <v>129</v>
      </c>
      <c r="D188" s="47">
        <f t="shared" si="9"/>
        <v>96.442098016313395</v>
      </c>
      <c r="E188" s="47">
        <f t="shared" si="10"/>
        <v>96.867713838812705</v>
      </c>
      <c r="F188" s="47">
        <f t="shared" si="10"/>
        <v>95.350196147978551</v>
      </c>
      <c r="G188" s="47">
        <f t="shared" si="10"/>
        <v>95.161548021266256</v>
      </c>
      <c r="H188" s="47">
        <f t="shared" si="10"/>
        <v>94.855457770590618</v>
      </c>
      <c r="I188" s="47">
        <f t="shared" si="10"/>
        <v>89.981163729639761</v>
      </c>
      <c r="J188" s="47">
        <f t="shared" si="10"/>
        <v>92.267103189979693</v>
      </c>
      <c r="K188" s="47">
        <f t="shared" si="10"/>
        <v>26.692978169526871</v>
      </c>
    </row>
    <row r="189" spans="3:11" x14ac:dyDescent="0.2">
      <c r="C189" s="88" t="s">
        <v>130</v>
      </c>
      <c r="D189" s="116">
        <f t="shared" si="9"/>
        <v>53.139444061786087</v>
      </c>
      <c r="E189" s="116">
        <f t="shared" si="10"/>
        <v>52.325273124209716</v>
      </c>
      <c r="F189" s="116">
        <f t="shared" si="10"/>
        <v>87.480335581708673</v>
      </c>
      <c r="G189" s="116">
        <f t="shared" si="10"/>
        <v>61.924132354312036</v>
      </c>
      <c r="H189" s="116">
        <f t="shared" si="10"/>
        <v>59.063859819749595</v>
      </c>
      <c r="I189" s="116">
        <f t="shared" si="10"/>
        <v>36.023849351679452</v>
      </c>
      <c r="J189" s="116">
        <f t="shared" si="10"/>
        <v>67.519775372495346</v>
      </c>
      <c r="K189" s="116">
        <f t="shared" si="10"/>
        <v>27.998861010803637</v>
      </c>
    </row>
    <row r="190" spans="3:11" x14ac:dyDescent="0.2">
      <c r="C190" s="87" t="s">
        <v>131</v>
      </c>
      <c r="D190" s="47">
        <f t="shared" si="9"/>
        <v>99.625726641202348</v>
      </c>
      <c r="E190" s="47">
        <f t="shared" si="10"/>
        <v>99.902390549883236</v>
      </c>
      <c r="F190" s="47">
        <f t="shared" si="10"/>
        <v>99.886209118120206</v>
      </c>
      <c r="G190" s="47">
        <f t="shared" si="10"/>
        <v>99.784846815089793</v>
      </c>
      <c r="H190" s="47">
        <f t="shared" si="10"/>
        <v>98.040428909255326</v>
      </c>
      <c r="I190" s="47">
        <f t="shared" si="10"/>
        <v>96.397143168373475</v>
      </c>
      <c r="J190" s="47">
        <f t="shared" si="10"/>
        <v>97.300202858126696</v>
      </c>
      <c r="K190" s="47">
        <f t="shared" si="10"/>
        <v>30.319866712126842</v>
      </c>
    </row>
    <row r="191" spans="3:11" x14ac:dyDescent="0.2">
      <c r="C191" s="88" t="s">
        <v>132</v>
      </c>
      <c r="D191" s="116">
        <f t="shared" si="9"/>
        <v>89.247277962420185</v>
      </c>
      <c r="E191" s="116">
        <f t="shared" si="10"/>
        <v>89.056109840892944</v>
      </c>
      <c r="F191" s="116">
        <f t="shared" si="10"/>
        <v>93.051984086644595</v>
      </c>
      <c r="G191" s="116">
        <f t="shared" si="10"/>
        <v>90.67791980931608</v>
      </c>
      <c r="H191" s="116">
        <f t="shared" si="10"/>
        <v>92.829957840224054</v>
      </c>
      <c r="I191" s="116">
        <f t="shared" si="10"/>
        <v>92.555748335718633</v>
      </c>
      <c r="J191" s="116">
        <f t="shared" si="10"/>
        <v>91.473431028237982</v>
      </c>
      <c r="K191" s="116">
        <f t="shared" si="10"/>
        <v>25.372892997263367</v>
      </c>
    </row>
    <row r="192" spans="3:11" x14ac:dyDescent="0.2">
      <c r="C192" s="87" t="s">
        <v>133</v>
      </c>
      <c r="D192" s="47">
        <f t="shared" si="9"/>
        <v>94.533263050887967</v>
      </c>
      <c r="E192" s="47">
        <f t="shared" ref="E192:K201" si="11">+IFERROR(IF(E150&gt;0,+((E150/E25)*100)," "),"0")</f>
        <v>94.574407551242331</v>
      </c>
      <c r="F192" s="47">
        <f t="shared" si="11"/>
        <v>92.31622954943785</v>
      </c>
      <c r="G192" s="47">
        <f t="shared" si="11"/>
        <v>94.763408497991037</v>
      </c>
      <c r="H192" s="47">
        <f t="shared" si="11"/>
        <v>94.616012923151288</v>
      </c>
      <c r="I192" s="47">
        <f t="shared" si="11"/>
        <v>92.870651444993683</v>
      </c>
      <c r="J192" s="47">
        <f t="shared" si="11"/>
        <v>92.261145845405409</v>
      </c>
      <c r="K192" s="47">
        <f t="shared" si="11"/>
        <v>24.456963056615731</v>
      </c>
    </row>
    <row r="193" spans="3:11" x14ac:dyDescent="0.2">
      <c r="C193" s="88" t="s">
        <v>134</v>
      </c>
      <c r="D193" s="116">
        <f t="shared" si="9"/>
        <v>80.583344618244283</v>
      </c>
      <c r="E193" s="116">
        <f t="shared" si="11"/>
        <v>41.074698254832832</v>
      </c>
      <c r="F193" s="116">
        <f t="shared" si="11"/>
        <v>77.546408063079923</v>
      </c>
      <c r="G193" s="116">
        <f t="shared" si="11"/>
        <v>77.071983078659628</v>
      </c>
      <c r="H193" s="116">
        <f t="shared" si="11"/>
        <v>81.731451043473868</v>
      </c>
      <c r="I193" s="116">
        <f t="shared" si="11"/>
        <v>69.659049778633772</v>
      </c>
      <c r="J193" s="116">
        <f t="shared" si="11"/>
        <v>68.759275981654042</v>
      </c>
      <c r="K193" s="116">
        <f t="shared" si="11"/>
        <v>14.665431153017824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76.190415971546756</v>
      </c>
      <c r="J194" s="47">
        <f t="shared" si="11"/>
        <v>93.432211612762515</v>
      </c>
      <c r="K194" s="47">
        <f t="shared" si="11"/>
        <v>29.534199327496637</v>
      </c>
    </row>
    <row r="195" spans="3:11" x14ac:dyDescent="0.2">
      <c r="C195" s="88" t="s">
        <v>136</v>
      </c>
      <c r="D195" s="116">
        <f t="shared" si="9"/>
        <v>88.025963526836932</v>
      </c>
      <c r="E195" s="116">
        <f t="shared" si="11"/>
        <v>97.29174363397307</v>
      </c>
      <c r="F195" s="116">
        <f t="shared" si="11"/>
        <v>92.957361934142895</v>
      </c>
      <c r="G195" s="116">
        <f t="shared" si="11"/>
        <v>96.818426907251094</v>
      </c>
      <c r="H195" s="116">
        <f t="shared" si="11"/>
        <v>88.34965638980097</v>
      </c>
      <c r="I195" s="116">
        <f t="shared" si="11"/>
        <v>72.407698388690108</v>
      </c>
      <c r="J195" s="116">
        <f t="shared" si="11"/>
        <v>73.08475678752518</v>
      </c>
      <c r="K195" s="116">
        <f t="shared" si="11"/>
        <v>21.558903324927243</v>
      </c>
    </row>
    <row r="196" spans="3:11" x14ac:dyDescent="0.2">
      <c r="C196" s="87" t="s">
        <v>137</v>
      </c>
      <c r="D196" s="47">
        <f t="shared" si="9"/>
        <v>87.292851400826976</v>
      </c>
      <c r="E196" s="47">
        <f t="shared" si="11"/>
        <v>86.183936464390214</v>
      </c>
      <c r="F196" s="47">
        <f t="shared" si="11"/>
        <v>66.391295800390751</v>
      </c>
      <c r="G196" s="47">
        <f t="shared" si="11"/>
        <v>63.187948938643444</v>
      </c>
      <c r="H196" s="47">
        <f t="shared" si="11"/>
        <v>56.242864547797325</v>
      </c>
      <c r="I196" s="47">
        <f t="shared" si="11"/>
        <v>62.244296676679809</v>
      </c>
      <c r="J196" s="47">
        <f t="shared" si="11"/>
        <v>71.107355645049878</v>
      </c>
      <c r="K196" s="47">
        <f t="shared" si="11"/>
        <v>20.123838813212696</v>
      </c>
    </row>
    <row r="197" spans="3:11" x14ac:dyDescent="0.2">
      <c r="C197" s="88" t="s">
        <v>138</v>
      </c>
      <c r="D197" s="116">
        <f t="shared" si="9"/>
        <v>93.49554615047974</v>
      </c>
      <c r="E197" s="116">
        <f t="shared" si="11"/>
        <v>97.939832663448925</v>
      </c>
      <c r="F197" s="116">
        <f t="shared" si="11"/>
        <v>94.697338290005291</v>
      </c>
      <c r="G197" s="116">
        <f t="shared" si="11"/>
        <v>95.264977782914755</v>
      </c>
      <c r="H197" s="116">
        <f t="shared" si="11"/>
        <v>85.345665664192509</v>
      </c>
      <c r="I197" s="116">
        <f t="shared" si="11"/>
        <v>81.65190121162361</v>
      </c>
      <c r="J197" s="116">
        <f t="shared" si="11"/>
        <v>85.586638961647012</v>
      </c>
      <c r="K197" s="116">
        <f t="shared" si="11"/>
        <v>24.1384194899676</v>
      </c>
    </row>
    <row r="198" spans="3:11" x14ac:dyDescent="0.2">
      <c r="C198" s="87" t="s">
        <v>160</v>
      </c>
      <c r="D198" s="47">
        <f t="shared" si="9"/>
        <v>85.694486654970731</v>
      </c>
      <c r="E198" s="47">
        <f t="shared" si="11"/>
        <v>86.022646678747208</v>
      </c>
      <c r="F198" s="47">
        <f t="shared" si="11"/>
        <v>82.453755913630133</v>
      </c>
      <c r="G198" s="47">
        <f t="shared" si="11"/>
        <v>70.112444128732193</v>
      </c>
      <c r="H198" s="47">
        <f t="shared" si="11"/>
        <v>68.503931568318947</v>
      </c>
      <c r="I198" s="47">
        <f t="shared" si="11"/>
        <v>69.674369746777245</v>
      </c>
      <c r="J198" s="47">
        <f t="shared" si="11"/>
        <v>79.07672027423574</v>
      </c>
      <c r="K198" s="47">
        <f t="shared" si="11"/>
        <v>21.91327649888046</v>
      </c>
    </row>
    <row r="199" spans="3:11" x14ac:dyDescent="0.2">
      <c r="C199" s="88" t="s">
        <v>161</v>
      </c>
      <c r="D199" s="116">
        <f t="shared" si="9"/>
        <v>74.703704523438134</v>
      </c>
      <c r="E199" s="116">
        <f t="shared" si="11"/>
        <v>78.310511957262818</v>
      </c>
      <c r="F199" s="116">
        <f t="shared" si="11"/>
        <v>65.539871313098359</v>
      </c>
      <c r="G199" s="116">
        <f t="shared" si="11"/>
        <v>67.195585833441442</v>
      </c>
      <c r="H199" s="116">
        <f t="shared" si="11"/>
        <v>78.251506356779743</v>
      </c>
      <c r="I199" s="116">
        <f t="shared" si="11"/>
        <v>79.157337742048966</v>
      </c>
      <c r="J199" s="116">
        <f t="shared" si="11"/>
        <v>81.841154657613373</v>
      </c>
      <c r="K199" s="116">
        <f t="shared" si="11"/>
        <v>21.800926175215732</v>
      </c>
    </row>
    <row r="200" spans="3:11" x14ac:dyDescent="0.2">
      <c r="C200" s="87" t="s">
        <v>140</v>
      </c>
      <c r="D200" s="47">
        <f t="shared" si="9"/>
        <v>83.284026055782121</v>
      </c>
      <c r="E200" s="47">
        <f t="shared" si="11"/>
        <v>87.773443513781558</v>
      </c>
      <c r="F200" s="47">
        <f t="shared" si="11"/>
        <v>92.420746684155134</v>
      </c>
      <c r="G200" s="47">
        <f t="shared" si="11"/>
        <v>84.456572780263855</v>
      </c>
      <c r="H200" s="47">
        <f t="shared" si="11"/>
        <v>89.347956797609257</v>
      </c>
      <c r="I200" s="47">
        <f t="shared" si="11"/>
        <v>59.520346145031098</v>
      </c>
      <c r="J200" s="47">
        <f t="shared" si="11"/>
        <v>67.673615970785931</v>
      </c>
      <c r="K200" s="47">
        <f t="shared" si="11"/>
        <v>26.469222941779861</v>
      </c>
    </row>
    <row r="201" spans="3:11" x14ac:dyDescent="0.2">
      <c r="C201" s="88" t="s">
        <v>141</v>
      </c>
      <c r="D201" s="116">
        <f t="shared" si="9"/>
        <v>89.164665070714634</v>
      </c>
      <c r="E201" s="116">
        <f t="shared" si="11"/>
        <v>81.530163302576284</v>
      </c>
      <c r="F201" s="116">
        <f t="shared" si="11"/>
        <v>82.093589607645129</v>
      </c>
      <c r="G201" s="116">
        <f t="shared" si="11"/>
        <v>84.862665298943341</v>
      </c>
      <c r="H201" s="116">
        <f t="shared" si="11"/>
        <v>81.726790858084357</v>
      </c>
      <c r="I201" s="116">
        <f t="shared" si="11"/>
        <v>87.272224913819329</v>
      </c>
      <c r="J201" s="116">
        <f t="shared" si="11"/>
        <v>90.606678601799061</v>
      </c>
      <c r="K201" s="116">
        <f t="shared" si="11"/>
        <v>22.195247201098269</v>
      </c>
    </row>
    <row r="202" spans="3:11" x14ac:dyDescent="0.2">
      <c r="C202" s="87" t="s">
        <v>142</v>
      </c>
      <c r="D202" s="47">
        <f t="shared" si="9"/>
        <v>60.882079580165417</v>
      </c>
      <c r="E202" s="47">
        <f t="shared" ref="E202:K211" si="12">+IFERROR(IF(E160&gt;0,+((E160/E35)*100)," "),"0")</f>
        <v>71.101937447123916</v>
      </c>
      <c r="F202" s="47">
        <f t="shared" si="12"/>
        <v>71.277795505784354</v>
      </c>
      <c r="G202" s="47">
        <f t="shared" si="12"/>
        <v>42.224668933593897</v>
      </c>
      <c r="H202" s="47">
        <f t="shared" si="12"/>
        <v>36.025292592153022</v>
      </c>
      <c r="I202" s="47">
        <f t="shared" si="12"/>
        <v>50.04221914121495</v>
      </c>
      <c r="J202" s="47">
        <f t="shared" si="12"/>
        <v>54.305088356442312</v>
      </c>
      <c r="K202" s="47">
        <f t="shared" si="12"/>
        <v>14.567231016190489</v>
      </c>
    </row>
    <row r="203" spans="3:11" x14ac:dyDescent="0.2">
      <c r="C203" s="88" t="s">
        <v>143</v>
      </c>
      <c r="D203" s="116">
        <f t="shared" si="9"/>
        <v>41.45898119309183</v>
      </c>
      <c r="E203" s="116">
        <f t="shared" si="12"/>
        <v>34.429716370254745</v>
      </c>
      <c r="F203" s="116">
        <f t="shared" si="12"/>
        <v>44.984890318347716</v>
      </c>
      <c r="G203" s="116">
        <f t="shared" si="12"/>
        <v>19.027437084292028</v>
      </c>
      <c r="H203" s="116">
        <f t="shared" si="12"/>
        <v>15.987918580025386</v>
      </c>
      <c r="I203" s="116">
        <f t="shared" si="12"/>
        <v>27.909394728916663</v>
      </c>
      <c r="J203" s="116">
        <f t="shared" si="12"/>
        <v>40.876554501746767</v>
      </c>
      <c r="K203" s="116">
        <f t="shared" si="12"/>
        <v>2.5602183788889956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91.212052595898271</v>
      </c>
      <c r="F204" s="47">
        <f t="shared" si="12"/>
        <v>88.584144738900818</v>
      </c>
      <c r="G204" s="47">
        <f t="shared" si="12"/>
        <v>89.177798178279104</v>
      </c>
      <c r="H204" s="47">
        <f t="shared" si="12"/>
        <v>83.301550763753767</v>
      </c>
      <c r="I204" s="47">
        <f t="shared" si="12"/>
        <v>85.122574500398201</v>
      </c>
      <c r="J204" s="47">
        <f t="shared" si="12"/>
        <v>86.288157466998712</v>
      </c>
      <c r="K204" s="47">
        <f t="shared" si="12"/>
        <v>22.060052076086425</v>
      </c>
    </row>
    <row r="205" spans="3:11" x14ac:dyDescent="0.2">
      <c r="C205" s="88" t="s">
        <v>145</v>
      </c>
      <c r="D205" s="116">
        <f t="shared" si="9"/>
        <v>91.61597587671595</v>
      </c>
      <c r="E205" s="116">
        <f t="shared" si="12"/>
        <v>88.418232050564299</v>
      </c>
      <c r="F205" s="116">
        <f t="shared" si="12"/>
        <v>84.949677845803791</v>
      </c>
      <c r="G205" s="116">
        <f t="shared" si="12"/>
        <v>92.425422192139138</v>
      </c>
      <c r="H205" s="116">
        <f t="shared" si="12"/>
        <v>77.531120916050881</v>
      </c>
      <c r="I205" s="116">
        <f t="shared" si="12"/>
        <v>57.677418715178661</v>
      </c>
      <c r="J205" s="116">
        <f t="shared" si="12"/>
        <v>73.378388247966186</v>
      </c>
      <c r="K205" s="116">
        <f t="shared" si="12"/>
        <v>9.5930480907894236</v>
      </c>
    </row>
    <row r="206" spans="3:11" x14ac:dyDescent="0.2">
      <c r="C206" s="87" t="s">
        <v>146</v>
      </c>
      <c r="D206" s="47">
        <f t="shared" si="9"/>
        <v>93.981468947125933</v>
      </c>
      <c r="E206" s="47">
        <f t="shared" si="12"/>
        <v>90.36701870808686</v>
      </c>
      <c r="F206" s="47">
        <f t="shared" si="12"/>
        <v>89.657492325508116</v>
      </c>
      <c r="G206" s="47">
        <f t="shared" si="12"/>
        <v>93.00953467450816</v>
      </c>
      <c r="H206" s="47">
        <f t="shared" si="12"/>
        <v>91.578355976937644</v>
      </c>
      <c r="I206" s="47">
        <f t="shared" si="12"/>
        <v>90.938678394476611</v>
      </c>
      <c r="J206" s="47">
        <f t="shared" si="12"/>
        <v>91.716736179015442</v>
      </c>
      <c r="K206" s="47">
        <f t="shared" si="12"/>
        <v>29.382440496895679</v>
      </c>
    </row>
    <row r="207" spans="3:11" x14ac:dyDescent="0.2">
      <c r="C207" s="88" t="s">
        <v>162</v>
      </c>
      <c r="D207" s="116">
        <f t="shared" si="9"/>
        <v>99.49551488358955</v>
      </c>
      <c r="E207" s="116">
        <f t="shared" si="12"/>
        <v>97.404676912153832</v>
      </c>
      <c r="F207" s="116">
        <f t="shared" si="12"/>
        <v>99.323754378489809</v>
      </c>
      <c r="G207" s="116">
        <f t="shared" si="12"/>
        <v>99.682672563841422</v>
      </c>
      <c r="H207" s="116">
        <f t="shared" si="12"/>
        <v>93.009910844817384</v>
      </c>
      <c r="I207" s="116">
        <f t="shared" si="12"/>
        <v>94.170505890144838</v>
      </c>
      <c r="J207" s="116">
        <f t="shared" si="12"/>
        <v>96.19421232361465</v>
      </c>
      <c r="K207" s="116">
        <f t="shared" si="12"/>
        <v>29.698791580625393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93.416782552066749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87.762986227475821</v>
      </c>
      <c r="K208" s="47">
        <f t="shared" si="12"/>
        <v>27.160381904518438</v>
      </c>
    </row>
    <row r="209" spans="1:11" x14ac:dyDescent="0.2">
      <c r="C209" s="88" t="s">
        <v>149</v>
      </c>
      <c r="D209" s="116">
        <f t="shared" si="9"/>
        <v>92.798551950071811</v>
      </c>
      <c r="E209" s="116">
        <f t="shared" si="12"/>
        <v>98.374462350665425</v>
      </c>
      <c r="F209" s="116">
        <f t="shared" si="12"/>
        <v>80.131535169235917</v>
      </c>
      <c r="G209" s="116">
        <f t="shared" si="12"/>
        <v>87.685846951981858</v>
      </c>
      <c r="H209" s="116">
        <f t="shared" si="12"/>
        <v>86.956893440752168</v>
      </c>
      <c r="I209" s="116">
        <f t="shared" si="12"/>
        <v>30.763590932333241</v>
      </c>
      <c r="J209" s="116">
        <f t="shared" si="12"/>
        <v>70.516948997349289</v>
      </c>
      <c r="K209" s="116">
        <f t="shared" si="12"/>
        <v>9.4863689680574357</v>
      </c>
    </row>
    <row r="210" spans="1:11" x14ac:dyDescent="0.2">
      <c r="C210" s="87" t="s">
        <v>163</v>
      </c>
      <c r="D210" s="47">
        <f t="shared" si="9"/>
        <v>81.614732763022673</v>
      </c>
      <c r="E210" s="47">
        <f t="shared" si="12"/>
        <v>86.232694591215179</v>
      </c>
      <c r="F210" s="47">
        <f t="shared" si="12"/>
        <v>93.412409210854236</v>
      </c>
      <c r="G210" s="47">
        <f t="shared" si="12"/>
        <v>63.33586588446606</v>
      </c>
      <c r="H210" s="47">
        <f t="shared" si="12"/>
        <v>76.391950340669908</v>
      </c>
      <c r="I210" s="47">
        <f t="shared" si="12"/>
        <v>80.046610257234391</v>
      </c>
      <c r="J210" s="47">
        <f t="shared" si="12"/>
        <v>85.108305860020323</v>
      </c>
      <c r="K210" s="47">
        <f t="shared" si="12"/>
        <v>16.340996392054542</v>
      </c>
    </row>
    <row r="211" spans="1:11" x14ac:dyDescent="0.2">
      <c r="C211" s="88" t="s">
        <v>150</v>
      </c>
      <c r="D211" s="116">
        <f t="shared" si="9"/>
        <v>78.743881325206729</v>
      </c>
      <c r="E211" s="116">
        <f t="shared" si="12"/>
        <v>84.17725809681545</v>
      </c>
      <c r="F211" s="116">
        <f t="shared" si="12"/>
        <v>85.40245540832214</v>
      </c>
      <c r="G211" s="116">
        <f t="shared" si="12"/>
        <v>80.045506402940816</v>
      </c>
      <c r="H211" s="116">
        <f t="shared" si="12"/>
        <v>87.224357721441578</v>
      </c>
      <c r="I211" s="116">
        <f t="shared" si="12"/>
        <v>36.424453507290458</v>
      </c>
      <c r="J211" s="116">
        <f t="shared" si="12"/>
        <v>32.558787240755947</v>
      </c>
      <c r="K211" s="116">
        <f t="shared" si="12"/>
        <v>11.558703976727488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77.544052944887937</v>
      </c>
      <c r="G212" s="47">
        <f t="shared" si="13"/>
        <v>80.370931023961219</v>
      </c>
      <c r="H212" s="47">
        <f t="shared" si="13"/>
        <v>62.666731143996245</v>
      </c>
      <c r="I212" s="47">
        <f t="shared" si="13"/>
        <v>58.739139694201093</v>
      </c>
      <c r="J212" s="47">
        <f t="shared" si="13"/>
        <v>69.596660851060307</v>
      </c>
      <c r="K212" s="47">
        <f t="shared" si="13"/>
        <v>21.410271863821375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90.983088319626631</v>
      </c>
      <c r="E213" s="74">
        <f t="shared" si="14"/>
        <v>83.58137901536999</v>
      </c>
      <c r="F213" s="74">
        <f t="shared" si="14"/>
        <v>90.873209648279357</v>
      </c>
      <c r="G213" s="74">
        <f t="shared" si="14"/>
        <v>86.976362147503721</v>
      </c>
      <c r="H213" s="74">
        <f t="shared" si="14"/>
        <v>86.192507653798927</v>
      </c>
      <c r="I213" s="74">
        <f t="shared" si="14"/>
        <v>81.914818002567785</v>
      </c>
      <c r="J213" s="74">
        <f t="shared" si="14"/>
        <v>86.590911694030027</v>
      </c>
      <c r="K213" s="74">
        <f t="shared" si="14"/>
        <v>23.812757888757687</v>
      </c>
    </row>
    <row r="214" spans="1:11" s="31" customFormat="1" x14ac:dyDescent="0.2">
      <c r="A214" s="5"/>
      <c r="B214" s="5"/>
      <c r="C214" s="72" t="str">
        <f>+'C1 Aprop Resumen 2000-2026'!B20</f>
        <v>* Información con corte a 30 de abril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D219" s="155" t="s">
        <v>158</v>
      </c>
      <c r="E219" s="178"/>
      <c r="F219" s="178"/>
      <c r="G219" s="178"/>
      <c r="H219" s="178"/>
      <c r="I219" s="178"/>
      <c r="J219" s="178"/>
      <c r="K219" s="178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76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10</v>
      </c>
    </row>
    <row r="222" spans="1:11" ht="12" customHeight="1" thickBot="1" x14ac:dyDescent="0.25">
      <c r="C222" s="160"/>
      <c r="D222" s="154"/>
      <c r="E222" s="154"/>
      <c r="F222" s="154"/>
      <c r="G222" s="154"/>
      <c r="H222" s="154"/>
      <c r="I222" s="154"/>
      <c r="J222" s="154"/>
      <c r="K222" s="154"/>
    </row>
    <row r="223" spans="1:11" x14ac:dyDescent="0.2">
      <c r="C223" s="87" t="s">
        <v>123</v>
      </c>
      <c r="D223" s="42">
        <f>1374.5236197029*Deflactores!$T$5</f>
        <v>2133.1590749437846</v>
      </c>
      <c r="E223" s="42">
        <f>1354.66498409864*Deflactores!$U$5</f>
        <v>2069.0285799814778</v>
      </c>
      <c r="F223" s="42">
        <f>1825.468423817*Deflactores!$V$5</f>
        <v>2639.749683839887</v>
      </c>
      <c r="G223" s="42">
        <f>1848.9534942491*Deflactores!$W$5</f>
        <v>2363.6056132032322</v>
      </c>
      <c r="H223" s="42">
        <f>3921.50128442903*Deflactores!$X$5</f>
        <v>4587.3375736349881</v>
      </c>
      <c r="I223" s="42">
        <f>2935.70081774282*Deflactores!$Y$5</f>
        <v>3264.4076928087775</v>
      </c>
      <c r="J223" s="42">
        <f>2899.49578536027*Deflactores!$Z$5</f>
        <v>3067.6665409111656</v>
      </c>
      <c r="K223" s="42">
        <f>519.12328885951*Deflactores!$AA$5</f>
        <v>519.12328885951001</v>
      </c>
    </row>
    <row r="224" spans="1:11" x14ac:dyDescent="0.2">
      <c r="C224" s="88" t="s">
        <v>124</v>
      </c>
      <c r="D224" s="50">
        <f>428.39701168164*Deflactores!$T$5</f>
        <v>664.84050186421155</v>
      </c>
      <c r="E224" s="50">
        <f>450.855166770209*Deflactores!$U$5</f>
        <v>688.60732094626405</v>
      </c>
      <c r="F224" s="50">
        <f>616.33638925214*Deflactores!$V$5</f>
        <v>891.26372575944117</v>
      </c>
      <c r="G224" s="50">
        <f>655.125229197739*Deflactores!$W$5</f>
        <v>837.4778889242383</v>
      </c>
      <c r="H224" s="50">
        <f>783.412386774399*Deflactores!$X$5</f>
        <v>916.42889211102727</v>
      </c>
      <c r="I224" s="50">
        <f>882.15436276788*Deflactores!$Y$5</f>
        <v>980.92812137390194</v>
      </c>
      <c r="J224" s="50">
        <f>1173.31400729172*Deflactores!$Z$5</f>
        <v>1241.3662197146398</v>
      </c>
      <c r="K224" s="50">
        <f>264.199523673879*Deflactores!$AA$5</f>
        <v>264.19952367387901</v>
      </c>
    </row>
    <row r="225" spans="3:11" x14ac:dyDescent="0.2">
      <c r="C225" s="87" t="s">
        <v>125</v>
      </c>
      <c r="D225" s="42">
        <f>149.694147083799*Deflactores!$T$5</f>
        <v>232.31425327328756</v>
      </c>
      <c r="E225" s="42">
        <f>181.39481218701*Deflactores!$U$5</f>
        <v>277.05082443318537</v>
      </c>
      <c r="F225" s="42">
        <f>359.09389512792*Deflactores!$V$5</f>
        <v>519.27383884882113</v>
      </c>
      <c r="G225" s="42">
        <f>289.95241495917*Deflactores!$W$5</f>
        <v>370.66002887090229</v>
      </c>
      <c r="H225" s="42">
        <f>319.49584403501*Deflactores!$X$5</f>
        <v>373.74341703815651</v>
      </c>
      <c r="I225" s="42">
        <f>325.936003998869*Deflactores!$Y$5</f>
        <v>362.43066472806709</v>
      </c>
      <c r="J225" s="42">
        <f>258.78871391763*Deflactores!$Z$5</f>
        <v>273.79845932485256</v>
      </c>
      <c r="K225" s="42">
        <f>19.61798285421*Deflactores!$AA$5</f>
        <v>19.617982854209998</v>
      </c>
    </row>
    <row r="226" spans="3:11" x14ac:dyDescent="0.2">
      <c r="C226" s="88" t="s">
        <v>126</v>
      </c>
      <c r="D226" s="50">
        <f>528.011563687739*Deflactores!$T$5</f>
        <v>819.43492466081636</v>
      </c>
      <c r="E226" s="50">
        <f>580.78696720044*Deflactores!$U$5</f>
        <v>887.05683554523489</v>
      </c>
      <c r="F226" s="50">
        <f>511.653573928369*Deflactores!$V$5</f>
        <v>739.88535895286418</v>
      </c>
      <c r="G226" s="50">
        <f>548.165041677429*Deflactores!$W$5</f>
        <v>700.74556958867413</v>
      </c>
      <c r="H226" s="50">
        <f>646.00912959269*Deflactores!$X$5</f>
        <v>755.69577520188443</v>
      </c>
      <c r="I226" s="50">
        <f>587.47361073326*Deflactores!$Y$5</f>
        <v>653.25232142501193</v>
      </c>
      <c r="J226" s="50">
        <f>775.652538634139*Deflactores!$Z$5</f>
        <v>820.64038587491905</v>
      </c>
      <c r="K226" s="50">
        <f>278.81489855877*Deflactores!$AA$5</f>
        <v>278.81489855876998</v>
      </c>
    </row>
    <row r="227" spans="3:11" x14ac:dyDescent="0.2">
      <c r="C227" s="87" t="s">
        <v>127</v>
      </c>
      <c r="D227" s="42">
        <f>590.718796580859*Deflactores!$T$5</f>
        <v>916.75191579370448</v>
      </c>
      <c r="E227" s="42">
        <f>638.02575551002*Deflactores!$U$5</f>
        <v>974.47969675902061</v>
      </c>
      <c r="F227" s="42">
        <f>721.634458326659*Deflactores!$V$5</f>
        <v>1043.5317907239421</v>
      </c>
      <c r="G227" s="42">
        <f>857.723168894179*Deflactores!$W$5</f>
        <v>1096.4685173956111</v>
      </c>
      <c r="H227" s="42">
        <f>1029.66146273524*Deflactores!$X$5</f>
        <v>1204.4888866629699</v>
      </c>
      <c r="I227" s="42">
        <f>1105.21615243026*Deflactores!$Y$5</f>
        <v>1228.9658702291933</v>
      </c>
      <c r="J227" s="42">
        <f>1240.68824212831*Deflactores!$Z$5</f>
        <v>1312.6481601717521</v>
      </c>
      <c r="K227" s="42">
        <f>423.94476215453*Deflactores!$AA$5</f>
        <v>423.94476215453</v>
      </c>
    </row>
    <row r="228" spans="3:11" x14ac:dyDescent="0.2">
      <c r="C228" s="88" t="s">
        <v>128</v>
      </c>
      <c r="D228" s="50">
        <f>353.19433093369*Deflactores!$T$5</f>
        <v>548.13149912458323</v>
      </c>
      <c r="E228" s="50">
        <f>347.229679142999*Deflactores!$U$5</f>
        <v>530.33638456572885</v>
      </c>
      <c r="F228" s="50">
        <f>466.31876775687*Deflactores!$V$5</f>
        <v>674.32819088751614</v>
      </c>
      <c r="G228" s="50">
        <f>435.90646250568*Deflactores!$W$5</f>
        <v>557.24006299488951</v>
      </c>
      <c r="H228" s="50">
        <f>592.8377686229*Deflactores!$X$5</f>
        <v>693.49638667011686</v>
      </c>
      <c r="I228" s="50">
        <f>829.09424592496*Deflactores!$Y$5</f>
        <v>921.92692732970193</v>
      </c>
      <c r="J228" s="50">
        <f>695.378178799869*Deflactores!$Z$5</f>
        <v>735.71011317026148</v>
      </c>
      <c r="K228" s="50">
        <f>231.85896617991*Deflactores!$AA$5</f>
        <v>231.85896617991</v>
      </c>
    </row>
    <row r="229" spans="3:11" x14ac:dyDescent="0.2">
      <c r="C229" s="87" t="s">
        <v>129</v>
      </c>
      <c r="D229" s="42">
        <f>30172.5840187327*Deflactores!$T$5</f>
        <v>46825.620521512283</v>
      </c>
      <c r="E229" s="42">
        <f>32394.7338629646*Deflactores!$U$5</f>
        <v>49477.642804774136</v>
      </c>
      <c r="F229" s="42">
        <f>34703.4178789916*Deflactores!$V$5</f>
        <v>50183.468078117316</v>
      </c>
      <c r="G229" s="42">
        <f>37604.7043569396*Deflactores!$W$5</f>
        <v>48071.890708645245</v>
      </c>
      <c r="H229" s="42">
        <f>42804.9236524632*Deflactores!$X$5</f>
        <v>50072.821698976324</v>
      </c>
      <c r="I229" s="42">
        <f>47511.2336449671*Deflactores!$Y$5</f>
        <v>52831.009096054579</v>
      </c>
      <c r="J229" s="42">
        <f>52779.655422297*Deflactores!$Z$5</f>
        <v>55840.875436790229</v>
      </c>
      <c r="K229" s="42">
        <f>16605.5933447113*Deflactores!$AA$5</f>
        <v>16605.593344711298</v>
      </c>
    </row>
    <row r="230" spans="3:11" x14ac:dyDescent="0.2">
      <c r="C230" s="88" t="s">
        <v>130</v>
      </c>
      <c r="D230" s="50">
        <f>265.49873125778*Deflactores!$T$5</f>
        <v>412.03440948581863</v>
      </c>
      <c r="E230" s="50">
        <f>241.72499380414*Deflactores!$U$5</f>
        <v>369.19528189428269</v>
      </c>
      <c r="F230" s="50">
        <f>671.405099608279*Deflactores!$V$5</f>
        <v>970.89677164260627</v>
      </c>
      <c r="G230" s="50">
        <f>556.0546970758*Deflactores!$W$5</f>
        <v>710.83129313111635</v>
      </c>
      <c r="H230" s="50">
        <f>560.3728200612*Deflactores!$X$5</f>
        <v>655.51917652497275</v>
      </c>
      <c r="I230" s="50">
        <f>381.16451859876*Deflactores!$Y$5</f>
        <v>423.84304940727458</v>
      </c>
      <c r="J230" s="50">
        <f>303.56938040264*Deflactores!$Z$5</f>
        <v>321.17640446599313</v>
      </c>
      <c r="K230" s="50">
        <f>138.89876457491*Deflactores!$AA$5</f>
        <v>138.89876457490999</v>
      </c>
    </row>
    <row r="231" spans="3:11" x14ac:dyDescent="0.2">
      <c r="C231" s="87" t="s">
        <v>131</v>
      </c>
      <c r="D231" s="42">
        <f>40977.6007010194*Deflactores!$T$5</f>
        <v>63594.207878141926</v>
      </c>
      <c r="E231" s="42">
        <f>44542.0803143363*Deflactores!$U$5</f>
        <v>68030.722181478952</v>
      </c>
      <c r="F231" s="42">
        <f>48007.4308988293*Deflactores!$V$5</f>
        <v>69421.962540533146</v>
      </c>
      <c r="G231" s="42">
        <f>49615.1936994321*Deflactores!$W$5</f>
        <v>63425.473216550286</v>
      </c>
      <c r="H231" s="42">
        <f>57835.0534622293*Deflactores!$X$5</f>
        <v>67654.934826599638</v>
      </c>
      <c r="I231" s="42">
        <f>67434.6390814473*Deflactores!$Y$5</f>
        <v>74985.214177415764</v>
      </c>
      <c r="J231" s="42">
        <f>77978.1751343283*Deflactores!$Z$5</f>
        <v>82500.909292119337</v>
      </c>
      <c r="K231" s="42">
        <f>25975.0716517778*Deflactores!$AA$5</f>
        <v>25975.071651777798</v>
      </c>
    </row>
    <row r="232" spans="3:11" x14ac:dyDescent="0.2">
      <c r="C232" s="88" t="s">
        <v>132</v>
      </c>
      <c r="D232" s="50">
        <f>38.27005130279*Deflactores!$T$5</f>
        <v>59.392291310902422</v>
      </c>
      <c r="E232" s="50">
        <f>41.62546077393*Deflactores!$U$5</f>
        <v>63.576064198237191</v>
      </c>
      <c r="F232" s="50">
        <f>48.67735150476*Deflactores!$V$5</f>
        <v>70.390712634827125</v>
      </c>
      <c r="G232" s="50">
        <f>47.4077347732499*Deflactores!$W$5</f>
        <v>60.603572976729055</v>
      </c>
      <c r="H232" s="50">
        <f>50.22890642754*Deflactores!$X$5</f>
        <v>58.757331191643068</v>
      </c>
      <c r="I232" s="50">
        <f>55.1557393394*Deflactores!$Y$5</f>
        <v>61.331460860691251</v>
      </c>
      <c r="J232" s="50">
        <f>57.4865748570999*Deflactores!$Z$5</f>
        <v>60.820796198811699</v>
      </c>
      <c r="K232" s="50">
        <f>15.9326649592199*Deflactores!$AA$5</f>
        <v>15.932664959219901</v>
      </c>
    </row>
    <row r="233" spans="3:11" x14ac:dyDescent="0.2">
      <c r="C233" s="87" t="s">
        <v>133</v>
      </c>
      <c r="D233" s="42">
        <f>3591.84068853191*Deflactores!$T$5</f>
        <v>5574.2712970987659</v>
      </c>
      <c r="E233" s="42">
        <f>3724.14006846164*Deflactores!$U$5</f>
        <v>5688.0131456474155</v>
      </c>
      <c r="F233" s="42">
        <f>4063.76633314423*Deflactores!$V$5</f>
        <v>5876.478471583825</v>
      </c>
      <c r="G233" s="42">
        <f>4474.61794994299*Deflactores!$W$5</f>
        <v>5720.1179674453779</v>
      </c>
      <c r="H233" s="42">
        <f>5110.05691316257*Deflactores!$X$5</f>
        <v>5977.6994525648788</v>
      </c>
      <c r="I233" s="42">
        <f>5540.84247165307*Deflactores!$Y$5</f>
        <v>6161.2439114326771</v>
      </c>
      <c r="J233" s="42">
        <f>6277.17017625438*Deflactores!$Z$5</f>
        <v>6641.2460464771339</v>
      </c>
      <c r="K233" s="42">
        <f>1750.19974135952*Deflactores!$AA$5</f>
        <v>1750.19974135952</v>
      </c>
    </row>
    <row r="234" spans="3:11" x14ac:dyDescent="0.2">
      <c r="C234" s="88" t="s">
        <v>134</v>
      </c>
      <c r="D234" s="50">
        <f>8261.82754716844*Deflactores!$T$5</f>
        <v>12821.745770852773</v>
      </c>
      <c r="E234" s="50">
        <f>16676.8266887735*Deflactores!$U$5</f>
        <v>25471.117543817592</v>
      </c>
      <c r="F234" s="50">
        <f>18427.01631508*Deflactores!$V$5</f>
        <v>26646.7005713166</v>
      </c>
      <c r="G234" s="50">
        <f>13790.6361797094*Deflactores!$W$5</f>
        <v>17629.229283153225</v>
      </c>
      <c r="H234" s="50">
        <f>33717.9644058336*Deflactores!$X$5</f>
        <v>39442.977014831798</v>
      </c>
      <c r="I234" s="50">
        <f>22514.5759077686*Deflactores!$Y$5</f>
        <v>25035.505780918309</v>
      </c>
      <c r="J234" s="50">
        <f>16836.2458360386*Deflactores!$Z$5</f>
        <v>17812.748094528841</v>
      </c>
      <c r="K234" s="50">
        <f>4843.66555873488*Deflactores!$AA$5</f>
        <v>4843.6655587348796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2.4890546188881464</v>
      </c>
      <c r="I235" s="42">
        <f>5975.77673694903*Deflactores!$Y$5</f>
        <v>6644.8772411361833</v>
      </c>
      <c r="J235" s="42">
        <f>6396.59127492356*Deflactores!$Z$5</f>
        <v>6767.593568869127</v>
      </c>
      <c r="K235" s="42">
        <f>1974.10722354148*Deflactores!$AA$5</f>
        <v>1974.1072235414799</v>
      </c>
    </row>
    <row r="236" spans="3:11" x14ac:dyDescent="0.2">
      <c r="C236" s="88" t="s">
        <v>136</v>
      </c>
      <c r="D236" s="50">
        <f>7786.81706038601*Deflactores!$T$5</f>
        <v>12084.564600555808</v>
      </c>
      <c r="E236" s="50">
        <f>15090.8226641128*Deflactores!$U$5</f>
        <v>23048.756522083455</v>
      </c>
      <c r="F236" s="50">
        <f>19401.6632413681*Deflactores!$V$5</f>
        <v>28056.105347623183</v>
      </c>
      <c r="G236" s="50">
        <f>19544.371627505*Deflactores!$W$5</f>
        <v>24984.504277140659</v>
      </c>
      <c r="H236" s="50">
        <f>15898.5929592737*Deflactores!$X$5</f>
        <v>18598.033650937294</v>
      </c>
      <c r="I236" s="50">
        <f>9494.79262429018*Deflactores!$Y$5</f>
        <v>10557.913087406505</v>
      </c>
      <c r="J236" s="50">
        <f>7953.59132193004*Deflactores!$Z$5</f>
        <v>8414.8996186019831</v>
      </c>
      <c r="K236" s="50">
        <f>2833.20683351885*Deflactores!$AA$5</f>
        <v>2833.2068335188501</v>
      </c>
    </row>
    <row r="237" spans="3:11" x14ac:dyDescent="0.2">
      <c r="C237" s="87" t="s">
        <v>137</v>
      </c>
      <c r="D237" s="42">
        <f>296.325927645849*Deflactores!$T$5</f>
        <v>459.87594002604857</v>
      </c>
      <c r="E237" s="42">
        <f>293.08952318894*Deflactores!$U$5</f>
        <v>447.64617605772935</v>
      </c>
      <c r="F237" s="42">
        <f>332.728546873749*Deflactores!$V$5</f>
        <v>481.14777826610822</v>
      </c>
      <c r="G237" s="42">
        <f>369.006456644629*Deflactores!$W$5</f>
        <v>471.71858835080855</v>
      </c>
      <c r="H237" s="42">
        <f>544.26986285765*Deflactores!$X$5</f>
        <v>636.68207938572334</v>
      </c>
      <c r="I237" s="42">
        <f>763.82657951088*Deflactores!$Y$5</f>
        <v>849.35131913212831</v>
      </c>
      <c r="J237" s="42">
        <f>687.51153610221*Deflactores!$Z$5</f>
        <v>727.38720519613821</v>
      </c>
      <c r="K237" s="42">
        <f>153.68883926124*Deflactores!$AA$5</f>
        <v>153.68883926123999</v>
      </c>
    </row>
    <row r="238" spans="3:11" x14ac:dyDescent="0.2">
      <c r="C238" s="88" t="s">
        <v>138</v>
      </c>
      <c r="D238" s="50">
        <f>90.91803301492*Deflactores!$T$5</f>
        <v>141.09806803009718</v>
      </c>
      <c r="E238" s="50">
        <f>97.64146220211*Deflactores!$U$5</f>
        <v>149.13131900413578</v>
      </c>
      <c r="F238" s="50">
        <f>110.959760434319*Deflactores!$V$5</f>
        <v>160.45525011765773</v>
      </c>
      <c r="G238" s="50">
        <f>104.84531844711*Deflactores!$W$5</f>
        <v>134.02878112967994</v>
      </c>
      <c r="H238" s="50">
        <f>120.72652510224*Deflactores!$X$5</f>
        <v>141.22482298677312</v>
      </c>
      <c r="I238" s="50">
        <f>137.50576549373*Deflactores!$Y$5</f>
        <v>152.90211998796917</v>
      </c>
      <c r="J238" s="50">
        <f>150.50415071102*Deflactores!$Z$5</f>
        <v>159.23339145225918</v>
      </c>
      <c r="K238" s="50">
        <f>42.88391447475*Deflactores!$AA$5</f>
        <v>42.88391447475</v>
      </c>
    </row>
    <row r="239" spans="3:11" x14ac:dyDescent="0.2">
      <c r="C239" s="87" t="s">
        <v>160</v>
      </c>
      <c r="D239" s="42">
        <f>1097.96245394162*Deflactores!$T$5</f>
        <v>1703.9565846670275</v>
      </c>
      <c r="E239" s="42">
        <f>1439.59142977107*Deflactores!$U$5</f>
        <v>2198.7397966698004</v>
      </c>
      <c r="F239" s="42">
        <f>1717.38638048212*Deflactores!$V$5</f>
        <v>2483.4558055127864</v>
      </c>
      <c r="G239" s="42">
        <f>2020.18493649506*Deflactores!$W$5</f>
        <v>2582.498948978453</v>
      </c>
      <c r="H239" s="42">
        <f>2184.83586177424*Deflactores!$X$5</f>
        <v>2555.8016978697578</v>
      </c>
      <c r="I239" s="42">
        <f>2702.24361276346*Deflactores!$Y$5</f>
        <v>3004.8105665381868</v>
      </c>
      <c r="J239" s="42">
        <f>3313.44947988915*Deflactores!$Z$5</f>
        <v>3505.6295497227211</v>
      </c>
      <c r="K239" s="42">
        <f>884.35416909663*Deflactores!$AA$5</f>
        <v>884.35416909663002</v>
      </c>
    </row>
    <row r="240" spans="3:11" x14ac:dyDescent="0.2">
      <c r="C240" s="88" t="s">
        <v>161</v>
      </c>
      <c r="D240" s="50">
        <f>1719.20600166329*Deflactores!$T$5</f>
        <v>2668.0806583291401</v>
      </c>
      <c r="E240" s="50">
        <f>1949.46055561898*Deflactores!$U$5</f>
        <v>2977.4812610263366</v>
      </c>
      <c r="F240" s="50">
        <f>1930.31305959053*Deflactores!$V$5</f>
        <v>2791.3620538620316</v>
      </c>
      <c r="G240" s="50">
        <f>2163.75767425189*Deflactores!$W$5</f>
        <v>2766.0348409954754</v>
      </c>
      <c r="H240" s="50">
        <f>2614.09170153964*Deflactores!$X$5</f>
        <v>3057.9413886756388</v>
      </c>
      <c r="I240" s="50">
        <f>3147.44613073082*Deflactores!$Y$5</f>
        <v>3499.861872763563</v>
      </c>
      <c r="J240" s="50">
        <f>3512.29405163421*Deflactores!$Z$5</f>
        <v>3716.0071066289943</v>
      </c>
      <c r="K240" s="50">
        <f>1010.6928467621*Deflactores!$AA$5</f>
        <v>1010.6928467621</v>
      </c>
    </row>
    <row r="241" spans="1:11" x14ac:dyDescent="0.2">
      <c r="C241" s="87" t="s">
        <v>140</v>
      </c>
      <c r="D241" s="42">
        <f>2658.57779432611*Deflactores!$T$5</f>
        <v>4125.9162571804927</v>
      </c>
      <c r="E241" s="42">
        <f>2806.37415424228*Deflactores!$U$5</f>
        <v>4286.2762375984075</v>
      </c>
      <c r="F241" s="42">
        <f>4263.41456946192*Deflactores!$V$5</f>
        <v>6165.1832017356764</v>
      </c>
      <c r="G241" s="42">
        <f>3870.83766876571*Deflactores!$W$5</f>
        <v>4948.276779351233</v>
      </c>
      <c r="H241" s="42">
        <f>6286.42254781569*Deflactores!$X$5</f>
        <v>7353.8015840634644</v>
      </c>
      <c r="I241" s="42">
        <f>4326.2786665899*Deflactores!$Y$5</f>
        <v>4810.6868639663207</v>
      </c>
      <c r="J241" s="42">
        <f>4637.44124197104*Deflactores!$Z$5</f>
        <v>4906.4128340053603</v>
      </c>
      <c r="K241" s="42">
        <f>2636.52163905262*Deflactores!$AA$5</f>
        <v>2636.5216390526198</v>
      </c>
    </row>
    <row r="242" spans="1:11" x14ac:dyDescent="0.2">
      <c r="C242" s="88" t="s">
        <v>141</v>
      </c>
      <c r="D242" s="50">
        <f>1672.83205147256*Deflactores!$T$5</f>
        <v>2596.1117148549429</v>
      </c>
      <c r="E242" s="50">
        <f>1889.69121760328*Deflactores!$U$5</f>
        <v>2886.1934001805498</v>
      </c>
      <c r="F242" s="50">
        <f>2302.00496950201*Deflactores!$V$5</f>
        <v>3328.8534664075682</v>
      </c>
      <c r="G242" s="50">
        <f>2657.95311838425*Deflactores!$W$5</f>
        <v>3397.7884948347214</v>
      </c>
      <c r="H242" s="50">
        <f>3239.61072399584*Deflactores!$X$5</f>
        <v>3789.6680174875301</v>
      </c>
      <c r="I242" s="50">
        <f>3715.77608011546*Deflactores!$Y$5</f>
        <v>4131.8270401988811</v>
      </c>
      <c r="J242" s="50">
        <f>3829.42274883732*Deflactores!$Z$5</f>
        <v>4051.5292682698846</v>
      </c>
      <c r="K242" s="50">
        <f>1110.18717837454*Deflactores!$AA$5</f>
        <v>1110.1871783745401</v>
      </c>
    </row>
    <row r="243" spans="1:11" x14ac:dyDescent="0.2">
      <c r="C243" s="87" t="s">
        <v>142</v>
      </c>
      <c r="D243" s="42">
        <f>220.51089401282*Deflactores!$T$5</f>
        <v>342.21661086412365</v>
      </c>
      <c r="E243" s="42">
        <f>195.28724429575*Deflactores!$U$5</f>
        <v>298.26923593406349</v>
      </c>
      <c r="F243" s="42">
        <f>591.64686121763*Deflactores!$V$5</f>
        <v>855.56101352792723</v>
      </c>
      <c r="G243" s="42">
        <f>640.83902079036*Deflactores!$W$5</f>
        <v>819.21514597905355</v>
      </c>
      <c r="H243" s="42">
        <f>575.39055364896*Deflactores!$X$5</f>
        <v>673.08678866155844</v>
      </c>
      <c r="I243" s="42">
        <f>608.29843257647*Deflactores!$Y$5</f>
        <v>676.40887341950815</v>
      </c>
      <c r="J243" s="42">
        <f>480.31906651887*Deflactores!$Z$5</f>
        <v>508.17757237696446</v>
      </c>
      <c r="K243" s="42">
        <f>175.05056232675*Deflactores!$AA$5</f>
        <v>175.05056232675</v>
      </c>
    </row>
    <row r="244" spans="1:11" x14ac:dyDescent="0.2">
      <c r="C244" s="88" t="s">
        <v>143</v>
      </c>
      <c r="D244" s="50">
        <f>651.625834976689*Deflactores!$T$5</f>
        <v>1011.275138108427</v>
      </c>
      <c r="E244" s="50">
        <f>1826.25670939078*Deflactores!$U$5</f>
        <v>2789.3075929962288</v>
      </c>
      <c r="F244" s="50">
        <f>3914.71937952626*Deflactores!$V$5</f>
        <v>5660.9465875166934</v>
      </c>
      <c r="G244" s="50">
        <f>1129.70880620657*Deflactores!$W$5</f>
        <v>1444.1607557681657</v>
      </c>
      <c r="H244" s="50">
        <f>860.4377369337*Deflactores!$X$5</f>
        <v>1006.5324665535892</v>
      </c>
      <c r="I244" s="50">
        <f>802.61166152891*Deflactores!$Y$5</f>
        <v>892.47911994230196</v>
      </c>
      <c r="J244" s="50">
        <f>1662.45518891137*Deflactores!$Z$5</f>
        <v>1758.8775898682295</v>
      </c>
      <c r="K244" s="50">
        <f>243.00983262235*Deflactores!$AA$5</f>
        <v>243.00983262234999</v>
      </c>
    </row>
    <row r="245" spans="1:11" x14ac:dyDescent="0.2">
      <c r="C245" s="87" t="s">
        <v>144</v>
      </c>
      <c r="D245" s="42">
        <f>4232.35534150447*Deflactores!$T$5</f>
        <v>6568.3027018979146</v>
      </c>
      <c r="E245" s="42">
        <f>4421.24411213156*Deflactores!$U$5</f>
        <v>6752.7252379389338</v>
      </c>
      <c r="F245" s="42">
        <f>4785.50039786024*Deflactores!$V$5</f>
        <v>6920.1542998223949</v>
      </c>
      <c r="G245" s="42">
        <f>5346.23046215966*Deflactores!$W$5</f>
        <v>6834.3418961819752</v>
      </c>
      <c r="H245" s="42">
        <f>6570.46967753509*Deflactores!$X$5</f>
        <v>7686.0774081257514</v>
      </c>
      <c r="I245" s="42">
        <f>7916.94243764156*Deflactores!$Y$5</f>
        <v>8803.39292095583</v>
      </c>
      <c r="J245" s="42">
        <f>9141.72520762009*Deflactores!$Z$5</f>
        <v>9671.9452696620556</v>
      </c>
      <c r="K245" s="42">
        <f>2405.616292137*Deflactores!$AA$5</f>
        <v>2405.6162921370001</v>
      </c>
    </row>
    <row r="246" spans="1:11" x14ac:dyDescent="0.2">
      <c r="C246" s="88" t="s">
        <v>145</v>
      </c>
      <c r="D246" s="50">
        <f>1333.59996583611*Deflactores!$T$5</f>
        <v>2069.6485885654779</v>
      </c>
      <c r="E246" s="50">
        <f>569.39360321888*Deflactores!$U$5</f>
        <v>869.65534072792832</v>
      </c>
      <c r="F246" s="50">
        <f>1147.51624400191*Deflactores!$V$5</f>
        <v>1659.3853954325339</v>
      </c>
      <c r="G246" s="50">
        <f>2975.62918084341*Deflactores!$W$5</f>
        <v>3803.8889872182313</v>
      </c>
      <c r="H246" s="50">
        <f>2538.75845875478*Deflactores!$X$5</f>
        <v>2969.8172264975124</v>
      </c>
      <c r="I246" s="50">
        <f>823.19798720536*Deflactores!$Y$5</f>
        <v>915.37047164228215</v>
      </c>
      <c r="J246" s="50">
        <f>2137.74130619113*Deflactores!$Z$5</f>
        <v>2261.730301950216</v>
      </c>
      <c r="K246" s="50">
        <f>642.29398972616*Deflactores!$AA$5</f>
        <v>642.29398972616002</v>
      </c>
    </row>
    <row r="247" spans="1:11" x14ac:dyDescent="0.2">
      <c r="C247" s="87" t="s">
        <v>146</v>
      </c>
      <c r="D247" s="42">
        <f>686.441248616227*Deflactores!$T$5</f>
        <v>1065.3060870776085</v>
      </c>
      <c r="E247" s="42">
        <f>734.68455077984*Deflactores!$U$5</f>
        <v>1122.1101531946422</v>
      </c>
      <c r="F247" s="42">
        <f>849.167730690979*Deflactores!$V$5</f>
        <v>1227.95344985012</v>
      </c>
      <c r="G247" s="42">
        <f>1118.18407755045*Deflactores!$W$5</f>
        <v>1429.4281443601583</v>
      </c>
      <c r="H247" s="42">
        <f>1165.03562418147*Deflactores!$X$5</f>
        <v>1362.8483852987169</v>
      </c>
      <c r="I247" s="42">
        <f>1109.27376451784*Deflactores!$Y$5</f>
        <v>1233.4778082417711</v>
      </c>
      <c r="J247" s="42">
        <f>1191.28644692404*Deflactores!$Z$5</f>
        <v>1260.3810608456345</v>
      </c>
      <c r="K247" s="42">
        <f>365.44897419209*Deflactores!$AA$5</f>
        <v>365.44897419209002</v>
      </c>
    </row>
    <row r="248" spans="1:11" x14ac:dyDescent="0.2">
      <c r="C248" s="88" t="s">
        <v>162</v>
      </c>
      <c r="D248" s="50">
        <f>28839.5270752715*Deflactores!$T$5</f>
        <v>44756.814663541125</v>
      </c>
      <c r="E248" s="50">
        <f>33943.6406658278*Deflactores!$U$5</f>
        <v>51843.34390465459</v>
      </c>
      <c r="F248" s="50">
        <f>42881.9380821954*Deflactores!$V$5</f>
        <v>62010.156416852253</v>
      </c>
      <c r="G248" s="50">
        <f>41675.2722217218*Deflactores!$W$5</f>
        <v>53275.492142672287</v>
      </c>
      <c r="H248" s="50">
        <f>49402.6262663407*Deflactores!$X$5</f>
        <v>57790.755955554479</v>
      </c>
      <c r="I248" s="50">
        <f>57114.0852882323*Deflactores!$Y$5</f>
        <v>63509.080440285994</v>
      </c>
      <c r="J248" s="50">
        <f>63575.7322715495*Deflactores!$Z$5</f>
        <v>67263.124743299384</v>
      </c>
      <c r="K248" s="50">
        <f>23036.0093477407*Deflactores!$AA$5</f>
        <v>23036.009347740699</v>
      </c>
    </row>
    <row r="249" spans="1:11" x14ac:dyDescent="0.2">
      <c r="C249" s="87" t="s">
        <v>148</v>
      </c>
      <c r="D249" s="42">
        <f>352.420446609169*Deflactores!$T$5</f>
        <v>546.93048784609709</v>
      </c>
      <c r="E249" s="42">
        <f>450.87958405192*Deflactores!$U$5</f>
        <v>688.64461433931592</v>
      </c>
      <c r="F249" s="42">
        <f>535.1094240807*Deflactores!$V$5</f>
        <v>773.80409028558358</v>
      </c>
      <c r="G249" s="42">
        <f>576.51937841711*Deflactores!$W$5</f>
        <v>736.99227329702364</v>
      </c>
      <c r="H249" s="42">
        <f>644.01339596486*Deflactores!$X$5</f>
        <v>753.36118362741183</v>
      </c>
      <c r="I249" s="42">
        <f>767.60169333726*Deflactores!$Y$5</f>
        <v>853.54912789437776</v>
      </c>
      <c r="J249" s="42">
        <f>847.94544815153*Deflactores!$Z$5</f>
        <v>897.12628414431867</v>
      </c>
      <c r="K249" s="42">
        <f>255.38126315564*Deflactores!$AA$5</f>
        <v>255.38126315564</v>
      </c>
    </row>
    <row r="250" spans="1:11" x14ac:dyDescent="0.2">
      <c r="C250" s="88" t="s">
        <v>149</v>
      </c>
      <c r="D250" s="50">
        <f>76.85321696477*Deflactores!$T$5</f>
        <v>119.27051296685465</v>
      </c>
      <c r="E250" s="50">
        <f>53.49254585887*Deflactores!$U$5</f>
        <v>81.701090304341164</v>
      </c>
      <c r="F250" s="50">
        <f>65.41212541591*Deflactores!$V$5</f>
        <v>94.590317275876075</v>
      </c>
      <c r="G250" s="50">
        <f>92.25661037743*Deflactores!$W$5</f>
        <v>117.93603398973281</v>
      </c>
      <c r="H250" s="50">
        <f>92.48053646739*Deflactores!$X$5</f>
        <v>108.18291490845401</v>
      </c>
      <c r="I250" s="50">
        <f>282.726079722299*Deflactores!$Y$5</f>
        <v>314.38257741562319</v>
      </c>
      <c r="J250" s="50">
        <f>442.35153891415*Deflactores!$Z$5</f>
        <v>468.00792817117076</v>
      </c>
      <c r="K250" s="50">
        <f>28.98124929158*Deflactores!$AA$5</f>
        <v>28.981249291579999</v>
      </c>
    </row>
    <row r="251" spans="1:11" x14ac:dyDescent="0.2">
      <c r="C251" s="87" t="s">
        <v>163</v>
      </c>
      <c r="D251" s="42">
        <f>21531.5833113476*Deflactores!$T$5</f>
        <v>33415.426028427944</v>
      </c>
      <c r="E251" s="42">
        <f>26586.3721218911*Deflactores!$U$5</f>
        <v>40606.322894524666</v>
      </c>
      <c r="F251" s="42">
        <f>24455.6616910438*Deflactores!$V$5</f>
        <v>35364.525825125864</v>
      </c>
      <c r="G251" s="42">
        <f>20777.1404423986*Deflactores!$W$5</f>
        <v>26560.411567252224</v>
      </c>
      <c r="H251" s="42">
        <f>24740.1031414796*Deflactores!$X$5</f>
        <v>28940.754186961509</v>
      </c>
      <c r="I251" s="42">
        <f>30313.9050061192*Deflactores!$Y$5</f>
        <v>33708.116339026434</v>
      </c>
      <c r="J251" s="42">
        <f>41491.9393155908*Deflactores!$Z$5</f>
        <v>43898.471795895064</v>
      </c>
      <c r="K251" s="42">
        <f>8777.09661203984*Deflactores!$AA$5</f>
        <v>8777.0966120398407</v>
      </c>
    </row>
    <row r="252" spans="1:11" x14ac:dyDescent="0.2">
      <c r="C252" s="88" t="s">
        <v>150</v>
      </c>
      <c r="D252" s="50">
        <f>3689.63055844923*Deflactores!$T$5</f>
        <v>5726.0339481449455</v>
      </c>
      <c r="E252" s="50">
        <f>4166.98887658157*Deflactores!$U$5</f>
        <v>6364.392066905596</v>
      </c>
      <c r="F252" s="50">
        <f>6610.99787436704*Deflactores!$V$5</f>
        <v>9559.9459957988456</v>
      </c>
      <c r="G252" s="50">
        <f>7125.41080414208*Deflactores!$W$5</f>
        <v>9108.7531543831174</v>
      </c>
      <c r="H252" s="50">
        <f>8113.54740423082*Deflactores!$X$5</f>
        <v>9491.1561066378254</v>
      </c>
      <c r="I252" s="50">
        <f>3689.90035131081*Deflactores!$Y$5</f>
        <v>4103.0540372905398</v>
      </c>
      <c r="J252" s="50">
        <f>2859.98363380552*Deflactores!$Z$5</f>
        <v>3025.8626845662407</v>
      </c>
      <c r="K252" s="50">
        <f>1145.73102457771*Deflactores!$AA$5</f>
        <v>1145.7310245777101</v>
      </c>
    </row>
    <row r="253" spans="1:11" x14ac:dyDescent="0.2">
      <c r="C253" s="87" t="s">
        <v>151</v>
      </c>
      <c r="D253" s="42">
        <f>2870.07757536141*Deflactores!$T$5</f>
        <v>4454.1482866610704</v>
      </c>
      <c r="E253" s="42">
        <f>3319.86225084878*Deflactores!$U$5</f>
        <v>5070.5450862289399</v>
      </c>
      <c r="F253" s="42">
        <f>4630.21356292883*Deflactores!$V$5</f>
        <v>6695.5991291788177</v>
      </c>
      <c r="G253" s="42">
        <f>4675.1983063523*Deflactores!$W$5</f>
        <v>5976.5294227804889</v>
      </c>
      <c r="H253" s="42">
        <f>4971.177049343*Deflactores!$X$5</f>
        <v>5815.2390142499689</v>
      </c>
      <c r="I253" s="42">
        <f>5369.05664420796*Deflactores!$Y$5</f>
        <v>5970.2234323572557</v>
      </c>
      <c r="J253" s="42">
        <f>5806.3741104193*Deflactores!$Z$5</f>
        <v>6143.14380882362</v>
      </c>
      <c r="K253" s="42">
        <f>1557.92212395038*Deflactores!$AA$5</f>
        <v>1557.92212395038</v>
      </c>
    </row>
    <row r="254" spans="1:11" x14ac:dyDescent="0.2">
      <c r="C254" s="79" t="s">
        <v>152</v>
      </c>
      <c r="D254" s="44">
        <f t="shared" ref="D254:K254" si="15">SUM(D223:D253)</f>
        <v>258456.88121580798</v>
      </c>
      <c r="E254" s="44">
        <f t="shared" si="15"/>
        <v>307008.06859441119</v>
      </c>
      <c r="F254" s="44">
        <f t="shared" si="15"/>
        <v>333967.11515903263</v>
      </c>
      <c r="G254" s="44">
        <f t="shared" si="15"/>
        <v>290936.34395754308</v>
      </c>
      <c r="H254" s="44">
        <f t="shared" si="15"/>
        <v>325127.35436511028</v>
      </c>
      <c r="I254" s="44">
        <f t="shared" si="15"/>
        <v>321541.82433358568</v>
      </c>
      <c r="J254" s="44">
        <f t="shared" si="15"/>
        <v>340035.1475320973</v>
      </c>
      <c r="K254" s="44">
        <f t="shared" si="15"/>
        <v>100345.10506424084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abril</v>
      </c>
      <c r="D255" s="123">
        <f>+D254-'C6 Ejec. Nac 19-26'!D131</f>
        <v>2.9103830456733704E-10</v>
      </c>
      <c r="E255" s="123">
        <f>+E254-'C6 Ejec. Nac 19-26'!E131</f>
        <v>1.1059455573558807E-9</v>
      </c>
      <c r="F255" s="123">
        <f>+F254-'C6 Ejec. Nac 19-26'!F131</f>
        <v>0</v>
      </c>
      <c r="G255" s="123">
        <f>+G254-'C6 Ejec. Nac 19-26'!G131</f>
        <v>0</v>
      </c>
      <c r="H255" s="123">
        <f>+H254-'C6 Ejec. Nac 19-26'!H131</f>
        <v>1.0477378964424133E-9</v>
      </c>
      <c r="I255" s="123">
        <f>+I254-'C6 Ejec. Nac 19-26'!I131</f>
        <v>0</v>
      </c>
      <c r="J255" s="123">
        <f>+J254-'C6 Ejec. Nac 19-26'!J131</f>
        <v>0</v>
      </c>
      <c r="K255" s="123">
        <f>+K254-'C6 Ejec. Nac 19-26'!K131</f>
        <v>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D260" s="155" t="s">
        <v>159</v>
      </c>
      <c r="E260" s="178"/>
      <c r="F260" s="178"/>
      <c r="G260" s="178"/>
      <c r="H260" s="178"/>
      <c r="I260" s="178"/>
      <c r="J260" s="178"/>
      <c r="K260" s="178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76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10</v>
      </c>
    </row>
    <row r="264" spans="2:11" ht="12" customHeight="1" thickBot="1" x14ac:dyDescent="0.25">
      <c r="C264" s="160"/>
      <c r="D264" s="154"/>
      <c r="E264" s="154"/>
      <c r="F264" s="154"/>
      <c r="G264" s="154"/>
      <c r="H264" s="154"/>
      <c r="I264" s="154"/>
      <c r="J264" s="154"/>
      <c r="K264" s="154"/>
    </row>
    <row r="265" spans="2:11" x14ac:dyDescent="0.2">
      <c r="C265" s="87" t="s">
        <v>123</v>
      </c>
      <c r="D265" s="47">
        <f t="shared" ref="D265:K274" si="16">+IFERROR(IF(D223&gt;0,+((D223/D15)*100)," "),"0")</f>
        <v>62.656570662724498</v>
      </c>
      <c r="E265" s="47">
        <f t="shared" si="16"/>
        <v>77.214864352839015</v>
      </c>
      <c r="F265" s="47">
        <f t="shared" si="16"/>
        <v>79.173163708678118</v>
      </c>
      <c r="G265" s="47">
        <f t="shared" si="16"/>
        <v>73.655703985530906</v>
      </c>
      <c r="H265" s="47">
        <f t="shared" si="16"/>
        <v>74.000710160392515</v>
      </c>
      <c r="I265" s="47">
        <f t="shared" si="16"/>
        <v>37.843138312023392</v>
      </c>
      <c r="J265" s="47">
        <f t="shared" si="16"/>
        <v>58.831878130963467</v>
      </c>
      <c r="K265" s="47">
        <f t="shared" si="16"/>
        <v>12.898939938707329</v>
      </c>
    </row>
    <row r="266" spans="2:11" x14ac:dyDescent="0.2">
      <c r="C266" s="88" t="s">
        <v>124</v>
      </c>
      <c r="D266" s="116">
        <f t="shared" si="16"/>
        <v>86.814093082623614</v>
      </c>
      <c r="E266" s="116">
        <f t="shared" si="16"/>
        <v>78.124746837835801</v>
      </c>
      <c r="F266" s="116">
        <f t="shared" si="16"/>
        <v>63.613458167130297</v>
      </c>
      <c r="G266" s="116">
        <f t="shared" si="16"/>
        <v>58.297723665580669</v>
      </c>
      <c r="H266" s="116">
        <f t="shared" si="16"/>
        <v>44.61645238954322</v>
      </c>
      <c r="I266" s="116">
        <f t="shared" si="16"/>
        <v>50.039724288741461</v>
      </c>
      <c r="J266" s="116">
        <f t="shared" si="16"/>
        <v>78.398807980384845</v>
      </c>
      <c r="K266" s="116">
        <f t="shared" si="16"/>
        <v>17.599359369942647</v>
      </c>
    </row>
    <row r="267" spans="2:11" x14ac:dyDescent="0.2">
      <c r="C267" s="87" t="s">
        <v>125</v>
      </c>
      <c r="D267" s="47">
        <f t="shared" si="16"/>
        <v>42.651674068352179</v>
      </c>
      <c r="E267" s="47">
        <f t="shared" si="16"/>
        <v>67.171924254536563</v>
      </c>
      <c r="F267" s="47">
        <f t="shared" si="16"/>
        <v>87.151293573960842</v>
      </c>
      <c r="G267" s="47">
        <f t="shared" si="16"/>
        <v>87.730357052391611</v>
      </c>
      <c r="H267" s="47">
        <f t="shared" si="16"/>
        <v>65.897675697539881</v>
      </c>
      <c r="I267" s="47">
        <f t="shared" si="16"/>
        <v>86.76227880195168</v>
      </c>
      <c r="J267" s="47">
        <f t="shared" si="16"/>
        <v>91.948301921268765</v>
      </c>
      <c r="K267" s="47">
        <f t="shared" si="16"/>
        <v>5.1645873648460165</v>
      </c>
    </row>
    <row r="268" spans="2:11" x14ac:dyDescent="0.2">
      <c r="C268" s="88" t="s">
        <v>126</v>
      </c>
      <c r="D268" s="116">
        <f t="shared" si="16"/>
        <v>81.256651560215928</v>
      </c>
      <c r="E268" s="116">
        <f t="shared" si="16"/>
        <v>79.615252843659164</v>
      </c>
      <c r="F268" s="116">
        <f t="shared" si="16"/>
        <v>67.602138415933197</v>
      </c>
      <c r="G268" s="116">
        <f t="shared" si="16"/>
        <v>75.902274910420658</v>
      </c>
      <c r="H268" s="116">
        <f t="shared" si="16"/>
        <v>67.440761326529881</v>
      </c>
      <c r="I268" s="116">
        <f t="shared" si="16"/>
        <v>61.377289649594957</v>
      </c>
      <c r="J268" s="116">
        <f t="shared" si="16"/>
        <v>84.270071535759428</v>
      </c>
      <c r="K268" s="116">
        <f t="shared" si="16"/>
        <v>23.413852477210835</v>
      </c>
    </row>
    <row r="269" spans="2:11" x14ac:dyDescent="0.2">
      <c r="C269" s="87" t="s">
        <v>127</v>
      </c>
      <c r="D269" s="47">
        <f t="shared" si="16"/>
        <v>91.249445303955738</v>
      </c>
      <c r="E269" s="47">
        <f t="shared" si="16"/>
        <v>92.405785845730534</v>
      </c>
      <c r="F269" s="47">
        <f t="shared" si="16"/>
        <v>92.952458658138767</v>
      </c>
      <c r="G269" s="47">
        <f t="shared" si="16"/>
        <v>88.276066263654741</v>
      </c>
      <c r="H269" s="47">
        <f t="shared" si="16"/>
        <v>86.989209923695483</v>
      </c>
      <c r="I269" s="47">
        <f t="shared" si="16"/>
        <v>80.578135475315122</v>
      </c>
      <c r="J269" s="47">
        <f t="shared" si="16"/>
        <v>79.192681551868745</v>
      </c>
      <c r="K269" s="47">
        <f t="shared" si="16"/>
        <v>31.809248855357858</v>
      </c>
    </row>
    <row r="270" spans="2:11" x14ac:dyDescent="0.2">
      <c r="C270" s="88" t="s">
        <v>128</v>
      </c>
      <c r="D270" s="116">
        <f t="shared" si="16"/>
        <v>94.707228879281118</v>
      </c>
      <c r="E270" s="116">
        <f t="shared" si="16"/>
        <v>94.263870074676547</v>
      </c>
      <c r="F270" s="116">
        <f t="shared" si="16"/>
        <v>77.895681639800088</v>
      </c>
      <c r="G270" s="116">
        <f t="shared" si="16"/>
        <v>79.407662569776946</v>
      </c>
      <c r="H270" s="116">
        <f t="shared" si="16"/>
        <v>75.21375678942448</v>
      </c>
      <c r="I270" s="116">
        <f t="shared" si="16"/>
        <v>63.515098626738428</v>
      </c>
      <c r="J270" s="116">
        <f t="shared" si="16"/>
        <v>65.838531024293147</v>
      </c>
      <c r="K270" s="116">
        <f t="shared" si="16"/>
        <v>20.515541214373336</v>
      </c>
    </row>
    <row r="271" spans="2:11" x14ac:dyDescent="0.2">
      <c r="C271" s="87" t="s">
        <v>129</v>
      </c>
      <c r="D271" s="47">
        <f t="shared" si="16"/>
        <v>96.220041798586024</v>
      </c>
      <c r="E271" s="47">
        <f t="shared" si="16"/>
        <v>96.666764779960303</v>
      </c>
      <c r="F271" s="47">
        <f t="shared" si="16"/>
        <v>95.150000620073399</v>
      </c>
      <c r="G271" s="47">
        <f t="shared" si="16"/>
        <v>94.852376470320664</v>
      </c>
      <c r="H271" s="47">
        <f t="shared" si="16"/>
        <v>94.485822824458566</v>
      </c>
      <c r="I271" s="47">
        <f t="shared" si="16"/>
        <v>89.694028010115247</v>
      </c>
      <c r="J271" s="47">
        <f t="shared" si="16"/>
        <v>92.126406965713414</v>
      </c>
      <c r="K271" s="47">
        <f t="shared" si="16"/>
        <v>26.528713856135539</v>
      </c>
    </row>
    <row r="272" spans="2:11" x14ac:dyDescent="0.2">
      <c r="C272" s="88" t="s">
        <v>130</v>
      </c>
      <c r="D272" s="116">
        <f t="shared" si="16"/>
        <v>53.139029697464004</v>
      </c>
      <c r="E272" s="116">
        <f t="shared" si="16"/>
        <v>52.323541849696021</v>
      </c>
      <c r="F272" s="116">
        <f t="shared" si="16"/>
        <v>87.454185933295534</v>
      </c>
      <c r="G272" s="116">
        <f t="shared" si="16"/>
        <v>61.912109701967822</v>
      </c>
      <c r="H272" s="116">
        <f t="shared" si="16"/>
        <v>59.062407078297205</v>
      </c>
      <c r="I272" s="116">
        <f t="shared" si="16"/>
        <v>36.004201998239623</v>
      </c>
      <c r="J272" s="116">
        <f t="shared" si="16"/>
        <v>67.519775372495346</v>
      </c>
      <c r="K272" s="116">
        <f t="shared" si="16"/>
        <v>27.998861010803637</v>
      </c>
    </row>
    <row r="273" spans="3:11" x14ac:dyDescent="0.2">
      <c r="C273" s="87" t="s">
        <v>131</v>
      </c>
      <c r="D273" s="47">
        <f t="shared" si="16"/>
        <v>98.892239976593061</v>
      </c>
      <c r="E273" s="47">
        <f t="shared" si="16"/>
        <v>99.90105698116119</v>
      </c>
      <c r="F273" s="47">
        <f t="shared" si="16"/>
        <v>99.879679034450334</v>
      </c>
      <c r="G273" s="47">
        <f t="shared" si="16"/>
        <v>99.783236732343525</v>
      </c>
      <c r="H273" s="47">
        <f t="shared" si="16"/>
        <v>98.006120235754253</v>
      </c>
      <c r="I273" s="47">
        <f t="shared" si="16"/>
        <v>96.230861202370946</v>
      </c>
      <c r="J273" s="47">
        <f t="shared" si="16"/>
        <v>97.280484762766264</v>
      </c>
      <c r="K273" s="47">
        <f t="shared" si="16"/>
        <v>29.463838760799412</v>
      </c>
    </row>
    <row r="274" spans="3:11" x14ac:dyDescent="0.2">
      <c r="C274" s="88" t="s">
        <v>132</v>
      </c>
      <c r="D274" s="116">
        <f t="shared" si="16"/>
        <v>87.194986116642454</v>
      </c>
      <c r="E274" s="116">
        <f t="shared" si="16"/>
        <v>88.274373532294675</v>
      </c>
      <c r="F274" s="116">
        <f t="shared" si="16"/>
        <v>92.892622176215042</v>
      </c>
      <c r="G274" s="116">
        <f t="shared" si="16"/>
        <v>88.414289182497541</v>
      </c>
      <c r="H274" s="116">
        <f t="shared" si="16"/>
        <v>90.293655483483505</v>
      </c>
      <c r="I274" s="116">
        <f t="shared" si="16"/>
        <v>92.21679931028568</v>
      </c>
      <c r="J274" s="116">
        <f t="shared" si="16"/>
        <v>91.174343683698311</v>
      </c>
      <c r="K274" s="116">
        <f t="shared" si="16"/>
        <v>25.368788945308108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94.488189307670609</v>
      </c>
      <c r="E275" s="47">
        <f t="shared" si="17"/>
        <v>94.557318786897966</v>
      </c>
      <c r="F275" s="47">
        <f t="shared" si="17"/>
        <v>92.198808040237793</v>
      </c>
      <c r="G275" s="47">
        <f t="shared" si="17"/>
        <v>94.649869197809124</v>
      </c>
      <c r="H275" s="47">
        <f t="shared" si="17"/>
        <v>94.490259832861881</v>
      </c>
      <c r="I275" s="47">
        <f t="shared" si="17"/>
        <v>92.718828563076812</v>
      </c>
      <c r="J275" s="47">
        <f t="shared" si="17"/>
        <v>92.118295700419026</v>
      </c>
      <c r="K275" s="47">
        <f t="shared" si="17"/>
        <v>24.452217982985847</v>
      </c>
    </row>
    <row r="276" spans="3:11" x14ac:dyDescent="0.2">
      <c r="C276" s="88" t="s">
        <v>134</v>
      </c>
      <c r="D276" s="116">
        <f t="shared" si="17"/>
        <v>80.376084036571498</v>
      </c>
      <c r="E276" s="116">
        <f t="shared" si="17"/>
        <v>41.071920479279619</v>
      </c>
      <c r="F276" s="116">
        <f t="shared" si="17"/>
        <v>77.365612400662414</v>
      </c>
      <c r="G276" s="116">
        <f t="shared" si="17"/>
        <v>77.052567023006716</v>
      </c>
      <c r="H276" s="116">
        <f t="shared" si="17"/>
        <v>81.70146963336957</v>
      </c>
      <c r="I276" s="116">
        <f t="shared" si="17"/>
        <v>69.617024997374116</v>
      </c>
      <c r="J276" s="116">
        <f t="shared" si="17"/>
        <v>68.739382398676497</v>
      </c>
      <c r="K276" s="116">
        <f t="shared" si="17"/>
        <v>14.664807794858609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0.42555537840000002</v>
      </c>
      <c r="I277" s="47">
        <f t="shared" si="17"/>
        <v>75.818120511832078</v>
      </c>
      <c r="J277" s="47">
        <f t="shared" si="17"/>
        <v>93.314623523601909</v>
      </c>
      <c r="K277" s="47">
        <f t="shared" si="17"/>
        <v>29.529388667800717</v>
      </c>
    </row>
    <row r="278" spans="3:11" x14ac:dyDescent="0.2">
      <c r="C278" s="88" t="s">
        <v>136</v>
      </c>
      <c r="D278" s="116">
        <f t="shared" si="17"/>
        <v>88.023711693924199</v>
      </c>
      <c r="E278" s="116">
        <f t="shared" si="17"/>
        <v>97.255057041034178</v>
      </c>
      <c r="F278" s="116">
        <f t="shared" si="17"/>
        <v>92.646262709793888</v>
      </c>
      <c r="G278" s="116">
        <f t="shared" si="17"/>
        <v>96.743144234015332</v>
      </c>
      <c r="H278" s="116">
        <f t="shared" si="17"/>
        <v>88.270266220966462</v>
      </c>
      <c r="I278" s="116">
        <f t="shared" si="17"/>
        <v>71.087681828171256</v>
      </c>
      <c r="J278" s="116">
        <f t="shared" si="17"/>
        <v>72.894979099635719</v>
      </c>
      <c r="K278" s="116">
        <f t="shared" si="17"/>
        <v>21.537476144025451</v>
      </c>
    </row>
    <row r="279" spans="3:11" x14ac:dyDescent="0.2">
      <c r="C279" s="87" t="s">
        <v>137</v>
      </c>
      <c r="D279" s="47">
        <f t="shared" si="17"/>
        <v>87.277947393142526</v>
      </c>
      <c r="E279" s="47">
        <f t="shared" si="17"/>
        <v>85.862263407984372</v>
      </c>
      <c r="F279" s="47">
        <f t="shared" si="17"/>
        <v>66.344825860105601</v>
      </c>
      <c r="G279" s="47">
        <f t="shared" si="17"/>
        <v>63.113735587898809</v>
      </c>
      <c r="H279" s="47">
        <f t="shared" si="17"/>
        <v>55.990889513023625</v>
      </c>
      <c r="I279" s="47">
        <f t="shared" si="17"/>
        <v>62.200338242574624</v>
      </c>
      <c r="J279" s="47">
        <f t="shared" si="17"/>
        <v>71.093556777194905</v>
      </c>
      <c r="K279" s="47">
        <f t="shared" si="17"/>
        <v>20.117931876243464</v>
      </c>
    </row>
    <row r="280" spans="3:11" x14ac:dyDescent="0.2">
      <c r="C280" s="88" t="s">
        <v>138</v>
      </c>
      <c r="D280" s="116">
        <f t="shared" si="17"/>
        <v>93.127205939532715</v>
      </c>
      <c r="E280" s="116">
        <f t="shared" si="17"/>
        <v>97.939832663448925</v>
      </c>
      <c r="F280" s="116">
        <f t="shared" si="17"/>
        <v>94.697338290005291</v>
      </c>
      <c r="G280" s="116">
        <f t="shared" si="17"/>
        <v>93.775999469705923</v>
      </c>
      <c r="H280" s="116">
        <f t="shared" si="17"/>
        <v>83.957971196461614</v>
      </c>
      <c r="I280" s="116">
        <f t="shared" si="17"/>
        <v>81.564557762430454</v>
      </c>
      <c r="J280" s="116">
        <f t="shared" si="17"/>
        <v>85.586638961647012</v>
      </c>
      <c r="K280" s="116">
        <f t="shared" si="17"/>
        <v>24.1384194899676</v>
      </c>
    </row>
    <row r="281" spans="3:11" x14ac:dyDescent="0.2">
      <c r="C281" s="87" t="s">
        <v>160</v>
      </c>
      <c r="D281" s="47">
        <f t="shared" si="17"/>
        <v>85.430840137185555</v>
      </c>
      <c r="E281" s="47">
        <f t="shared" si="17"/>
        <v>85.889971388847457</v>
      </c>
      <c r="F281" s="47">
        <f t="shared" si="17"/>
        <v>81.423657029524819</v>
      </c>
      <c r="G281" s="47">
        <f t="shared" si="17"/>
        <v>69.730836213424297</v>
      </c>
      <c r="H281" s="47">
        <f t="shared" si="17"/>
        <v>68.003093927637224</v>
      </c>
      <c r="I281" s="47">
        <f t="shared" si="17"/>
        <v>69.488067215095271</v>
      </c>
      <c r="J281" s="47">
        <f t="shared" si="17"/>
        <v>77.828449949003584</v>
      </c>
      <c r="K281" s="47">
        <f t="shared" si="17"/>
        <v>21.583212369240272</v>
      </c>
    </row>
    <row r="282" spans="3:11" x14ac:dyDescent="0.2">
      <c r="C282" s="88" t="s">
        <v>161</v>
      </c>
      <c r="D282" s="116">
        <f t="shared" si="17"/>
        <v>74.697413248678018</v>
      </c>
      <c r="E282" s="116">
        <f t="shared" si="17"/>
        <v>78.252513338519492</v>
      </c>
      <c r="F282" s="116">
        <f t="shared" si="17"/>
        <v>65.514902928086073</v>
      </c>
      <c r="G282" s="116">
        <f t="shared" si="17"/>
        <v>66.738056104377932</v>
      </c>
      <c r="H282" s="116">
        <f t="shared" si="17"/>
        <v>77.82498649364878</v>
      </c>
      <c r="I282" s="116">
        <f t="shared" si="17"/>
        <v>78.905741603783184</v>
      </c>
      <c r="J282" s="116">
        <f t="shared" si="17"/>
        <v>81.82441073596577</v>
      </c>
      <c r="K282" s="116">
        <f t="shared" si="17"/>
        <v>21.800361024292805</v>
      </c>
    </row>
    <row r="283" spans="3:11" x14ac:dyDescent="0.2">
      <c r="C283" s="87" t="s">
        <v>140</v>
      </c>
      <c r="D283" s="47">
        <f t="shared" si="17"/>
        <v>82.985772246735337</v>
      </c>
      <c r="E283" s="47">
        <f t="shared" si="17"/>
        <v>87.556408230655563</v>
      </c>
      <c r="F283" s="47">
        <f t="shared" si="17"/>
        <v>92.314811377628587</v>
      </c>
      <c r="G283" s="47">
        <f t="shared" si="17"/>
        <v>84.434894457952552</v>
      </c>
      <c r="H283" s="47">
        <f t="shared" si="17"/>
        <v>89.23717744144399</v>
      </c>
      <c r="I283" s="47">
        <f t="shared" si="17"/>
        <v>59.438364553867217</v>
      </c>
      <c r="J283" s="47">
        <f t="shared" si="17"/>
        <v>67.637582366749854</v>
      </c>
      <c r="K283" s="47">
        <f t="shared" si="17"/>
        <v>26.460217668914282</v>
      </c>
    </row>
    <row r="284" spans="3:11" x14ac:dyDescent="0.2">
      <c r="C284" s="88" t="s">
        <v>141</v>
      </c>
      <c r="D284" s="116">
        <f t="shared" si="17"/>
        <v>89.060831479345495</v>
      </c>
      <c r="E284" s="116">
        <f t="shared" si="17"/>
        <v>80.592075326566686</v>
      </c>
      <c r="F284" s="116">
        <f t="shared" si="17"/>
        <v>80.971529683047251</v>
      </c>
      <c r="G284" s="116">
        <f t="shared" si="17"/>
        <v>83.831910213534471</v>
      </c>
      <c r="H284" s="116">
        <f t="shared" si="17"/>
        <v>81.266250763529385</v>
      </c>
      <c r="I284" s="116">
        <f t="shared" si="17"/>
        <v>87.08715451895965</v>
      </c>
      <c r="J284" s="116">
        <f t="shared" si="17"/>
        <v>90.245230117867919</v>
      </c>
      <c r="K284" s="116">
        <f t="shared" si="17"/>
        <v>22.164889305448824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60.882014470550935</v>
      </c>
      <c r="E285" s="47">
        <f t="shared" si="18"/>
        <v>70.48713541587523</v>
      </c>
      <c r="F285" s="47">
        <f t="shared" si="18"/>
        <v>70.371445944171555</v>
      </c>
      <c r="G285" s="47">
        <f t="shared" si="18"/>
        <v>41.572986770482466</v>
      </c>
      <c r="H285" s="47">
        <f t="shared" si="18"/>
        <v>35.418689135024188</v>
      </c>
      <c r="I285" s="47">
        <f t="shared" si="18"/>
        <v>49.73918613263649</v>
      </c>
      <c r="J285" s="47">
        <f t="shared" si="18"/>
        <v>54.173459512347776</v>
      </c>
      <c r="K285" s="47">
        <f t="shared" si="18"/>
        <v>13.773176781106415</v>
      </c>
    </row>
    <row r="286" spans="3:11" x14ac:dyDescent="0.2">
      <c r="C286" s="88" t="s">
        <v>143</v>
      </c>
      <c r="D286" s="116">
        <f t="shared" si="18"/>
        <v>41.206148611583849</v>
      </c>
      <c r="E286" s="116">
        <f t="shared" si="18"/>
        <v>34.370510938020963</v>
      </c>
      <c r="F286" s="116">
        <f t="shared" si="18"/>
        <v>44.902127706189923</v>
      </c>
      <c r="G286" s="116">
        <f t="shared" si="18"/>
        <v>18.886195927218289</v>
      </c>
      <c r="H286" s="116">
        <f t="shared" si="18"/>
        <v>15.58755317159091</v>
      </c>
      <c r="I286" s="116">
        <f t="shared" si="18"/>
        <v>27.857750548037565</v>
      </c>
      <c r="J286" s="116">
        <f t="shared" si="18"/>
        <v>40.837185774493477</v>
      </c>
      <c r="K286" s="116">
        <f t="shared" si="18"/>
        <v>2.5575319617130141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88.005373536842242</v>
      </c>
      <c r="G287" s="47">
        <f t="shared" si="18"/>
        <v>88.57194836219206</v>
      </c>
      <c r="H287" s="47">
        <f t="shared" si="18"/>
        <v>83.137464576467195</v>
      </c>
      <c r="I287" s="47">
        <f t="shared" si="18"/>
        <v>84.858146214866693</v>
      </c>
      <c r="J287" s="47">
        <f t="shared" si="18"/>
        <v>85.640097163968321</v>
      </c>
      <c r="K287" s="47">
        <f t="shared" si="18"/>
        <v>22.051477218433206</v>
      </c>
    </row>
    <row r="288" spans="3:11" x14ac:dyDescent="0.2">
      <c r="C288" s="88" t="s">
        <v>145</v>
      </c>
      <c r="D288" s="116">
        <f t="shared" si="18"/>
        <v>91.26159541603208</v>
      </c>
      <c r="E288" s="116">
        <f t="shared" si="18"/>
        <v>88.399636504138883</v>
      </c>
      <c r="F288" s="116">
        <f t="shared" si="18"/>
        <v>84.753630940254283</v>
      </c>
      <c r="G288" s="116">
        <f t="shared" si="18"/>
        <v>92.424052998602363</v>
      </c>
      <c r="H288" s="116">
        <f t="shared" si="18"/>
        <v>77.222720302896718</v>
      </c>
      <c r="I288" s="116">
        <f t="shared" si="18"/>
        <v>57.37595040389585</v>
      </c>
      <c r="J288" s="116">
        <f t="shared" si="18"/>
        <v>73.316576982097104</v>
      </c>
      <c r="K288" s="116">
        <f t="shared" si="18"/>
        <v>9.5858754167624483</v>
      </c>
    </row>
    <row r="289" spans="1:11" x14ac:dyDescent="0.2">
      <c r="C289" s="87" t="s">
        <v>146</v>
      </c>
      <c r="D289" s="47">
        <f t="shared" si="18"/>
        <v>93.243794265616174</v>
      </c>
      <c r="E289" s="47">
        <f t="shared" si="18"/>
        <v>90.299727990165309</v>
      </c>
      <c r="F289" s="47">
        <f t="shared" si="18"/>
        <v>89.618497922148094</v>
      </c>
      <c r="G289" s="47">
        <f t="shared" si="18"/>
        <v>92.994781531997006</v>
      </c>
      <c r="H289" s="47">
        <f t="shared" si="18"/>
        <v>91.55331813370718</v>
      </c>
      <c r="I289" s="47">
        <f t="shared" si="18"/>
        <v>90.703893835404983</v>
      </c>
      <c r="J289" s="47">
        <f t="shared" si="18"/>
        <v>91.632460826619678</v>
      </c>
      <c r="K289" s="47">
        <f t="shared" si="18"/>
        <v>28.574188962339399</v>
      </c>
    </row>
    <row r="290" spans="1:11" x14ac:dyDescent="0.2">
      <c r="C290" s="88" t="s">
        <v>162</v>
      </c>
      <c r="D290" s="116">
        <f t="shared" si="18"/>
        <v>99.488855063623973</v>
      </c>
      <c r="E290" s="116">
        <f t="shared" si="18"/>
        <v>97.403949231997828</v>
      </c>
      <c r="F290" s="116">
        <f t="shared" si="18"/>
        <v>99.306089336504272</v>
      </c>
      <c r="G290" s="116">
        <f t="shared" si="18"/>
        <v>99.682541134119305</v>
      </c>
      <c r="H290" s="116">
        <f t="shared" si="18"/>
        <v>93.007536376175807</v>
      </c>
      <c r="I290" s="116">
        <f t="shared" si="18"/>
        <v>94.168167306985723</v>
      </c>
      <c r="J290" s="116">
        <f t="shared" si="18"/>
        <v>96.190903159232207</v>
      </c>
      <c r="K290" s="116">
        <f t="shared" si="18"/>
        <v>29.69639961664512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89.633545697331542</v>
      </c>
      <c r="F291" s="47">
        <f t="shared" si="18"/>
        <v>91.875416261447739</v>
      </c>
      <c r="G291" s="47">
        <f t="shared" si="18"/>
        <v>92.974864946467818</v>
      </c>
      <c r="H291" s="47">
        <f t="shared" si="18"/>
        <v>87.112211758977352</v>
      </c>
      <c r="I291" s="47">
        <f t="shared" si="18"/>
        <v>89.728544325785109</v>
      </c>
      <c r="J291" s="47">
        <f t="shared" si="18"/>
        <v>87.602363771359407</v>
      </c>
      <c r="K291" s="47">
        <f t="shared" si="18"/>
        <v>27.140769989491609</v>
      </c>
    </row>
    <row r="292" spans="1:11" x14ac:dyDescent="0.2">
      <c r="C292" s="88" t="s">
        <v>149</v>
      </c>
      <c r="D292" s="116">
        <f t="shared" si="18"/>
        <v>92.019397471399031</v>
      </c>
      <c r="E292" s="116">
        <f t="shared" si="18"/>
        <v>98.293560335660828</v>
      </c>
      <c r="F292" s="116">
        <f t="shared" si="18"/>
        <v>79.87647746033781</v>
      </c>
      <c r="G292" s="116">
        <f t="shared" si="18"/>
        <v>86.388256137977194</v>
      </c>
      <c r="H292" s="116">
        <f t="shared" si="18"/>
        <v>85.47168409563848</v>
      </c>
      <c r="I292" s="116">
        <f t="shared" si="18"/>
        <v>30.51760324986596</v>
      </c>
      <c r="J292" s="116">
        <f t="shared" si="18"/>
        <v>70.028700746961945</v>
      </c>
      <c r="K292" s="116">
        <f t="shared" si="18"/>
        <v>9.4775834343213656</v>
      </c>
    </row>
    <row r="293" spans="1:11" x14ac:dyDescent="0.2">
      <c r="C293" s="87" t="s">
        <v>163</v>
      </c>
      <c r="D293" s="47">
        <f t="shared" si="18"/>
        <v>81.609691877549878</v>
      </c>
      <c r="E293" s="47">
        <f t="shared" si="18"/>
        <v>86.226490269590713</v>
      </c>
      <c r="F293" s="47">
        <f t="shared" si="18"/>
        <v>93.409532615528121</v>
      </c>
      <c r="G293" s="47">
        <f t="shared" si="18"/>
        <v>63.291754868440606</v>
      </c>
      <c r="H293" s="47">
        <f t="shared" si="18"/>
        <v>76.347672102575913</v>
      </c>
      <c r="I293" s="47">
        <f t="shared" si="18"/>
        <v>80.004863756441765</v>
      </c>
      <c r="J293" s="47">
        <f t="shared" si="18"/>
        <v>85.106808076570402</v>
      </c>
      <c r="K293" s="47">
        <f t="shared" si="18"/>
        <v>16.333193108863185</v>
      </c>
    </row>
    <row r="294" spans="1:11" x14ac:dyDescent="0.2">
      <c r="C294" s="88" t="s">
        <v>150</v>
      </c>
      <c r="D294" s="116">
        <f t="shared" si="18"/>
        <v>78.656227105983092</v>
      </c>
      <c r="E294" s="116">
        <f t="shared" si="18"/>
        <v>82.444608697768302</v>
      </c>
      <c r="F294" s="116">
        <f t="shared" si="18"/>
        <v>83.262391211294926</v>
      </c>
      <c r="G294" s="116">
        <f t="shared" si="18"/>
        <v>79.16626590046539</v>
      </c>
      <c r="H294" s="116">
        <f t="shared" si="18"/>
        <v>87.006138308845209</v>
      </c>
      <c r="I294" s="116">
        <f t="shared" si="18"/>
        <v>36.340983467447593</v>
      </c>
      <c r="J294" s="116">
        <f t="shared" si="18"/>
        <v>32.381034689972964</v>
      </c>
      <c r="K294" s="116">
        <f t="shared" si="18"/>
        <v>10.859241908566334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76.009821318196529</v>
      </c>
      <c r="F295" s="47">
        <f t="shared" si="19"/>
        <v>77.472696795285572</v>
      </c>
      <c r="G295" s="47">
        <f t="shared" si="19"/>
        <v>80.267899161500168</v>
      </c>
      <c r="H295" s="47">
        <f t="shared" si="19"/>
        <v>62.527427561013859</v>
      </c>
      <c r="I295" s="47">
        <f t="shared" si="19"/>
        <v>58.735068306562823</v>
      </c>
      <c r="J295" s="47">
        <f t="shared" si="19"/>
        <v>69.589487400230723</v>
      </c>
      <c r="K295" s="47">
        <f t="shared" si="19"/>
        <v>21.409226705076012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90.696451317078115</v>
      </c>
      <c r="E296" s="74">
        <f t="shared" si="20"/>
        <v>83.47560454814581</v>
      </c>
      <c r="F296" s="74">
        <f t="shared" si="20"/>
        <v>90.667287366647003</v>
      </c>
      <c r="G296" s="74">
        <f t="shared" si="20"/>
        <v>86.827627899498609</v>
      </c>
      <c r="H296" s="74">
        <f t="shared" si="20"/>
        <v>86.062005013226511</v>
      </c>
      <c r="I296" s="74">
        <f t="shared" si="20"/>
        <v>81.736001662072653</v>
      </c>
      <c r="J296" s="74">
        <f t="shared" si="20"/>
        <v>86.5018490685096</v>
      </c>
      <c r="K296" s="74">
        <f t="shared" si="20"/>
        <v>23.577770013198119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abril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C180:C181"/>
    <mergeCell ref="E180:E181"/>
    <mergeCell ref="D52:K52"/>
    <mergeCell ref="G263:G264"/>
    <mergeCell ref="C55:C56"/>
    <mergeCell ref="I263:I264"/>
    <mergeCell ref="K263:K264"/>
    <mergeCell ref="I55:I56"/>
    <mergeCell ref="C96:C97"/>
    <mergeCell ref="D138:D139"/>
    <mergeCell ref="J96:J97"/>
    <mergeCell ref="G96:G97"/>
    <mergeCell ref="D94:K94"/>
    <mergeCell ref="C221:C222"/>
    <mergeCell ref="F138:F139"/>
    <mergeCell ref="H138:H139"/>
    <mergeCell ref="D6:K6"/>
    <mergeCell ref="F8:F9"/>
    <mergeCell ref="I180:I181"/>
    <mergeCell ref="D11:K11"/>
    <mergeCell ref="K180:K181"/>
    <mergeCell ref="K96:K97"/>
    <mergeCell ref="E96:E97"/>
    <mergeCell ref="D13:D14"/>
    <mergeCell ref="K8:K9"/>
    <mergeCell ref="J221:J222"/>
    <mergeCell ref="K138:K139"/>
    <mergeCell ref="H55:H56"/>
    <mergeCell ref="G180:G181"/>
    <mergeCell ref="G138:G139"/>
    <mergeCell ref="H263:H264"/>
    <mergeCell ref="I221:I222"/>
    <mergeCell ref="G55:G56"/>
    <mergeCell ref="I8:I9"/>
    <mergeCell ref="E8:E9"/>
    <mergeCell ref="G8:G9"/>
    <mergeCell ref="C263:C264"/>
    <mergeCell ref="E263:E264"/>
    <mergeCell ref="K221:K222"/>
    <mergeCell ref="K55:K56"/>
    <mergeCell ref="H221:H222"/>
    <mergeCell ref="E55:E56"/>
    <mergeCell ref="D136:K136"/>
    <mergeCell ref="C138:C139"/>
    <mergeCell ref="I96:I97"/>
    <mergeCell ref="D180:D181"/>
    <mergeCell ref="F180:F181"/>
    <mergeCell ref="F96:F97"/>
    <mergeCell ref="H96:H97"/>
    <mergeCell ref="D221:D222"/>
    <mergeCell ref="H180:H181"/>
    <mergeCell ref="J180:J181"/>
    <mergeCell ref="D2:K4"/>
    <mergeCell ref="A7:C8"/>
    <mergeCell ref="F13:F14"/>
    <mergeCell ref="H13:H14"/>
    <mergeCell ref="D8:D9"/>
    <mergeCell ref="H8:H9"/>
    <mergeCell ref="J8:J9"/>
    <mergeCell ref="E13:E14"/>
    <mergeCell ref="G13:G14"/>
    <mergeCell ref="J13:J14"/>
    <mergeCell ref="I13:I14"/>
    <mergeCell ref="A9:C9"/>
    <mergeCell ref="K13:K14"/>
    <mergeCell ref="C13:C14"/>
    <mergeCell ref="F221:F222"/>
    <mergeCell ref="F55:F56"/>
    <mergeCell ref="E221:E222"/>
    <mergeCell ref="D263:D264"/>
    <mergeCell ref="F263:F264"/>
    <mergeCell ref="D219:K219"/>
    <mergeCell ref="J55:J56"/>
    <mergeCell ref="G221:G222"/>
    <mergeCell ref="J138:J139"/>
    <mergeCell ref="D55:D56"/>
    <mergeCell ref="I138:I139"/>
    <mergeCell ref="D177:K177"/>
    <mergeCell ref="J263:J264"/>
    <mergeCell ref="D260:K260"/>
    <mergeCell ref="D96:D97"/>
    <mergeCell ref="E138:E139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V275"/>
  <sheetViews>
    <sheetView showGridLines="0" zoomScaleNormal="100" workbookViewId="0">
      <pane xSplit="3" ySplit="7" topLeftCell="D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15" customHeight="1" x14ac:dyDescent="0.25">
      <c r="A5" s="165" t="s">
        <v>23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55" t="s">
        <v>171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65">
        <f>47.13232725*Deflactores!$A$5</f>
        <v>175.50725848902579</v>
      </c>
      <c r="E13" s="56">
        <f>41.7194158*Deflactores!$B$5</f>
        <v>144.31358795947691</v>
      </c>
      <c r="F13" s="56">
        <f>39.163975848*Deflactores!$C$5</f>
        <v>126.62082010062289</v>
      </c>
      <c r="G13" s="56">
        <f>34.593856299*Deflactores!$D$5</f>
        <v>105.02747975535812</v>
      </c>
      <c r="H13" s="56">
        <f>53.453011*Deflactores!$E$5</f>
        <v>153.82825093436549</v>
      </c>
      <c r="I13" s="56">
        <f>46.1556*Deflactores!$F$5</f>
        <v>126.67721280086651</v>
      </c>
      <c r="J13" s="56">
        <f>66.3650101*Deflactores!$G$5</f>
        <v>174.33662229381741</v>
      </c>
      <c r="K13" s="56">
        <f>62.6792*Deflactores!$H$5</f>
        <v>155.7832206165703</v>
      </c>
      <c r="L13" s="56">
        <f>64.767145*Deflactores!$I$5</f>
        <v>149.49946610171651</v>
      </c>
      <c r="M13" s="56">
        <f>70.8732*Deflactores!$J$5</f>
        <v>160.38326878874943</v>
      </c>
      <c r="N13" s="56">
        <f>86.20832*Deflactores!$K$5</f>
        <v>189.08959206167467</v>
      </c>
      <c r="O13" s="56">
        <f>60.64074*Deflactores!$L$5</f>
        <v>128.23082494448661</v>
      </c>
      <c r="P13" s="56">
        <f>51.109186*Deflactores!$M$5</f>
        <v>105.50118512024962</v>
      </c>
      <c r="Q13" s="56">
        <f>74.415591556*Deflactores!$N$5</f>
        <v>150.68765806272273</v>
      </c>
      <c r="R13" s="56">
        <f>102.812596999*Deflactores!$O$5</f>
        <v>200.83937891348941</v>
      </c>
      <c r="S13" s="56">
        <f>81.447877246*Deflactores!$P$5</f>
        <v>149.016056928317</v>
      </c>
      <c r="T13" s="56">
        <f>49.001099778*Deflactores!$Q$5</f>
        <v>84.777137582667009</v>
      </c>
      <c r="U13" s="56">
        <f>53.215511664*Deflactores!$R$5</f>
        <v>88.450879418276912</v>
      </c>
      <c r="V13" s="56">
        <f>69.0091*Deflactores!$S$5</f>
        <v>111.16671002906561</v>
      </c>
    </row>
    <row r="14" spans="1:22" x14ac:dyDescent="0.2">
      <c r="C14" s="88" t="s">
        <v>124</v>
      </c>
      <c r="D14" s="57">
        <f>5.7083*Deflactores!$A$5</f>
        <v>21.256070771105538</v>
      </c>
      <c r="E14" s="57">
        <f>3.08*Deflactores!$B$5</f>
        <v>10.654172461235396</v>
      </c>
      <c r="F14" s="57">
        <f>8.724*Deflactores!$C$5</f>
        <v>28.205513118613702</v>
      </c>
      <c r="G14" s="57">
        <f>10.92674909*Deflactores!$D$5</f>
        <v>33.173778283718732</v>
      </c>
      <c r="H14" s="57">
        <f>14.9951*Deflactores!$E$5</f>
        <v>43.15322864760423</v>
      </c>
      <c r="I14" s="57">
        <f>11.939*Deflactores!$F$5</f>
        <v>32.767405117245694</v>
      </c>
      <c r="J14" s="57">
        <f>14.61965052*Deflactores!$G$5</f>
        <v>38.404883641731729</v>
      </c>
      <c r="K14" s="57">
        <f>24.214802963*Deflactores!$H$5</f>
        <v>60.183601452663872</v>
      </c>
      <c r="L14" s="57">
        <f>22.269*Deflactores!$I$5</f>
        <v>51.40266118908167</v>
      </c>
      <c r="M14" s="57">
        <f>25.026*Deflactores!$J$5</f>
        <v>56.63285536291918</v>
      </c>
      <c r="N14" s="57">
        <f>29.688*Deflactores!$K$5</f>
        <v>65.11774976158911</v>
      </c>
      <c r="O14" s="57">
        <f>43.024*Deflactores!$L$5</f>
        <v>90.978490902511936</v>
      </c>
      <c r="P14" s="57">
        <f>44.72*Deflactores!$M$5</f>
        <v>92.312426939798314</v>
      </c>
      <c r="Q14" s="57">
        <f>67.63089*Deflactores!$N$5</f>
        <v>136.94899433982823</v>
      </c>
      <c r="R14" s="57">
        <f>69.230536985*Deflactores!$O$5</f>
        <v>135.23846742291701</v>
      </c>
      <c r="S14" s="57">
        <f>73.351619728*Deflactores!$P$5</f>
        <v>134.20324151798224</v>
      </c>
      <c r="T14" s="57">
        <f>86.163965279*Deflactores!$Q$5</f>
        <v>149.07286514425397</v>
      </c>
      <c r="U14" s="57">
        <f>95.908847712*Deflactores!$R$5</f>
        <v>159.41257837907531</v>
      </c>
      <c r="V14" s="57">
        <f>114.086296021*Deflactores!$S$5</f>
        <v>183.78153298705021</v>
      </c>
    </row>
    <row r="15" spans="1:22" x14ac:dyDescent="0.2">
      <c r="C15" s="87" t="s">
        <v>125</v>
      </c>
      <c r="D15" s="56">
        <f>6.51953034*Deflactores!$A$5</f>
        <v>24.276859713296382</v>
      </c>
      <c r="E15" s="56">
        <f>8.289389762*Deflactores!$B$5</f>
        <v>28.674216922969816</v>
      </c>
      <c r="F15" s="56">
        <f>22.628998285*Deflactores!$C$5</f>
        <v>73.161681337534901</v>
      </c>
      <c r="G15" s="56">
        <f>27.921695724*Deflactores!$D$5</f>
        <v>84.770697636055388</v>
      </c>
      <c r="H15" s="56">
        <f>28.40411311*Deflactores!$E$5</f>
        <v>81.741981551856455</v>
      </c>
      <c r="I15" s="56">
        <f>41.957055098*Deflactores!$F$5</f>
        <v>115.15401808549834</v>
      </c>
      <c r="J15" s="56">
        <f>47.810207978*Deflactores!$G$5</f>
        <v>125.59434794766108</v>
      </c>
      <c r="K15" s="56">
        <f>57.321019563*Deflactores!$H$5</f>
        <v>142.46597015516426</v>
      </c>
      <c r="L15" s="56">
        <f>63.887834553*Deflactores!$I$5</f>
        <v>147.4697882092579</v>
      </c>
      <c r="M15" s="56">
        <f>50.037724616*Deflactores!$J$5</f>
        <v>113.23340609236429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37.509182959*Deflactores!$A$5</f>
        <v>139.6734312392218</v>
      </c>
      <c r="E16" s="57">
        <f>40.249514*Deflactores!$B$5</f>
        <v>139.22898170029495</v>
      </c>
      <c r="F16" s="57">
        <f>47.464169*Deflactores!$C$5</f>
        <v>153.45612579018771</v>
      </c>
      <c r="G16" s="57">
        <f>41.151530816*Deflactores!$D$5</f>
        <v>124.93668044184979</v>
      </c>
      <c r="H16" s="57">
        <f>45.8717*Deflactores!$E$5</f>
        <v>132.01058736215876</v>
      </c>
      <c r="I16" s="57">
        <f>52.7931*Deflactores!$F$5</f>
        <v>144.8942872179633</v>
      </c>
      <c r="J16" s="57">
        <f>56.55579*Deflactores!$G$5</f>
        <v>148.56843063689152</v>
      </c>
      <c r="K16" s="57">
        <f>61.108470825*Deflactores!$H$5</f>
        <v>151.87932188145709</v>
      </c>
      <c r="L16" s="57">
        <f>96.104493985*Deflactores!$I$5</f>
        <v>221.83424235749663</v>
      </c>
      <c r="M16" s="57">
        <f>104.968055568*Deflactores!$J$5</f>
        <v>237.53858821663098</v>
      </c>
      <c r="N16" s="57">
        <f>119.27942231*Deflactores!$K$5</f>
        <v>261.62784874998277</v>
      </c>
      <c r="O16" s="57">
        <f>127.3858376*Deflactores!$L$5</f>
        <v>269.36991602827408</v>
      </c>
      <c r="P16" s="57">
        <f>154.225588*Deflactores!$M$5</f>
        <v>318.35729705942384</v>
      </c>
      <c r="Q16" s="57">
        <f>204.927796704*Deflactores!$N$5</f>
        <v>414.96800753161119</v>
      </c>
      <c r="R16" s="57">
        <f>226.121837304*Deflactores!$O$5</f>
        <v>441.7179478829251</v>
      </c>
      <c r="S16" s="57">
        <f>260.212460657*Deflactores!$P$5</f>
        <v>476.08158937776716</v>
      </c>
      <c r="T16" s="57">
        <f>268.375956059*Deflactores!$Q$5</f>
        <v>464.31907556712963</v>
      </c>
      <c r="U16" s="57">
        <f>305.415361784*Deflactores!$R$5</f>
        <v>507.63877848648036</v>
      </c>
      <c r="V16" s="57">
        <f>320.762714026*Deflactores!$S$5</f>
        <v>516.71642751846412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0.756677303*Deflactores!$A$5</f>
        <v>2.817649090527349</v>
      </c>
      <c r="E18" s="57">
        <f>0.81586548*Deflactores!$B$5</f>
        <v>2.8221985484053889</v>
      </c>
      <c r="F18" s="57">
        <f>0.86711624*Deflactores!$C$5</f>
        <v>2.8034684184643495</v>
      </c>
      <c r="G18" s="57">
        <f>1.078646305*Deflactores!$D$5</f>
        <v>3.274786770876831</v>
      </c>
      <c r="H18" s="57">
        <f>1.260701999*Deflactores!$E$5</f>
        <v>3.6280759460983063</v>
      </c>
      <c r="I18" s="57">
        <f>1.085898614*Deflactores!$F$5</f>
        <v>2.9803232935081332</v>
      </c>
      <c r="J18" s="57">
        <f>9.089632508*Deflactores!$G$5</f>
        <v>23.877881235142009</v>
      </c>
      <c r="K18" s="57">
        <f>8.086648111*Deflactores!$H$5</f>
        <v>20.098598685440859</v>
      </c>
      <c r="L18" s="57">
        <f>5.085535945*Deflactores!$I$5</f>
        <v>11.738743596287723</v>
      </c>
      <c r="M18" s="57">
        <f>14.378676172*Deflactores!$J$5</f>
        <v>32.538379603577418</v>
      </c>
      <c r="N18" s="57">
        <f>8.666266233*Deflactores!$K$5</f>
        <v>19.008614791424261</v>
      </c>
      <c r="O18" s="57">
        <f>10.529859609*Deflactores!$L$5</f>
        <v>22.266426567546823</v>
      </c>
      <c r="P18" s="57">
        <f>10.90336576*Deflactores!$M$5</f>
        <v>22.507069658271433</v>
      </c>
      <c r="Q18" s="57">
        <f>11.062447476*Deflactores!$N$5</f>
        <v>22.400874168229503</v>
      </c>
      <c r="R18" s="57">
        <f>11.531177149*Deflactores!$O$5</f>
        <v>22.525590485464608</v>
      </c>
      <c r="S18" s="57">
        <f>17.316053343*Deflactores!$P$5</f>
        <v>31.681242998398545</v>
      </c>
      <c r="T18" s="57">
        <f>19.532383844*Deflactores!$Q$5</f>
        <v>33.793110766132216</v>
      </c>
      <c r="U18" s="57">
        <f>12.722409058*Deflactores!$R$5</f>
        <v>21.146245414387643</v>
      </c>
      <c r="V18" s="57">
        <f>13.97876507*Deflactores!$S$5</f>
        <v>22.518382693023398</v>
      </c>
    </row>
    <row r="19" spans="3:22" x14ac:dyDescent="0.2">
      <c r="C19" s="87" t="s">
        <v>129</v>
      </c>
      <c r="D19" s="56">
        <f>684.50313969995*Deflactores!$A$5</f>
        <v>2548.8932222388585</v>
      </c>
      <c r="E19" s="56">
        <f>808.9334368325*Deflactores!$B$5</f>
        <v>2798.2195927510788</v>
      </c>
      <c r="F19" s="56">
        <f>897.24021367584*Deflactores!$C$5</f>
        <v>2900.8620606810709</v>
      </c>
      <c r="G19" s="56">
        <f>1014.93327960091*Deflactores!$D$5</f>
        <v>3081.3530458992268</v>
      </c>
      <c r="H19" s="56">
        <f>1006.19326287045*Deflactores!$E$5</f>
        <v>2895.6451064899516</v>
      </c>
      <c r="I19" s="56">
        <f>1183.25786151562*Deflactores!$F$5</f>
        <v>3247.5324320670179</v>
      </c>
      <c r="J19" s="56">
        <f>1112.50100325516*Deflactores!$G$5</f>
        <v>2922.4687363678672</v>
      </c>
      <c r="K19" s="56">
        <f>1160.5570855953*Deflactores!$H$5</f>
        <v>2884.4548191970616</v>
      </c>
      <c r="L19" s="56">
        <f>1216.39300141556*Deflactores!$I$5</f>
        <v>2807.7523608843762</v>
      </c>
      <c r="M19" s="56">
        <f>1505.16024526132*Deflactores!$J$5</f>
        <v>3406.118535439155</v>
      </c>
      <c r="N19" s="56">
        <f>1748.06901214518*Deflactores!$K$5</f>
        <v>3834.2199036263173</v>
      </c>
      <c r="O19" s="56">
        <f>1938.32990183348*Deflactores!$L$5</f>
        <v>4098.7897299187462</v>
      </c>
      <c r="P19" s="56">
        <f>2057.976673274*Deflactores!$M$5</f>
        <v>4248.1400110781597</v>
      </c>
      <c r="Q19" s="56">
        <f>2116.06660458*Deflactores!$N$5</f>
        <v>4284.9235527334622</v>
      </c>
      <c r="R19" s="56">
        <f>1978.82119289*Deflactores!$O$5</f>
        <v>3865.5304015396418</v>
      </c>
      <c r="S19" s="56">
        <f>2218.30455934*Deflactores!$P$5</f>
        <v>4058.5833501902457</v>
      </c>
      <c r="T19" s="56">
        <f>2244.724298102*Deflactores!$Q$5</f>
        <v>3883.612847824048</v>
      </c>
      <c r="U19" s="56">
        <f>2200.16931894014*Deflactores!$R$5</f>
        <v>3656.9583763114933</v>
      </c>
      <c r="V19" s="56">
        <f>2064.28885827362*Deflactores!$S$5</f>
        <v>3325.3614512279455</v>
      </c>
    </row>
    <row r="20" spans="3:22" x14ac:dyDescent="0.2">
      <c r="C20" s="88" t="s">
        <v>130</v>
      </c>
      <c r="D20" s="57">
        <f>9.058604*Deflactores!$A$5</f>
        <v>33.731641243701226</v>
      </c>
      <c r="E20" s="57">
        <f>13.76501*Deflactores!$B$5</f>
        <v>47.615191711243448</v>
      </c>
      <c r="F20" s="57">
        <f>16.794455041*Deflactores!$C$5</f>
        <v>54.298053871950188</v>
      </c>
      <c r="G20" s="57">
        <f>13.8599082465*Deflactores!$D$5</f>
        <v>42.078894592982358</v>
      </c>
      <c r="H20" s="57">
        <f>15.130305787*Deflactores!$E$5</f>
        <v>43.542326835738365</v>
      </c>
      <c r="I20" s="57">
        <f>13.696129999*Deflactores!$F$5</f>
        <v>37.589969027196148</v>
      </c>
      <c r="J20" s="57">
        <f>23.2497*Deflactores!$G$5</f>
        <v>61.075469757889273</v>
      </c>
      <c r="K20" s="57">
        <f>18.5912115*Deflactores!$H$5</f>
        <v>46.206697000501265</v>
      </c>
      <c r="L20" s="57">
        <f>19.071320382*Deflactores!$I$5</f>
        <v>44.021582469997469</v>
      </c>
      <c r="M20" s="57">
        <f>18.782063339*Deflactores!$J$5</f>
        <v>42.503071865051304</v>
      </c>
      <c r="N20" s="57">
        <f>3.727228289*Deflactores!$K$5</f>
        <v>8.1753138987947302</v>
      </c>
      <c r="O20" s="57">
        <f>6.428307502*Deflactores!$L$5</f>
        <v>13.59329015408275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148.687854223*Deflactores!$A$5</f>
        <v>553.6708918886377</v>
      </c>
      <c r="E21" s="56">
        <f>162.32244434*Deflactores!$B$5</f>
        <v>561.49718062585816</v>
      </c>
      <c r="F21" s="56">
        <f>212.741252394*Deflactores!$C$5</f>
        <v>687.81249258015544</v>
      </c>
      <c r="G21" s="56">
        <f>213.429636381*Deflactores!$D$5</f>
        <v>647.97565846531245</v>
      </c>
      <c r="H21" s="56">
        <f>231.428864866*Deflactores!$E$5</f>
        <v>666.01107836679967</v>
      </c>
      <c r="I21" s="56">
        <f>205.281762353*Deflactores!$F$5</f>
        <v>563.40988945497168</v>
      </c>
      <c r="J21" s="56">
        <f>255.615866221*Deflactores!$G$5</f>
        <v>671.48647539612796</v>
      </c>
      <c r="K21" s="56">
        <f>68.866642913*Deflactores!$H$5</f>
        <v>171.16152449358717</v>
      </c>
      <c r="L21" s="56">
        <f>49.808943268*Deflactores!$I$5</f>
        <v>114.97203444210312</v>
      </c>
      <c r="M21" s="56">
        <f>63.401565141*Deflactores!$J$5</f>
        <v>143.47525247394515</v>
      </c>
      <c r="N21" s="56">
        <f>13.088186205*Deflactores!$K$5</f>
        <v>28.707667546829445</v>
      </c>
      <c r="O21" s="56">
        <f>11.655320463*Deflactores!$L$5</f>
        <v>24.646324533025911</v>
      </c>
      <c r="P21" s="56">
        <f>17.046648133*Deflactores!$M$5</f>
        <v>35.188225857468964</v>
      </c>
      <c r="Q21" s="56">
        <f>27.7168870689999*Deflactores!$N$5</f>
        <v>56.125238191159774</v>
      </c>
      <c r="R21" s="56">
        <f>20.234970404*Deflactores!$O$5</f>
        <v>39.528024842245038</v>
      </c>
      <c r="S21" s="56">
        <f>21.90654796*Deflactores!$P$5</f>
        <v>40.079956756277355</v>
      </c>
      <c r="T21" s="56">
        <f>25.887492612*Deflactores!$Q$5</f>
        <v>44.78812787428781</v>
      </c>
      <c r="U21" s="56">
        <f>28.985124678*Deflactores!$R$5</f>
        <v>48.176926006179322</v>
      </c>
      <c r="V21" s="56">
        <f>24.242894007*Deflactores!$S$5</f>
        <v>39.052860685642059</v>
      </c>
    </row>
    <row r="22" spans="3:22" x14ac:dyDescent="0.2">
      <c r="C22" s="88" t="s">
        <v>132</v>
      </c>
      <c r="D22" s="57">
        <f>35.150291*Deflactores!$A$5</f>
        <v>130.88959464655923</v>
      </c>
      <c r="E22" s="57">
        <f>46.396604061*Deflactores!$B$5</f>
        <v>160.492669247256</v>
      </c>
      <c r="F22" s="57">
        <f>48.16994312*Deflactores!$C$5</f>
        <v>155.73795994888076</v>
      </c>
      <c r="G22" s="57">
        <f>33.85338692584*Deflactores!$D$5</f>
        <v>102.77940335049449</v>
      </c>
      <c r="H22" s="57">
        <f>40.71061*Deflactores!$E$5</f>
        <v>117.15788902464426</v>
      </c>
      <c r="I22" s="57">
        <f>34.829881856*Deflactores!$F$5</f>
        <v>95.59300183946371</v>
      </c>
      <c r="J22" s="57">
        <f>63.265135*Deflactores!$G$5</f>
        <v>166.19344935295004</v>
      </c>
      <c r="K22" s="57">
        <f>109.7593085*Deflactores!$H$5</f>
        <v>272.79637536499672</v>
      </c>
      <c r="L22" s="57">
        <f>101.637882*Deflactores!$I$5</f>
        <v>234.60674536000101</v>
      </c>
      <c r="M22" s="57">
        <f>151.187094*Deflactores!$J$5</f>
        <v>342.13045741397212</v>
      </c>
      <c r="N22" s="57">
        <f>140.65824*Deflactores!$K$5</f>
        <v>308.52021268612043</v>
      </c>
      <c r="O22" s="57">
        <f>148.524437*Deflactores!$L$5</f>
        <v>314.06956908714227</v>
      </c>
      <c r="P22" s="57">
        <f>157.10499*Deflactores!$M$5</f>
        <v>324.3010489993905</v>
      </c>
      <c r="Q22" s="57">
        <f>196.790672*Deflactores!$N$5</f>
        <v>398.49075808197995</v>
      </c>
      <c r="R22" s="57">
        <f>207.7665075*Deflactores!$O$5</f>
        <v>405.86170900566492</v>
      </c>
      <c r="S22" s="57">
        <f>232.154592923*Deflactores!$P$5</f>
        <v>424.74725192279965</v>
      </c>
      <c r="T22" s="57">
        <f>257.444383543*Deflactores!$Q$5</f>
        <v>445.40628725457196</v>
      </c>
      <c r="U22" s="57">
        <f>324.209314048*Deflactores!$R$5</f>
        <v>538.87669302523091</v>
      </c>
      <c r="V22" s="57">
        <f>414.103954892*Deflactores!$S$5</f>
        <v>667.07976593475678</v>
      </c>
    </row>
    <row r="23" spans="3:22" x14ac:dyDescent="0.2">
      <c r="C23" s="87" t="s">
        <v>133</v>
      </c>
      <c r="D23" s="56">
        <f>0.225556897*Deflactores!$A$5</f>
        <v>0.83990914379814685</v>
      </c>
      <c r="E23" s="56">
        <f>0.335156211*Deflactores!$B$5</f>
        <v>1.1593545693013634</v>
      </c>
      <c r="F23" s="56">
        <f>0.3006264*Deflactores!$C$5</f>
        <v>0.97195344669894657</v>
      </c>
      <c r="G23" s="56">
        <f>0.2164611*Deflactores!$D$5</f>
        <v>0.65717922863458633</v>
      </c>
      <c r="H23" s="56">
        <f>1.3211976*Deflactores!$E$5</f>
        <v>3.8021715174601005</v>
      </c>
      <c r="I23" s="56">
        <f>2.838476492*Deflactores!$F$5</f>
        <v>7.7903935948691174</v>
      </c>
      <c r="J23" s="56">
        <f>6.14*Deflactores!$G$5</f>
        <v>16.129385941041825</v>
      </c>
      <c r="K23" s="56">
        <f>2.01262288*Deflactores!$H$5</f>
        <v>5.002183724951772</v>
      </c>
      <c r="L23" s="56">
        <f>5.259*Deflactores!$I$5</f>
        <v>12.139143885822467</v>
      </c>
      <c r="M23" s="56">
        <f>4.791234*Deflactores!$J$5</f>
        <v>10.84237441588351</v>
      </c>
      <c r="N23" s="56">
        <f>4.177927349*Deflactores!$K$5</f>
        <v>9.1638785918310894</v>
      </c>
      <c r="O23" s="56">
        <f>6.594619169*Deflactores!$L$5</f>
        <v>13.944972575130098</v>
      </c>
      <c r="P23" s="56">
        <f>6.213502078*Deflactores!$M$5</f>
        <v>12.826105917165922</v>
      </c>
      <c r="Q23" s="56">
        <f>6.205*Deflactores!$N$5</f>
        <v>12.564798568799468</v>
      </c>
      <c r="R23" s="56">
        <f>4.723843*Deflactores!$O$5</f>
        <v>9.2277962224226506</v>
      </c>
      <c r="S23" s="56">
        <f>8.071323648*Deflactores!$P$5</f>
        <v>14.76719670157282</v>
      </c>
      <c r="T23" s="56">
        <f>10.167031601*Deflactores!$Q$5</f>
        <v>17.590050850905218</v>
      </c>
      <c r="U23" s="56">
        <f>8.975452402*Deflactores!$R$5</f>
        <v>14.918331766616198</v>
      </c>
      <c r="V23" s="56">
        <f>30.778*Deflactores!$S$5</f>
        <v>49.580258274265006</v>
      </c>
    </row>
    <row r="24" spans="3:22" x14ac:dyDescent="0.2">
      <c r="C24" s="88" t="s">
        <v>134</v>
      </c>
      <c r="D24" s="57">
        <f>132.429589128*Deflactores!$A$5</f>
        <v>493.1297792150371</v>
      </c>
      <c r="E24" s="57">
        <f>123.413481652*Deflactores!$B$5</f>
        <v>426.90536284477861</v>
      </c>
      <c r="F24" s="57">
        <f>134.10720528*Deflactores!$C$5</f>
        <v>433.58121708226275</v>
      </c>
      <c r="G24" s="57">
        <f>120.390481133539*Deflactores!$D$5</f>
        <v>365.50735225075493</v>
      </c>
      <c r="H24" s="57">
        <f>132.380654737*Deflactores!$E$5</f>
        <v>380.96796035940486</v>
      </c>
      <c r="I24" s="57">
        <f>140.81279672802*Deflactores!$F$5</f>
        <v>386.47038747628778</v>
      </c>
      <c r="J24" s="57">
        <f>128.009593717019*Deflactores!$G$5</f>
        <v>336.27298716901663</v>
      </c>
      <c r="K24" s="57">
        <f>163.159364726999*Deflactores!$H$5</f>
        <v>405.51716216744222</v>
      </c>
      <c r="L24" s="57">
        <f>161.894066485*Deflactores!$I$5</f>
        <v>373.69373784413835</v>
      </c>
      <c r="M24" s="57">
        <f>172.642731243*Deflactores!$J$5</f>
        <v>390.68372204683715</v>
      </c>
      <c r="N24" s="57">
        <f>177.480546826*Deflactores!$K$5</f>
        <v>389.28637280266321</v>
      </c>
      <c r="O24" s="57">
        <f>185.267227474*Deflactores!$L$5</f>
        <v>391.76582301220066</v>
      </c>
      <c r="P24" s="57">
        <f>186.094570726*Deflactores!$M$5</f>
        <v>384.1422509847273</v>
      </c>
      <c r="Q24" s="57">
        <f>219.241099406*Deflactores!$N$5</f>
        <v>443.95169251225309</v>
      </c>
      <c r="R24" s="57">
        <f>224.6975625*Deflactores!$O$5</f>
        <v>438.93569672511927</v>
      </c>
      <c r="S24" s="57">
        <f>233.97657284*Deflactores!$P$5</f>
        <v>428.08072447253699</v>
      </c>
      <c r="T24" s="57">
        <f>214.688909586*Deflactores!$Q$5</f>
        <v>371.4347495852868</v>
      </c>
      <c r="U24" s="57">
        <f>232.179862889*Deflactores!$R$5</f>
        <v>385.91216007493256</v>
      </c>
      <c r="V24" s="57">
        <f>251.914611725*Deflactores!$S$5</f>
        <v>405.80906856802545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1109.934565231*Deflactores!$A$5</f>
        <v>4133.0777411569807</v>
      </c>
      <c r="E26" s="57">
        <f>1154.053585196*Deflactores!$B$5</f>
        <v>3992.040885125065</v>
      </c>
      <c r="F26" s="57">
        <f>1139.911253016*Deflactores!$C$5</f>
        <v>3685.4403715036874</v>
      </c>
      <c r="G26" s="57">
        <f>1160.286576072*Deflactores!$D$5</f>
        <v>3522.6478894270713</v>
      </c>
      <c r="H26" s="57">
        <f>1204.12625616*Deflactores!$E$5</f>
        <v>3465.2610287798102</v>
      </c>
      <c r="I26" s="57">
        <f>1313.54092530493*Deflactores!$F$5</f>
        <v>3605.1032446225313</v>
      </c>
      <c r="J26" s="57">
        <f>1721.175682426*Deflactores!$G$5</f>
        <v>4521.4180544275241</v>
      </c>
      <c r="K26" s="57">
        <f>2342.250543466*Deflactores!$H$5</f>
        <v>5821.4420916675008</v>
      </c>
      <c r="L26" s="57">
        <f>2890.925004623*Deflactores!$I$5</f>
        <v>6673.0090500552533</v>
      </c>
      <c r="M26" s="57">
        <f>3703.735331799*Deflactores!$J$5</f>
        <v>8381.4076299970529</v>
      </c>
      <c r="N26" s="57">
        <f>3135.554449915*Deflactores!$K$5</f>
        <v>6877.5346952776263</v>
      </c>
      <c r="O26" s="57">
        <f>3428.590810724*Deflactores!$L$5</f>
        <v>7250.0933869907376</v>
      </c>
      <c r="P26" s="57">
        <f>3263.887211278*Deflactores!$M$5</f>
        <v>6737.4183750188386</v>
      </c>
      <c r="Q26" s="57">
        <f>3744.054541846*Deflactores!$N$5</f>
        <v>7581.5134808853782</v>
      </c>
      <c r="R26" s="57">
        <f>1562.687347583*Deflactores!$O$5</f>
        <v>3052.6332909146386</v>
      </c>
      <c r="S26" s="57">
        <f>1664.499803037*Deflactores!$P$5</f>
        <v>3045.3488266781733</v>
      </c>
      <c r="T26" s="57">
        <f>2696.164742321*Deflactores!$Q$5</f>
        <v>4664.6530453568676</v>
      </c>
      <c r="U26" s="57">
        <f>2882.593462787*Deflactores!$R$5</f>
        <v>4791.2332103229719</v>
      </c>
      <c r="V26" s="57">
        <f>2987.183218478*Deflactores!$S$5</f>
        <v>4812.051318626598</v>
      </c>
    </row>
    <row r="27" spans="3:22" x14ac:dyDescent="0.2">
      <c r="C27" s="87" t="s">
        <v>137</v>
      </c>
      <c r="D27" s="56">
        <f>17.710440261*Deflactores!$A$5</f>
        <v>65.948596180167954</v>
      </c>
      <c r="E27" s="56">
        <f>22.556995946*Deflactores!$B$5</f>
        <v>78.027962667555727</v>
      </c>
      <c r="F27" s="56">
        <f>25.139433335*Deflactores!$C$5</f>
        <v>81.278154140859357</v>
      </c>
      <c r="G27" s="56">
        <f>29.0175576287799*Deflactores!$D$5</f>
        <v>88.097751232629022</v>
      </c>
      <c r="H27" s="56">
        <f>34.491713625*Deflactores!$E$5</f>
        <v>99.261012231149579</v>
      </c>
      <c r="I27" s="56">
        <f>82.653571105*Deflactores!$F$5</f>
        <v>226.84840009922166</v>
      </c>
      <c r="J27" s="56">
        <f>56.174831452*Deflactores!$G$5</f>
        <v>147.56767698082786</v>
      </c>
      <c r="K27" s="56">
        <f>37.058533538*Deflactores!$H$5</f>
        <v>92.105478466170965</v>
      </c>
      <c r="L27" s="56">
        <f>60.73508273232*Deflactores!$I$5</f>
        <v>140.19241456645065</v>
      </c>
      <c r="M27" s="56">
        <f>62.60635798*Deflactores!$J$5</f>
        <v>141.67572989213141</v>
      </c>
      <c r="N27" s="56">
        <f>70.7671043*Deflactores!$K$5</f>
        <v>155.22078244272691</v>
      </c>
      <c r="O27" s="56">
        <f>60.974123029*Deflactores!$L$5</f>
        <v>128.93579623657772</v>
      </c>
      <c r="P27" s="56">
        <f>57.998927334*Deflactores!$M$5</f>
        <v>119.7232053243861</v>
      </c>
      <c r="Q27" s="56">
        <f>61.1504*Deflactores!$N$5</f>
        <v>123.82634301394278</v>
      </c>
      <c r="R27" s="56">
        <f>65.421461075*Deflactores!$O$5</f>
        <v>127.7976239627895</v>
      </c>
      <c r="S27" s="56">
        <f>50.701177921*Deflactores!$P$5</f>
        <v>92.762265523372051</v>
      </c>
      <c r="T27" s="56">
        <f>43.59246783177*Deflactores!$Q$5</f>
        <v>75.419626491754443</v>
      </c>
      <c r="U27" s="56">
        <f>70.297016282*Deflactores!$R$5</f>
        <v>116.8424903979672</v>
      </c>
      <c r="V27" s="56">
        <f>56.886194231*Deflactores!$S$5</f>
        <v>91.637929761939816</v>
      </c>
    </row>
    <row r="28" spans="3:22" x14ac:dyDescent="0.2">
      <c r="C28" s="88" t="s">
        <v>138</v>
      </c>
      <c r="D28" s="57">
        <f>14.836020194*Deflactores!$A$5</f>
        <v>55.245080883137689</v>
      </c>
      <c r="E28" s="57">
        <f>17.516699*Deflactores!$B$5</f>
        <v>60.592835096607004</v>
      </c>
      <c r="F28" s="57">
        <f>19.89331668*Deflactores!$C$5</f>
        <v>64.316965221283439</v>
      </c>
      <c r="G28" s="57">
        <f>31.3052490205999*Deflactores!$D$5</f>
        <v>95.043217481438845</v>
      </c>
      <c r="H28" s="57">
        <f>59.096393*Deflactores!$E$5</f>
        <v>170.0688997991129</v>
      </c>
      <c r="I28" s="57">
        <f>39.186800051*Deflactores!$F$5</f>
        <v>107.55086292986189</v>
      </c>
      <c r="J28" s="57">
        <f>67.426603*Deflactores!$G$5</f>
        <v>177.12535871016428</v>
      </c>
      <c r="K28" s="57">
        <f>74.504*Deflactores!$H$5</f>
        <v>185.17264210163745</v>
      </c>
      <c r="L28" s="57">
        <f>102.451176236*Deflactores!$I$5</f>
        <v>236.48404061619306</v>
      </c>
      <c r="M28" s="57">
        <f>112.59505803*Deflactores!$J$5</f>
        <v>254.79819531657006</v>
      </c>
      <c r="N28" s="57">
        <f>110.662352326*Deflactores!$K$5</f>
        <v>242.72714116118556</v>
      </c>
      <c r="O28" s="57">
        <f>84.831953*Deflactores!$L$5</f>
        <v>179.38553050048392</v>
      </c>
      <c r="P28" s="57">
        <f>30.347235*Deflactores!$M$5</f>
        <v>62.643714529570445</v>
      </c>
      <c r="Q28" s="57">
        <f>25.362461*Deflactores!$N$5</f>
        <v>51.357649262535425</v>
      </c>
      <c r="R28" s="57">
        <f>53.7835*Deflactores!$O$5</f>
        <v>105.06343630147501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204.209931554*Deflactores!$A$5</f>
        <v>760.41917160528374</v>
      </c>
      <c r="E29" s="56">
        <f>235.912327699*Deflactores!$B$5</f>
        <v>816.05539773916428</v>
      </c>
      <c r="F29" s="56">
        <f>198.38415855*Deflactores!$C$5</f>
        <v>641.39465686693779</v>
      </c>
      <c r="G29" s="56">
        <f>203.78504172315*Deflactores!$D$5</f>
        <v>618.69452075632398</v>
      </c>
      <c r="H29" s="56">
        <f>288.119494081*Deflactores!$E$5</f>
        <v>829.15661822258244</v>
      </c>
      <c r="I29" s="56">
        <f>237.51291913804*Deflactores!$F$5</f>
        <v>651.8705119336438</v>
      </c>
      <c r="J29" s="56">
        <f>319.286960527039*Deflactores!$G$5</f>
        <v>838.74635379198685</v>
      </c>
      <c r="K29" s="56">
        <f>384.622981216*Deflactores!$H$5</f>
        <v>955.94402508288408</v>
      </c>
      <c r="L29" s="56">
        <f>482.411783941*Deflactores!$I$5</f>
        <v>1113.5322413911579</v>
      </c>
      <c r="M29" s="56">
        <f>812.111389801*Deflactores!$J$5</f>
        <v>1837.7761878518065</v>
      </c>
      <c r="N29" s="56">
        <f>898.427410886*Deflactores!$K$5</f>
        <v>1970.6134236400883</v>
      </c>
      <c r="O29" s="56">
        <f>866.356882247*Deflactores!$L$5</f>
        <v>1831.9970651226595</v>
      </c>
      <c r="P29" s="56">
        <f>852.766454199*Deflactores!$M$5</f>
        <v>1760.3072674408777</v>
      </c>
      <c r="Q29" s="56">
        <f>1099.227713974*Deflactores!$N$5</f>
        <v>2225.8782928807777</v>
      </c>
      <c r="R29" s="56">
        <f>1028.836296901*Deflactores!$O$5</f>
        <v>2009.7813780081931</v>
      </c>
      <c r="S29" s="56">
        <f>962.046961514*Deflactores!$P$5</f>
        <v>1760.1495537039941</v>
      </c>
      <c r="T29" s="56">
        <f>1025.501005129*Deflactores!$Q$5</f>
        <v>1774.2262968966572</v>
      </c>
      <c r="U29" s="56">
        <f>1045.15590132826*Deflactores!$R$5</f>
        <v>1737.1806774193803</v>
      </c>
      <c r="V29" s="56">
        <f>503.17410668*Deflactores!$S$5</f>
        <v>810.56280999795217</v>
      </c>
    </row>
    <row r="30" spans="3:22" x14ac:dyDescent="0.2">
      <c r="C30" s="88" t="s">
        <v>140</v>
      </c>
      <c r="D30" s="57">
        <f>33.491046494*Deflactores!$A$5</f>
        <v>124.71104435205753</v>
      </c>
      <c r="E30" s="57">
        <f>44.740896411*Deflactores!$B$5</f>
        <v>154.76533325748758</v>
      </c>
      <c r="F30" s="57">
        <f>25.4688899*Deflactores!$C$5</f>
        <v>82.34331822455043</v>
      </c>
      <c r="G30" s="57">
        <f>17.43548485107*Deflactores!$D$5</f>
        <v>52.934400154559874</v>
      </c>
      <c r="H30" s="57">
        <f>2315.646310038*Deflactores!$E$5</f>
        <v>6664.0178914479293</v>
      </c>
      <c r="I30" s="57">
        <f>2278.346484183*Deflactores!$F$5</f>
        <v>6253.0783352606386</v>
      </c>
      <c r="J30" s="57">
        <f>360.978454937*Deflactores!$G$5</f>
        <v>948.26723388922608</v>
      </c>
      <c r="K30" s="57">
        <f>218.115856*Deflactores!$H$5</f>
        <v>542.10632099995019</v>
      </c>
      <c r="L30" s="57">
        <f>322.943177614*Deflactores!$I$5</f>
        <v>745.43709830786588</v>
      </c>
      <c r="M30" s="57">
        <f>417.002730743*Deflactores!$J$5</f>
        <v>943.66080620597177</v>
      </c>
      <c r="N30" s="57">
        <f>1251.424060742*Deflactores!$K$5</f>
        <v>2744.877352230842</v>
      </c>
      <c r="O30" s="57">
        <f>1218.5541*Deflactores!$L$5</f>
        <v>2576.7528147329081</v>
      </c>
      <c r="P30" s="57">
        <f>692.498042702*Deflactores!$M$5</f>
        <v>1429.4761845456553</v>
      </c>
      <c r="Q30" s="57">
        <f>741.709724*Deflactores!$N$5</f>
        <v>1501.9231714069056</v>
      </c>
      <c r="R30" s="57">
        <f>659.195317098*Deflactores!$O$5</f>
        <v>1287.7058058355508</v>
      </c>
      <c r="S30" s="57">
        <f>856.593229699*Deflactores!$P$5</f>
        <v>1567.2126738883908</v>
      </c>
      <c r="T30" s="57">
        <f>690.088598475*Deflactores!$Q$5</f>
        <v>1193.9270000509525</v>
      </c>
      <c r="U30" s="57">
        <f>724.142286978*Deflactores!$R$5</f>
        <v>1203.6156395823311</v>
      </c>
      <c r="V30" s="57">
        <f>711.129321031*Deflactores!$S$5</f>
        <v>1145.5577166521441</v>
      </c>
    </row>
    <row r="31" spans="3:22" x14ac:dyDescent="0.2">
      <c r="C31" s="87" t="s">
        <v>141</v>
      </c>
      <c r="D31" s="56">
        <f>9.184223294*Deflactores!$A$5</f>
        <v>34.199411438589422</v>
      </c>
      <c r="E31" s="56">
        <f>8.382529829*Deflactores!$B$5</f>
        <v>28.996402097277933</v>
      </c>
      <c r="F31" s="56">
        <f>10.845507335*Deflactores!$C$5</f>
        <v>35.064546012765206</v>
      </c>
      <c r="G31" s="56">
        <f>11.930545653*Deflactores!$D$5</f>
        <v>36.221320086741947</v>
      </c>
      <c r="H31" s="56">
        <f>14.276763447*Deflactores!$E$5</f>
        <v>41.085983913154919</v>
      </c>
      <c r="I31" s="56">
        <f>14.562986552*Deflactores!$F$5</f>
        <v>39.969116346962473</v>
      </c>
      <c r="J31" s="56">
        <f>24.913591299*Deflactores!$G$5</f>
        <v>65.446405413510192</v>
      </c>
      <c r="K31" s="56">
        <f>21.600408*Deflactores!$H$5</f>
        <v>53.685770157754575</v>
      </c>
      <c r="L31" s="56">
        <f>28.897*Deflactores!$I$5</f>
        <v>66.701814198252862</v>
      </c>
      <c r="M31" s="56">
        <f>29.61438595*Deflactores!$J$5</f>
        <v>67.016192606409973</v>
      </c>
      <c r="N31" s="56">
        <f>35.497414526*Deflactores!$K$5</f>
        <v>77.860137304212685</v>
      </c>
      <c r="O31" s="56">
        <f>30.894882887*Deflactores!$L$5</f>
        <v>65.330276628605006</v>
      </c>
      <c r="P31" s="56">
        <f>31.203853346*Deflactores!$M$5</f>
        <v>64.41197299290711</v>
      </c>
      <c r="Q31" s="56">
        <f>33.181*Deflactores!$N$5</f>
        <v>67.18977942164949</v>
      </c>
      <c r="R31" s="56">
        <f>33.246*Deflactores!$O$5</f>
        <v>64.944434692402666</v>
      </c>
      <c r="S31" s="56">
        <f>31.3467*Deflactores!$P$5</f>
        <v>57.351545425872715</v>
      </c>
      <c r="T31" s="56">
        <f>45.744085942*Deflactores!$Q$5</f>
        <v>79.142155687685317</v>
      </c>
      <c r="U31" s="56">
        <f>24.299951725*Deflactores!$R$5</f>
        <v>40.389578765470183</v>
      </c>
      <c r="V31" s="56">
        <f>21.823*Deflactores!$S$5</f>
        <v>35.154655153657977</v>
      </c>
    </row>
    <row r="32" spans="3:22" x14ac:dyDescent="0.2">
      <c r="C32" s="88" t="s">
        <v>142</v>
      </c>
      <c r="D32" s="57">
        <f>20.881127588*Deflactores!$A$5</f>
        <v>77.755325717115809</v>
      </c>
      <c r="E32" s="57">
        <f>24.271653333*Deflactores!$B$5</f>
        <v>83.959214457500295</v>
      </c>
      <c r="F32" s="57">
        <f>27.647225905*Deflactores!$C$5</f>
        <v>89.386083557628837</v>
      </c>
      <c r="G32" s="57">
        <f>28.926448644*Deflactores!$D$5</f>
        <v>87.82114295363877</v>
      </c>
      <c r="H32" s="57">
        <f>38.541627703*Deflactores!$E$5</f>
        <v>110.91594405628481</v>
      </c>
      <c r="I32" s="57">
        <f>32.531814913*Deflactores!$F$5</f>
        <v>89.285799351162225</v>
      </c>
      <c r="J32" s="57">
        <f>50.501261194*Deflactores!$G$5</f>
        <v>132.66357203703336</v>
      </c>
      <c r="K32" s="57">
        <f>54.741550448*Deflactores!$H$5</f>
        <v>136.05494375062057</v>
      </c>
      <c r="L32" s="57">
        <f>54.756283643*Deflactores!$I$5</f>
        <v>126.39178661252789</v>
      </c>
      <c r="M32" s="57">
        <f>60.628139826*Deflactores!$J$5</f>
        <v>137.19909988366891</v>
      </c>
      <c r="N32" s="57">
        <f>81.366817333*Deflactores!$K$5</f>
        <v>178.47022534314286</v>
      </c>
      <c r="O32" s="57">
        <f>77.358120576*Deflactores!$L$5</f>
        <v>163.58137479218664</v>
      </c>
      <c r="P32" s="57">
        <f>84.672906755*Deflactores!$M$5</f>
        <v>174.78447045172837</v>
      </c>
      <c r="Q32" s="57">
        <f>120.617562*Deflactores!$N$5</f>
        <v>244.2442176292798</v>
      </c>
      <c r="R32" s="57">
        <f>123.911*Deflactores!$O$5</f>
        <v>242.0540770971036</v>
      </c>
      <c r="S32" s="57">
        <f>126.9779*Deflactores!$P$5</f>
        <v>232.31723913304825</v>
      </c>
      <c r="T32" s="57">
        <f>118.256259817*Deflactores!$Q$5</f>
        <v>204.59596323220765</v>
      </c>
      <c r="U32" s="57">
        <f>124.830664551*Deflactores!$R$5</f>
        <v>207.48427878733168</v>
      </c>
      <c r="V32" s="57">
        <f>112.901301*Deflactores!$S$5</f>
        <v>181.87262535189205</v>
      </c>
    </row>
    <row r="33" spans="3:22" x14ac:dyDescent="0.2">
      <c r="C33" s="87" t="s">
        <v>143</v>
      </c>
      <c r="D33" s="56">
        <f>0.0585*Deflactores!$A$5</f>
        <v>0.21783720899561584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191.6387768854907</v>
      </c>
      <c r="I33" s="56">
        <f>8.86793114152*Deflactores!$F$5</f>
        <v>24.338645805010877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99.127997731178809</v>
      </c>
      <c r="Q33" s="56">
        <f>6.856473429*Deflactores!$N$5</f>
        <v>13.883997989961447</v>
      </c>
      <c r="R33" s="56">
        <f>12.826001183*Deflactores!$O$5</f>
        <v>25.054965896469433</v>
      </c>
      <c r="S33" s="56">
        <f>3.309*Deflactores!$P$5</f>
        <v>6.0541066145467575</v>
      </c>
      <c r="T33" s="56">
        <f>11.880739274*Deflactores!$Q$5</f>
        <v>20.554948206854377</v>
      </c>
      <c r="U33" s="56">
        <f>20.546765788*Deflactores!$R$5</f>
        <v>34.151311268503932</v>
      </c>
      <c r="V33" s="56">
        <f>152.863819794*Deflactores!$S$5</f>
        <v>246.24821840851331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19.148407319*Deflactores!$A$5</f>
        <v>71.303172770635598</v>
      </c>
      <c r="E35" s="56">
        <f>19.591125569*Deflactores!$B$5</f>
        <v>67.768581338261171</v>
      </c>
      <c r="F35" s="56">
        <f>33.568428695*Deflactores!$C$5</f>
        <v>108.52988949198431</v>
      </c>
      <c r="G35" s="56">
        <f>25.067270199*Deflactores!$D$5</f>
        <v>76.104617842899145</v>
      </c>
      <c r="H35" s="56">
        <f>28.644206908*Deflactores!$E$5</f>
        <v>82.432928765410608</v>
      </c>
      <c r="I35" s="56">
        <f>13.19138481*Deflactores!$F$5</f>
        <v>36.204661205021452</v>
      </c>
      <c r="J35" s="56">
        <f>38.475990297*Deflactores!$G$5</f>
        <v>101.07395716027582</v>
      </c>
      <c r="K35" s="56">
        <f>36.932942188*Deflactores!$H$5</f>
        <v>91.793333049755589</v>
      </c>
      <c r="L35" s="56">
        <f>30.838*Deflactores!$I$5</f>
        <v>71.182148536032173</v>
      </c>
      <c r="M35" s="56">
        <f>37.60481516*Deflactores!$J$5</f>
        <v>85.098220167249679</v>
      </c>
      <c r="N35" s="56">
        <f>44.903290566*Deflactores!$K$5</f>
        <v>98.491014502449246</v>
      </c>
      <c r="O35" s="56">
        <f>49.119953357*Deflactores!$L$5</f>
        <v>103.86898544118714</v>
      </c>
      <c r="P35" s="56">
        <f>54.412927217*Deflactores!$M$5</f>
        <v>112.32087138416537</v>
      </c>
      <c r="Q35" s="56">
        <f>53.261*Deflactores!$N$5</f>
        <v>107.85072305766776</v>
      </c>
      <c r="R35" s="56">
        <f>62.092943088*Deflactores!$O$5</f>
        <v>121.29552689760244</v>
      </c>
      <c r="S35" s="56">
        <f>79.029272362*Deflactores!$P$5</f>
        <v>144.5910065124211</v>
      </c>
      <c r="T35" s="56">
        <f>89.677864288*Deflactores!$Q$5</f>
        <v>155.15228583250834</v>
      </c>
      <c r="U35" s="56">
        <f>92.022257971*Deflactores!$R$5</f>
        <v>152.95257696632817</v>
      </c>
      <c r="V35" s="56">
        <f>99.376388153*Deflactores!$S$5</f>
        <v>160.08535288158259</v>
      </c>
    </row>
    <row r="36" spans="3:22" x14ac:dyDescent="0.2">
      <c r="C36" s="88" t="s">
        <v>146</v>
      </c>
      <c r="D36" s="57">
        <f>55.6351*Deflactores!$A$5</f>
        <v>207.1691436955895</v>
      </c>
      <c r="E36" s="57">
        <f>60.605352745*Deflactores!$B$5</f>
        <v>209.64281825299869</v>
      </c>
      <c r="F36" s="57">
        <f>59.231262245*Deflactores!$C$5</f>
        <v>191.50024579131087</v>
      </c>
      <c r="G36" s="57">
        <f>39.518977535*Deflactores!$D$5</f>
        <v>119.98022357309857</v>
      </c>
      <c r="H36" s="57">
        <f>48.9352049579999*Deflactores!$E$5</f>
        <v>140.82680932237503</v>
      </c>
      <c r="I36" s="57">
        <f>47.351396689*Deflactores!$F$5</f>
        <v>129.95915890576006</v>
      </c>
      <c r="J36" s="57">
        <f>59.2419703099999*Deflactores!$G$5</f>
        <v>155.62485391493968</v>
      </c>
      <c r="K36" s="57">
        <f>57.64480384*Deflactores!$H$5</f>
        <v>143.27070533774585</v>
      </c>
      <c r="L36" s="57">
        <f>59.853*Deflactores!$I$5</f>
        <v>138.15633751628297</v>
      </c>
      <c r="M36" s="57">
        <f>76.089560131*Deflactores!$J$5</f>
        <v>172.18768694665806</v>
      </c>
      <c r="N36" s="57">
        <f>118.705394776*Deflactores!$K$5</f>
        <v>260.3687750058682</v>
      </c>
      <c r="O36" s="57">
        <f>118.6728*Deflactores!$L$5</f>
        <v>250.94533876849243</v>
      </c>
      <c r="P36" s="57">
        <f>233.065941177*Deflactores!$M$5</f>
        <v>481.10202743866603</v>
      </c>
      <c r="Q36" s="57">
        <f>222.298*Deflactores!$N$5</f>
        <v>450.14175539838584</v>
      </c>
      <c r="R36" s="57">
        <f>180.891966222*Deflactores!$O$5</f>
        <v>353.36360725154867</v>
      </c>
      <c r="S36" s="57">
        <f>237.95576086*Deflactores!$P$5</f>
        <v>435.36099903053258</v>
      </c>
      <c r="T36" s="57">
        <f>309.022227539*Deflactores!$Q$5</f>
        <v>534.64146761738914</v>
      </c>
      <c r="U36" s="57">
        <f>309.029419521*Deflactores!$R$5</f>
        <v>513.64579740089835</v>
      </c>
      <c r="V36" s="57">
        <f>268.591*Deflactores!$S$5</f>
        <v>432.67305056024151</v>
      </c>
    </row>
    <row r="37" spans="3:22" x14ac:dyDescent="0.2">
      <c r="C37" s="90" t="s">
        <v>147</v>
      </c>
      <c r="D37" s="58">
        <f>700.609254339*Deflactores!$A$5</f>
        <v>2608.8677702855948</v>
      </c>
      <c r="E37" s="58">
        <f>782.941984801*Deflactores!$B$5</f>
        <v>2708.3113419518818</v>
      </c>
      <c r="F37" s="58">
        <f>752.525672304*Deflactores!$C$5</f>
        <v>2432.9863276322862</v>
      </c>
      <c r="G37" s="58">
        <f>787.546873752*Deflactores!$D$5</f>
        <v>2391.0044206830667</v>
      </c>
      <c r="H37" s="58">
        <f>967.72983466716*Deflactores!$E$5</f>
        <v>2784.9542066741933</v>
      </c>
      <c r="I37" s="58">
        <f>996.961455516*Deflactores!$F$5</f>
        <v>2736.2291564763959</v>
      </c>
      <c r="J37" s="58">
        <f>1200.217786615*Deflactores!$G$5</f>
        <v>3152.8950966801822</v>
      </c>
      <c r="K37" s="58">
        <f>1298.481008955*Deflactores!$H$5</f>
        <v>3227.2516797352805</v>
      </c>
      <c r="L37" s="58">
        <f>1453.925571645*Deflactores!$I$5</f>
        <v>3356.0394967627562</v>
      </c>
      <c r="M37" s="58">
        <f>1713.35904547623*Deflactores!$J$5</f>
        <v>3877.2642454728921</v>
      </c>
      <c r="N37" s="58">
        <f>2199.789243171*Deflactores!$K$5</f>
        <v>4825.0244363057354</v>
      </c>
      <c r="O37" s="58">
        <f>2375.69907458*Deflactores!$L$5</f>
        <v>5023.6499777747895</v>
      </c>
      <c r="P37" s="58">
        <f>2712.933542629*Deflactores!$M$5</f>
        <v>5600.1225278727143</v>
      </c>
      <c r="Q37" s="58">
        <f>2773.33386289641*Deflactores!$N$5</f>
        <v>5615.8551734607436</v>
      </c>
      <c r="R37" s="58">
        <f>1399.74915822052*Deflactores!$O$5</f>
        <v>2734.3415085062311</v>
      </c>
      <c r="S37" s="58">
        <f>1954.582910666*Deflactores!$P$5</f>
        <v>3576.0813926089704</v>
      </c>
      <c r="T37" s="58">
        <f>2250.714120758*Deflactores!$Q$5</f>
        <v>3893.9758809335917</v>
      </c>
      <c r="U37" s="58">
        <f>2361.791039725*Deflactores!$R$5</f>
        <v>3925.5940220002476</v>
      </c>
      <c r="V37" s="58">
        <f>2150.837207*Deflactores!$S$5</f>
        <v>3464.7821245356677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293.5195484*Deflactores!$A$5</f>
        <v>1092.9825505830697</v>
      </c>
      <c r="E39" s="56">
        <f>299.74387286*Deflactores!$B$5</f>
        <v>1036.8580894964466</v>
      </c>
      <c r="F39" s="56">
        <f>305.804992022*Deflactores!$C$5</f>
        <v>988.69632212449324</v>
      </c>
      <c r="G39" s="56">
        <f>251.090755227*Deflactores!$D$5</f>
        <v>762.3153944859173</v>
      </c>
      <c r="H39" s="56">
        <f>287.161412*Deflactores!$E$5</f>
        <v>826.3994285336463</v>
      </c>
      <c r="I39" s="56">
        <f>246.62958*Deflactores!$F$5</f>
        <v>676.8918135317997</v>
      </c>
      <c r="J39" s="56">
        <f>390.259098926*Deflactores!$G$5</f>
        <v>1025.1856064463641</v>
      </c>
      <c r="K39" s="56">
        <f>502.122964559*Deflactores!$H$5</f>
        <v>1247.9791153132301</v>
      </c>
      <c r="L39" s="56">
        <f>663.65407537*Deflactores!$I$5</f>
        <v>1531.8867296689291</v>
      </c>
      <c r="M39" s="56">
        <f>955.280087867*Deflactores!$J$5</f>
        <v>2161.7613301066308</v>
      </c>
      <c r="N39" s="56">
        <f>1046.237221168*Deflactores!$K$5</f>
        <v>2294.819912398214</v>
      </c>
      <c r="O39" s="56">
        <f>1153.550738668*Deflactores!$L$5</f>
        <v>2439.296796752802</v>
      </c>
      <c r="P39" s="56">
        <f>1286.179192*Deflactores!$M$5</f>
        <v>2654.971437678641</v>
      </c>
      <c r="Q39" s="56">
        <f>1433.786343896*Deflactores!$N$5</f>
        <v>2903.3419180900378</v>
      </c>
      <c r="R39" s="56">
        <f>1918.594143757*Deflactores!$O$5</f>
        <v>3747.8798072084669</v>
      </c>
      <c r="S39" s="56">
        <f>1555.619286201*Deflactores!$P$5</f>
        <v>2846.1423421897789</v>
      </c>
      <c r="T39" s="56">
        <f>1196.302911507*Deflactores!$Q$5</f>
        <v>2069.7318423230204</v>
      </c>
      <c r="U39" s="56">
        <f>1254.587728588*Deflactores!$R$5</f>
        <v>2085.2827386428626</v>
      </c>
      <c r="V39" s="56">
        <f>1303.384062301*Deflactores!$S$5</f>
        <v>2099.6204574515659</v>
      </c>
    </row>
    <row r="40" spans="3:22" x14ac:dyDescent="0.2">
      <c r="C40" s="88" t="s">
        <v>150</v>
      </c>
      <c r="D40" s="57">
        <f>517.207429017*Deflactores!$A$5</f>
        <v>1925.9320138266899</v>
      </c>
      <c r="E40" s="57">
        <f>781.02766378417*Deflactores!$B$5</f>
        <v>2701.6894243351694</v>
      </c>
      <c r="F40" s="57">
        <f>1000.89216*Deflactores!$C$5</f>
        <v>3235.9785590552042</v>
      </c>
      <c r="G40" s="57">
        <f>778.5035118503*Deflactores!$D$5</f>
        <v>2363.5486348683285</v>
      </c>
      <c r="H40" s="57">
        <f>755.93165207805*Deflactores!$E$5</f>
        <v>2175.436737606638</v>
      </c>
      <c r="I40" s="57">
        <f>626.46115189392*Deflactores!$F$5</f>
        <v>1719.365638187827</v>
      </c>
      <c r="J40" s="57">
        <f>854.41259221717*Deflactores!$G$5</f>
        <v>2244.4870444229191</v>
      </c>
      <c r="K40" s="57">
        <f>850.411796239*Deflactores!$H$5</f>
        <v>2113.6180498224921</v>
      </c>
      <c r="L40" s="57">
        <f>850.6261928412*Deflactores!$I$5</f>
        <v>1963.4671511596682</v>
      </c>
      <c r="M40" s="57">
        <f>1050.700260401*Deflactores!$J$5</f>
        <v>2377.693433911586</v>
      </c>
      <c r="N40" s="57">
        <f>1281.49349921*Deflactores!$K$5</f>
        <v>2810.8317502916993</v>
      </c>
      <c r="O40" s="57">
        <f>888.620551700999*Deflactores!$L$5</f>
        <v>1879.0757897618651</v>
      </c>
      <c r="P40" s="57">
        <f>1212.6112*Deflactores!$M$5</f>
        <v>2503.1100806435861</v>
      </c>
      <c r="Q40" s="57">
        <f>1165.24238422093*Deflactores!$N$5</f>
        <v>2359.5545272463532</v>
      </c>
      <c r="R40" s="57">
        <f>1466.186371851*Deflactores!$O$5</f>
        <v>2864.1233553981856</v>
      </c>
      <c r="S40" s="57">
        <f>1587.914225168*Deflactores!$P$5</f>
        <v>2905.2287742286121</v>
      </c>
      <c r="T40" s="57">
        <f>1703.450058804*Deflactores!$Q$5</f>
        <v>2947.1505875316343</v>
      </c>
      <c r="U40" s="57">
        <f>2444.249677335*Deflactores!$R$5</f>
        <v>4062.6506580105997</v>
      </c>
      <c r="V40" s="57">
        <f>2071.890245226*Deflactores!$S$5</f>
        <v>3337.6065200544326</v>
      </c>
    </row>
    <row r="41" spans="3:22" x14ac:dyDescent="0.2">
      <c r="C41" s="87" t="s">
        <v>151</v>
      </c>
      <c r="D41" s="56">
        <f>36.718857568*Deflactores!$A$5</f>
        <v>136.73048632684899</v>
      </c>
      <c r="E41" s="56">
        <f>62.17883846*Deflactores!$B$5</f>
        <v>215.08573649095334</v>
      </c>
      <c r="F41" s="56">
        <f>23.117184*Deflactores!$C$5</f>
        <v>74.740031703049837</v>
      </c>
      <c r="G41" s="56">
        <f>14.6774*Deflactores!$D$5</f>
        <v>44.560812129113636</v>
      </c>
      <c r="H41" s="56">
        <f>36.7336*Deflactores!$E$5</f>
        <v>105.71276215894757</v>
      </c>
      <c r="I41" s="56">
        <f>88.85*Deflactores!$F$5</f>
        <v>243.8549245889337</v>
      </c>
      <c r="J41" s="56">
        <f>43.5783*Deflactores!$G$5</f>
        <v>114.477397289007</v>
      </c>
      <c r="K41" s="56">
        <f>24.6393235*Deflactores!$H$5</f>
        <v>61.238707077364502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152</v>
      </c>
      <c r="D42" s="44">
        <f t="shared" ref="D42:V42" si="0">+SUM(D13:D41)</f>
        <v>15419.245653710526</v>
      </c>
      <c r="E42" s="44">
        <f t="shared" si="0"/>
        <v>16475.376531648268</v>
      </c>
      <c r="F42" s="44">
        <f t="shared" si="0"/>
        <v>16329.166817702482</v>
      </c>
      <c r="G42" s="44">
        <f t="shared" si="0"/>
        <v>14850.509302350092</v>
      </c>
      <c r="H42" s="44">
        <f t="shared" si="0"/>
        <v>22208.657685432805</v>
      </c>
      <c r="I42" s="44">
        <f t="shared" si="0"/>
        <v>21301.40958921966</v>
      </c>
      <c r="J42" s="44">
        <f t="shared" si="0"/>
        <v>18309.387280904095</v>
      </c>
      <c r="K42" s="44">
        <f t="shared" si="0"/>
        <v>18987.212337302222</v>
      </c>
      <c r="L42" s="44">
        <f t="shared" si="0"/>
        <v>20331.610815731648</v>
      </c>
      <c r="M42" s="44">
        <f t="shared" si="0"/>
        <v>25373.618670077714</v>
      </c>
      <c r="N42" s="44">
        <f t="shared" si="0"/>
        <v>27649.756800421012</v>
      </c>
      <c r="O42" s="44">
        <f t="shared" si="0"/>
        <v>27260.568501226433</v>
      </c>
      <c r="P42" s="44">
        <f t="shared" si="0"/>
        <v>27342.795754667572</v>
      </c>
      <c r="Q42" s="44">
        <f t="shared" si="0"/>
        <v>29167.622603933662</v>
      </c>
      <c r="R42" s="44">
        <f t="shared" si="0"/>
        <v>22295.443831010547</v>
      </c>
      <c r="S42" s="44">
        <f t="shared" si="0"/>
        <v>22425.84133640361</v>
      </c>
      <c r="T42" s="44">
        <f t="shared" si="0"/>
        <v>23107.965352610408</v>
      </c>
      <c r="U42" s="44">
        <f t="shared" si="0"/>
        <v>24292.513948447566</v>
      </c>
      <c r="V42" s="44">
        <f t="shared" si="0"/>
        <v>22138.919237354425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55" t="s">
        <v>172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</row>
    <row r="48" spans="3:22" ht="15" hidden="1" customHeight="1" x14ac:dyDescent="0.2">
      <c r="H48" s="27"/>
      <c r="I48" s="27"/>
      <c r="J48" s="27"/>
      <c r="L48" s="27"/>
      <c r="M48" s="27"/>
      <c r="N48" s="27"/>
      <c r="O48" s="27"/>
      <c r="P48" s="27"/>
      <c r="Q48" s="98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76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60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65">
        <f>36.2100729245*Deflactores!$A$5</f>
        <v>134.83591834873155</v>
      </c>
      <c r="E52" s="56">
        <f>35.8800794855*Deflactores!$B$5</f>
        <v>124.1144658316075</v>
      </c>
      <c r="F52" s="56">
        <f>36.635118942*Deflactores!$C$5</f>
        <v>118.44478770295211</v>
      </c>
      <c r="G52" s="56">
        <f>31.024949061*Deflactores!$D$5</f>
        <v>94.192222493257759</v>
      </c>
      <c r="H52" s="56">
        <f>50.321692589*Deflactores!$E$5</f>
        <v>144.81687392732081</v>
      </c>
      <c r="I52" s="56">
        <f>43.27018847*Deflactores!$F$5</f>
        <v>118.75800277209679</v>
      </c>
      <c r="J52" s="56">
        <f>61.461734706*Deflactores!$G$5</f>
        <v>161.4560325210096</v>
      </c>
      <c r="K52" s="56">
        <f>58.245828229*Deflactores!$H$5</f>
        <v>144.76449458501648</v>
      </c>
      <c r="L52" s="56">
        <f>61.843923815*Deflactores!$I$5</f>
        <v>142.75190904242777</v>
      </c>
      <c r="M52" s="56">
        <f>55.656663964*Deflactores!$J$5</f>
        <v>125.94884521121267</v>
      </c>
      <c r="N52" s="56">
        <f>71.571966388*Deflactores!$K$5</f>
        <v>156.98616940173306</v>
      </c>
      <c r="O52" s="56">
        <f>53.0426706297499*Deflactores!$L$5</f>
        <v>112.16395796145497</v>
      </c>
      <c r="P52" s="56">
        <f>46.93674365471*Deflactores!$M$5</f>
        <v>96.888298734737461</v>
      </c>
      <c r="Q52" s="56">
        <f>60.35755805154*Deflactores!$N$5</f>
        <v>122.22087977795658</v>
      </c>
      <c r="R52" s="56">
        <f>97.16221082378*Deflactores!$O$5</f>
        <v>189.80162592234973</v>
      </c>
      <c r="S52" s="56">
        <f>65.92876250912*Deflactores!$P$5</f>
        <v>120.62247119835166</v>
      </c>
      <c r="T52" s="56">
        <f>46.05019627594*Deflactores!$Q$5</f>
        <v>79.671759268288199</v>
      </c>
      <c r="U52" s="56">
        <f>51.26383021732*Deflactores!$R$5</f>
        <v>85.206939166548352</v>
      </c>
      <c r="V52" s="56">
        <f>60.4902115525799*Deflactores!$S$5</f>
        <v>97.44363869783092</v>
      </c>
    </row>
    <row r="53" spans="3:22" x14ac:dyDescent="0.2">
      <c r="C53" s="88" t="s">
        <v>124</v>
      </c>
      <c r="D53" s="57">
        <f>3.04604505296*Deflactores!$A$5</f>
        <v>11.342597483960841</v>
      </c>
      <c r="E53" s="57">
        <f>1.062717388*Deflactores!$B$5</f>
        <v>3.6760955614628608</v>
      </c>
      <c r="F53" s="57">
        <f>7.36757275538999*Deflactores!$C$5</f>
        <v>23.820056167410964</v>
      </c>
      <c r="G53" s="57">
        <f>8.58197371639*Deflactores!$D$5</f>
        <v>26.055004188278978</v>
      </c>
      <c r="H53" s="57">
        <f>11.4031171549599*Deflactores!$E$5</f>
        <v>32.816141398417003</v>
      </c>
      <c r="I53" s="57">
        <f>8.77429770821999*Deflactores!$F$5</f>
        <v>24.08166241934541</v>
      </c>
      <c r="J53" s="57">
        <f>11.65714183993*Deflactores!$G$5</f>
        <v>30.622563469983287</v>
      </c>
      <c r="K53" s="57">
        <f>20.93919499082*Deflactores!$H$5</f>
        <v>52.042387790340271</v>
      </c>
      <c r="L53" s="57">
        <f>17.04992551237*Deflactores!$I$5</f>
        <v>39.355675800953556</v>
      </c>
      <c r="M53" s="57">
        <f>20.7066014237699*Deflactores!$J$5</f>
        <v>46.858225984575128</v>
      </c>
      <c r="N53" s="57">
        <f>24.02984087722*Deflactores!$K$5</f>
        <v>52.707126281784454</v>
      </c>
      <c r="O53" s="57">
        <f>38.07912427073*Deflactores!$L$5</f>
        <v>80.522063523620091</v>
      </c>
      <c r="P53" s="57">
        <f>39.45450646738*Deflactores!$M$5</f>
        <v>81.443230002589814</v>
      </c>
      <c r="Q53" s="57">
        <f>53.65119612868*Deflactores!$N$5</f>
        <v>108.64084969089734</v>
      </c>
      <c r="R53" s="57">
        <f>58.25105919557*Deflactores!$O$5</f>
        <v>113.79059464867886</v>
      </c>
      <c r="S53" s="57">
        <f>66.01524220171*Deflactores!$P$5</f>
        <v>120.78069340413379</v>
      </c>
      <c r="T53" s="57">
        <f>77.49118911206*Deflactores!$Q$5</f>
        <v>134.0680358310463</v>
      </c>
      <c r="U53" s="57">
        <f>92.93628673117*Deflactores!$R$5</f>
        <v>154.4718078282072</v>
      </c>
      <c r="V53" s="57">
        <f>111.06654468903*Deflactores!$S$5</f>
        <v>178.91701771760034</v>
      </c>
    </row>
    <row r="54" spans="3:22" x14ac:dyDescent="0.2">
      <c r="C54" s="87" t="s">
        <v>125</v>
      </c>
      <c r="D54" s="56">
        <f>6.1498901741*Deflactores!$A$5</f>
        <v>22.900425831718049</v>
      </c>
      <c r="E54" s="56">
        <f>7.86128488419999*Deflactores!$B$5</f>
        <v>27.193339260769356</v>
      </c>
      <c r="F54" s="56">
        <f>22.4451105273699*Deflactores!$C$5</f>
        <v>72.567154909269391</v>
      </c>
      <c r="G54" s="56">
        <f>27.62638395873*Deflactores!$D$5</f>
        <v>83.874126574987798</v>
      </c>
      <c r="H54" s="56">
        <f>27.93207588936*Deflactores!$E$5</f>
        <v>80.383542454254069</v>
      </c>
      <c r="I54" s="56">
        <f>41.44616995361*Deflactores!$F$5</f>
        <v>113.75185873424533</v>
      </c>
      <c r="J54" s="56">
        <f>46.94325704665*Deflactores!$G$5</f>
        <v>123.31692349103406</v>
      </c>
      <c r="K54" s="56">
        <f>53.7968510705*Deflactores!$H$5</f>
        <v>133.70698283948227</v>
      </c>
      <c r="L54" s="56">
        <f>61.65444301615*Deflactores!$I$5</f>
        <v>142.31453792988913</v>
      </c>
      <c r="M54" s="56">
        <f>48.60898774798*Deflactores!$J$5</f>
        <v>110.00023065888524</v>
      </c>
      <c r="N54" s="56">
        <f>0*Deflactores!$K$5</f>
        <v>0</v>
      </c>
      <c r="O54" s="56">
        <f>0*Deflactores!$L$5</f>
        <v>0</v>
      </c>
      <c r="P54" s="56">
        <f>0*Deflactores!$M$5</f>
        <v>0</v>
      </c>
      <c r="Q54" s="56">
        <f>0*Deflactores!$N$5</f>
        <v>0</v>
      </c>
      <c r="R54" s="56">
        <f>0*Deflactores!$O$5</f>
        <v>0</v>
      </c>
      <c r="S54" s="56">
        <f>0*Deflactores!$P$5</f>
        <v>0</v>
      </c>
      <c r="T54" s="56">
        <f>0*Deflactores!$Q$5</f>
        <v>0</v>
      </c>
      <c r="U54" s="56">
        <f>0*Deflactores!$R$5</f>
        <v>0</v>
      </c>
      <c r="V54" s="56">
        <f>0*Deflactores!$S$5</f>
        <v>0</v>
      </c>
    </row>
    <row r="55" spans="3:22" x14ac:dyDescent="0.2">
      <c r="C55" s="88" t="s">
        <v>126</v>
      </c>
      <c r="D55" s="57">
        <f>35.6767520253399*Deflactores!$A$5</f>
        <v>132.84998439707226</v>
      </c>
      <c r="E55" s="57">
        <f>35.786062984*Deflactores!$B$5</f>
        <v>123.78924894161302</v>
      </c>
      <c r="F55" s="57">
        <f>37.261712756*Deflactores!$C$5</f>
        <v>120.47062447975395</v>
      </c>
      <c r="G55" s="57">
        <f>36.653103124*Deflactores!$D$5</f>
        <v>111.27938478596971</v>
      </c>
      <c r="H55" s="57">
        <f>39.965685213*Deflactores!$E$5</f>
        <v>115.0141280854922</v>
      </c>
      <c r="I55" s="57">
        <f>47.63117692*Deflactores!$F$5</f>
        <v>130.72703495676714</v>
      </c>
      <c r="J55" s="57">
        <f>49.548271488*Deflactores!$G$5</f>
        <v>130.16012924128188</v>
      </c>
      <c r="K55" s="57">
        <f>57.889290852*Deflactores!$H$5</f>
        <v>143.87835467162824</v>
      </c>
      <c r="L55" s="57">
        <f>89.92491549418*Deflactores!$I$5</f>
        <v>207.57016316871594</v>
      </c>
      <c r="M55" s="57">
        <f>100.1659768982*Deflactores!$J$5</f>
        <v>226.67167273880224</v>
      </c>
      <c r="N55" s="57">
        <f>110.04350582878*Deflactores!$K$5</f>
        <v>241.36976136642645</v>
      </c>
      <c r="O55" s="57">
        <f>110.76453357878*Deflactores!$L$5</f>
        <v>234.22252953044847</v>
      </c>
      <c r="P55" s="57">
        <f>142.34915984252*Deflactores!$M$5</f>
        <v>293.84160147370977</v>
      </c>
      <c r="Q55" s="57">
        <f>195.91528931969*Deflactores!$N$5</f>
        <v>396.71815420628116</v>
      </c>
      <c r="R55" s="57">
        <f>217.65275413227*Deflactores!$O$5</f>
        <v>425.17400819240754</v>
      </c>
      <c r="S55" s="57">
        <f>248.923691618599*Deflactores!$P$5</f>
        <v>455.42779327457157</v>
      </c>
      <c r="T55" s="57">
        <f>257.670861717879*Deflactores!$Q$5</f>
        <v>445.79811869260442</v>
      </c>
      <c r="U55" s="57">
        <f>298.22643370248*Deflactores!$R$5</f>
        <v>495.6898750370496</v>
      </c>
      <c r="V55" s="57">
        <f>307.92650624502*Deflactores!$S$5</f>
        <v>496.03858954838415</v>
      </c>
    </row>
    <row r="56" spans="3:22" x14ac:dyDescent="0.2">
      <c r="C56" s="87" t="s">
        <v>127</v>
      </c>
      <c r="D56" s="56">
        <f>0*Deflactores!$A$5</f>
        <v>0</v>
      </c>
      <c r="E56" s="56">
        <f>0*Deflactores!$B$5</f>
        <v>0</v>
      </c>
      <c r="F56" s="56">
        <f>0*Deflactores!$C$5</f>
        <v>0</v>
      </c>
      <c r="G56" s="56">
        <f>0*Deflactores!$D$5</f>
        <v>0</v>
      </c>
      <c r="H56" s="56">
        <f>0*Deflactores!$E$5</f>
        <v>0</v>
      </c>
      <c r="I56" s="56">
        <f>0*Deflactores!$F$5</f>
        <v>0</v>
      </c>
      <c r="J56" s="56">
        <f>0*Deflactores!$G$5</f>
        <v>0</v>
      </c>
      <c r="K56" s="56">
        <f>0*Deflactores!$H$5</f>
        <v>0</v>
      </c>
      <c r="L56" s="56">
        <f>0*Deflactores!$I$5</f>
        <v>0</v>
      </c>
      <c r="M56" s="56">
        <f>0*Deflactores!$J$5</f>
        <v>0</v>
      </c>
      <c r="N56" s="56">
        <f>0*Deflactores!$K$5</f>
        <v>0</v>
      </c>
      <c r="O56" s="56">
        <f>0*Deflactores!$L$5</f>
        <v>0</v>
      </c>
      <c r="P56" s="56">
        <f>0*Deflactores!$M$5</f>
        <v>0</v>
      </c>
      <c r="Q56" s="56">
        <f>0*Deflactores!$N$5</f>
        <v>0</v>
      </c>
      <c r="R56" s="56">
        <f>0*Deflactores!$O$5</f>
        <v>0</v>
      </c>
      <c r="S56" s="56">
        <f>0*Deflactores!$P$5</f>
        <v>0</v>
      </c>
      <c r="T56" s="56">
        <f>0*Deflactores!$Q$5</f>
        <v>0</v>
      </c>
      <c r="U56" s="56">
        <f>0*Deflactores!$R$5</f>
        <v>0</v>
      </c>
      <c r="V56" s="56">
        <f>0*Deflactores!$S$5</f>
        <v>0</v>
      </c>
    </row>
    <row r="57" spans="3:22" x14ac:dyDescent="0.2">
      <c r="C57" s="88" t="s">
        <v>128</v>
      </c>
      <c r="D57" s="57">
        <f>0.658158847*Deflactores!$A$5</f>
        <v>2.4507946377137189</v>
      </c>
      <c r="E57" s="57">
        <f>0.727861463309999*Deflactores!$B$5</f>
        <v>2.5177797266207431</v>
      </c>
      <c r="F57" s="57">
        <f>0.712697081*Deflactores!$C$5</f>
        <v>2.3042167432076099</v>
      </c>
      <c r="G57" s="57">
        <f>0.985356982*Deflactores!$D$5</f>
        <v>2.9915589515181438</v>
      </c>
      <c r="H57" s="57">
        <f>1.1467912556*Deflactores!$E$5</f>
        <v>3.3002611028922741</v>
      </c>
      <c r="I57" s="57">
        <f>1.009658895*Deflactores!$F$5</f>
        <v>2.7710781508246614</v>
      </c>
      <c r="J57" s="57">
        <f>3.213440944*Deflactores!$G$5</f>
        <v>8.4415031245149468</v>
      </c>
      <c r="K57" s="57">
        <f>4.537906213*Deflactores!$H$5</f>
        <v>11.278536495633066</v>
      </c>
      <c r="L57" s="57">
        <f>4.356919704*Deflactores!$I$5</f>
        <v>10.0569072420291</v>
      </c>
      <c r="M57" s="57">
        <f>5.040882345*Deflactores!$J$5</f>
        <v>11.40731881826412</v>
      </c>
      <c r="N57" s="57">
        <f>8.095353012*Deflactores!$K$5</f>
        <v>17.756371990943908</v>
      </c>
      <c r="O57" s="57">
        <f>8.54962503598*Deflactores!$L$5</f>
        <v>18.07902527788664</v>
      </c>
      <c r="P57" s="57">
        <f>10.25836944282*Deflactores!$M$5</f>
        <v>21.175648025755383</v>
      </c>
      <c r="Q57" s="57">
        <f>9.79861044866*Deflactores!$N$5</f>
        <v>19.84167067551115</v>
      </c>
      <c r="R57" s="57">
        <f>10.97827321925*Deflactores!$O$5</f>
        <v>21.445519705315967</v>
      </c>
      <c r="S57" s="57">
        <f>16.58156546618*Deflactores!$P$5</f>
        <v>30.337432810015233</v>
      </c>
      <c r="T57" s="57">
        <f>19.11388326173*Deflactores!$Q$5</f>
        <v>33.069060048857104</v>
      </c>
      <c r="U57" s="57">
        <f>12.47707778511*Deflactores!$R$5</f>
        <v>20.738473955326288</v>
      </c>
      <c r="V57" s="57">
        <f>13.7508538011*Deflactores!$S$5</f>
        <v>22.151240592312583</v>
      </c>
    </row>
    <row r="58" spans="3:22" x14ac:dyDescent="0.2">
      <c r="C58" s="87" t="s">
        <v>129</v>
      </c>
      <c r="D58" s="56">
        <f>597.754992283169*Deflactores!$A$5</f>
        <v>2225.8680202078876</v>
      </c>
      <c r="E58" s="56">
        <f>730.48966738077*Deflactores!$B$5</f>
        <v>2526.8710705925987</v>
      </c>
      <c r="F58" s="56">
        <f>801.75497708632*Deflactores!$C$5</f>
        <v>2592.1493035444778</v>
      </c>
      <c r="G58" s="56">
        <f>924.75855567134*Deflactores!$D$5</f>
        <v>2807.5811972189249</v>
      </c>
      <c r="H58" s="56">
        <f>939.87571095315*Deflactores!$E$5</f>
        <v>2704.7949967049813</v>
      </c>
      <c r="I58" s="56">
        <f>1115.4372480153*Deflactores!$F$5</f>
        <v>3061.3941024024616</v>
      </c>
      <c r="J58" s="56">
        <f>1041.38612959485*Deflactores!$G$5</f>
        <v>2735.6545273425299</v>
      </c>
      <c r="K58" s="56">
        <f>1073.17659028713*Deflactores!$H$5</f>
        <v>2667.2788664379677</v>
      </c>
      <c r="L58" s="56">
        <f>1124.72225012072*Deflactores!$I$5</f>
        <v>2596.1523532613473</v>
      </c>
      <c r="M58" s="56">
        <f>1375.4322866259*Deflactores!$J$5</f>
        <v>3112.5492587698309</v>
      </c>
      <c r="N58" s="56">
        <f>1669.37602281604*Deflactores!$K$5</f>
        <v>3661.6144607832039</v>
      </c>
      <c r="O58" s="56">
        <f>1680.23656274845*Deflactores!$L$5</f>
        <v>3553.0259120044116</v>
      </c>
      <c r="P58" s="56">
        <f>1776.12253675505*Deflactores!$M$5</f>
        <v>3666.3278602488776</v>
      </c>
      <c r="Q58" s="56">
        <f>1788.35669894742*Deflactores!$N$5</f>
        <v>3621.3282339141797</v>
      </c>
      <c r="R58" s="56">
        <f>1809.69340245213*Deflactores!$O$5</f>
        <v>3535.1475362095985</v>
      </c>
      <c r="S58" s="56">
        <f>1941.15561285381*Deflactores!$P$5</f>
        <v>3551.5149699736521</v>
      </c>
      <c r="T58" s="56">
        <f>2121.98938580668*Deflactores!$Q$5</f>
        <v>3671.2683373335203</v>
      </c>
      <c r="U58" s="56">
        <f>2155.64407849314*Deflactores!$R$5</f>
        <v>3582.95182163034</v>
      </c>
      <c r="V58" s="56">
        <f>2006.47393312136*Deflactores!$S$5</f>
        <v>3232.2274294865606</v>
      </c>
    </row>
    <row r="59" spans="3:22" x14ac:dyDescent="0.2">
      <c r="C59" s="88" t="s">
        <v>130</v>
      </c>
      <c r="D59" s="57">
        <f>8.003812074*Deflactores!$A$5</f>
        <v>29.803898863684982</v>
      </c>
      <c r="E59" s="57">
        <f>12.9890533624*Deflactores!$B$5</f>
        <v>44.931043711428273</v>
      </c>
      <c r="F59" s="57">
        <f>16.11152975989*Deflactores!$C$5</f>
        <v>52.090092159962452</v>
      </c>
      <c r="G59" s="57">
        <f>12.91172400982*Deflactores!$D$5</f>
        <v>39.200192667949004</v>
      </c>
      <c r="H59" s="57">
        <f>14.5248119237699*Deflactores!$E$5</f>
        <v>41.799823276262956</v>
      </c>
      <c r="I59" s="57">
        <f>13.34073276181*Deflactores!$F$5</f>
        <v>36.614556911562126</v>
      </c>
      <c r="J59" s="57">
        <f>21.8517856500099*Deflactores!$G$5</f>
        <v>57.403238477187173</v>
      </c>
      <c r="K59" s="57">
        <f>17.68570364286*Deflactores!$H$5</f>
        <v>43.956142904742563</v>
      </c>
      <c r="L59" s="57">
        <f>18.20442863826*Deflactores!$I$5</f>
        <v>42.020570184260372</v>
      </c>
      <c r="M59" s="57">
        <f>11.91921765847*Deflactores!$J$5</f>
        <v>26.972721557231829</v>
      </c>
      <c r="N59" s="57">
        <f>3.59107803142*Deflactores!$K$5</f>
        <v>7.8766815084999857</v>
      </c>
      <c r="O59" s="57">
        <f>5.45818566797*Deflactores!$L$5</f>
        <v>11.541871865415342</v>
      </c>
      <c r="P59" s="57">
        <f>0*Deflactores!$M$5</f>
        <v>0</v>
      </c>
      <c r="Q59" s="57">
        <f>0*Deflactores!$N$5</f>
        <v>0</v>
      </c>
      <c r="R59" s="57">
        <f>0*Deflactores!$O$5</f>
        <v>0</v>
      </c>
      <c r="S59" s="57">
        <f>0*Deflactores!$P$5</f>
        <v>0</v>
      </c>
      <c r="T59" s="57">
        <f>0*Deflactores!$Q$5</f>
        <v>0</v>
      </c>
      <c r="U59" s="57">
        <f>0*Deflactores!$R$5</f>
        <v>0</v>
      </c>
      <c r="V59" s="57">
        <f>0*Deflactores!$S$5</f>
        <v>0</v>
      </c>
    </row>
    <row r="60" spans="3:22" x14ac:dyDescent="0.2">
      <c r="C60" s="87" t="s">
        <v>131</v>
      </c>
      <c r="D60" s="56">
        <f>141.774643534219*Deflactores!$A$5</f>
        <v>527.92807955286492</v>
      </c>
      <c r="E60" s="56">
        <f>154.557632629009*Deflactores!$B$5</f>
        <v>534.63755624341718</v>
      </c>
      <c r="F60" s="56">
        <f>194.840424600029*Deflactores!$C$5</f>
        <v>629.93743146405109</v>
      </c>
      <c r="G60" s="56">
        <f>203.03770081782*Deflactores!$D$5</f>
        <v>616.42558227411246</v>
      </c>
      <c r="H60" s="56">
        <f>215.42941723129*Deflactores!$E$5</f>
        <v>619.9675160020264</v>
      </c>
      <c r="I60" s="56">
        <f>199.12359370781*Deflactores!$F$5</f>
        <v>546.50837284744489</v>
      </c>
      <c r="J60" s="56">
        <f>137.26194730658*Deflactores!$G$5</f>
        <v>360.57832624214581</v>
      </c>
      <c r="K60" s="56">
        <f>59.76914968907*Deflactores!$H$5</f>
        <v>148.55056593059908</v>
      </c>
      <c r="L60" s="56">
        <f>45.24701120306*Deflactores!$I$5</f>
        <v>104.4419051906002</v>
      </c>
      <c r="M60" s="56">
        <f>58.46750104822*Deflactores!$J$5</f>
        <v>132.30965916627383</v>
      </c>
      <c r="N60" s="56">
        <f>11.59510866678*Deflactores!$K$5</f>
        <v>25.432746719947897</v>
      </c>
      <c r="O60" s="56">
        <f>11.12493472937*Deflactores!$L$5</f>
        <v>23.524771594157393</v>
      </c>
      <c r="P60" s="56">
        <f>16.05164785385*Deflactores!$M$5</f>
        <v>33.134315066455692</v>
      </c>
      <c r="Q60" s="56">
        <f>25.5639256053699*Deflactores!$N$5</f>
        <v>51.76560448980625</v>
      </c>
      <c r="R60" s="56">
        <f>18.22851435884*Deflactores!$O$5</f>
        <v>35.608511108620839</v>
      </c>
      <c r="S60" s="56">
        <f>19.68766792357*Deflactores!$P$5</f>
        <v>36.020320520122439</v>
      </c>
      <c r="T60" s="56">
        <f>23.10830436064*Deflactores!$Q$5</f>
        <v>39.979835288588312</v>
      </c>
      <c r="U60" s="56">
        <f>26.25296005972*Deflactores!$R$5</f>
        <v>43.63572447215649</v>
      </c>
      <c r="V60" s="56">
        <f>22.46956328931*Deflactores!$S$5</f>
        <v>36.196203495806529</v>
      </c>
    </row>
    <row r="61" spans="3:22" x14ac:dyDescent="0.2">
      <c r="C61" s="88" t="s">
        <v>132</v>
      </c>
      <c r="D61" s="57">
        <f>30.5061304197899*Deflactores!$A$5</f>
        <v>113.59607363937241</v>
      </c>
      <c r="E61" s="57">
        <f>36.39949117518*Deflactores!$B$5</f>
        <v>125.91118716934531</v>
      </c>
      <c r="F61" s="57">
        <f>37.9484548098399*Deflactores!$C$5</f>
        <v>122.690926177219</v>
      </c>
      <c r="G61" s="57">
        <f>29.71692825223*Deflactores!$D$5</f>
        <v>90.221051201300654</v>
      </c>
      <c r="H61" s="57">
        <f>33.8205599143099*Deflactores!$E$5</f>
        <v>97.329551318244825</v>
      </c>
      <c r="I61" s="57">
        <f>32.58751082365*Deflactores!$F$5</f>
        <v>89.438660601488266</v>
      </c>
      <c r="J61" s="57">
        <f>50.45359702978*Deflactores!$G$5</f>
        <v>132.53836133666502</v>
      </c>
      <c r="K61" s="57">
        <f>52.19541685416*Deflactores!$H$5</f>
        <v>129.72676962956547</v>
      </c>
      <c r="L61" s="57">
        <f>59.29509510314*Deflactores!$I$5</f>
        <v>136.86854747680997</v>
      </c>
      <c r="M61" s="57">
        <f>91.7809390404199*Deflactores!$J$5</f>
        <v>207.6966613022058</v>
      </c>
      <c r="N61" s="57">
        <f>101.63206999193*Deflactores!$K$5</f>
        <v>222.92009234326352</v>
      </c>
      <c r="O61" s="57">
        <f>102.13335867444*Deflactores!$L$5</f>
        <v>215.97105901370233</v>
      </c>
      <c r="P61" s="57">
        <f>111.491193539179*Deflactores!$M$5</f>
        <v>230.14361936530355</v>
      </c>
      <c r="Q61" s="57">
        <f>136.50245292901*Deflactores!$N$5</f>
        <v>276.4102860918681</v>
      </c>
      <c r="R61" s="57">
        <f>143.926416696659*Deflactores!$O$5</f>
        <v>281.15321451205267</v>
      </c>
      <c r="S61" s="57">
        <f>171.592670947138*Deflactores!$P$5</f>
        <v>313.9438876363896</v>
      </c>
      <c r="T61" s="57">
        <f>235.37181596516*Deflactores!$Q$5</f>
        <v>407.21838725177668</v>
      </c>
      <c r="U61" s="57">
        <f>303.126796357749*Deflactores!$R$5</f>
        <v>503.83489465207754</v>
      </c>
      <c r="V61" s="57">
        <f>386.73002907984*Deflactores!$S$5</f>
        <v>622.98312834467743</v>
      </c>
    </row>
    <row r="62" spans="3:22" x14ac:dyDescent="0.2">
      <c r="C62" s="87" t="s">
        <v>133</v>
      </c>
      <c r="D62" s="56">
        <f>0.11853800175*Deflactores!$A$5</f>
        <v>0.44140149506217818</v>
      </c>
      <c r="E62" s="56">
        <f>0.214188289*Deflactores!$B$5</f>
        <v>0.74090875655289878</v>
      </c>
      <c r="F62" s="56">
        <f>0.260938646*Deflactores!$C$5</f>
        <v>0.84363920253396329</v>
      </c>
      <c r="G62" s="56">
        <f>0.07390113754*Deflactores!$D$5</f>
        <v>0.22436499012411779</v>
      </c>
      <c r="H62" s="56">
        <f>1.20410662263*Deflactores!$E$5</f>
        <v>3.4652045269752709</v>
      </c>
      <c r="I62" s="56">
        <f>2.83453941795*Deflactores!$F$5</f>
        <v>7.7795880248571452</v>
      </c>
      <c r="J62" s="56">
        <f>6.1395643486*Deflactores!$G$5</f>
        <v>16.128241512773691</v>
      </c>
      <c r="K62" s="56">
        <f>1.67227434244*Deflactores!$H$5</f>
        <v>4.1562796401319826</v>
      </c>
      <c r="L62" s="56">
        <f>5.053744687*Deflactores!$I$5</f>
        <v>11.665361079616623</v>
      </c>
      <c r="M62" s="56">
        <f>4.66139467675*Deflactores!$J$5</f>
        <v>10.548553125464084</v>
      </c>
      <c r="N62" s="56">
        <f>3.78407508428*Deflactores!$K$5</f>
        <v>8.3000018329698619</v>
      </c>
      <c r="O62" s="56">
        <f>6.004542516*Deflactores!$L$5</f>
        <v>12.697197300707794</v>
      </c>
      <c r="P62" s="56">
        <f>5.28679631342999*Deflactores!$M$5</f>
        <v>10.913170805659684</v>
      </c>
      <c r="Q62" s="56">
        <f>3.71746154698999*Deflactores!$N$5</f>
        <v>7.527664065300061</v>
      </c>
      <c r="R62" s="56">
        <f>4.64879036292*Deflactores!$O$5</f>
        <v>9.0811845672661011</v>
      </c>
      <c r="S62" s="56">
        <f>3.97249314766*Deflactores!$P$5</f>
        <v>7.2680257000574411</v>
      </c>
      <c r="T62" s="56">
        <f>4.14800004867*Deflactores!$Q$5</f>
        <v>7.1764832302169825</v>
      </c>
      <c r="U62" s="56">
        <f>8.95598100564*Deflactores!$R$5</f>
        <v>14.88596785470987</v>
      </c>
      <c r="V62" s="56">
        <f>30.00912429724*Deflactores!$S$5</f>
        <v>48.341676952423178</v>
      </c>
    </row>
    <row r="63" spans="3:22" x14ac:dyDescent="0.2">
      <c r="C63" s="88" t="s">
        <v>134</v>
      </c>
      <c r="D63" s="57">
        <f>95.1793752617999*Deflactores!$A$5</f>
        <v>354.42067454661287</v>
      </c>
      <c r="E63" s="57">
        <f>109.822033842879*Deflactores!$B$5</f>
        <v>379.89054824859187</v>
      </c>
      <c r="F63" s="57">
        <f>124.05390120894*Deflactores!$C$5</f>
        <v>401.07793878541554</v>
      </c>
      <c r="G63" s="57">
        <f>110.564745944939*Deflactores!$D$5</f>
        <v>335.6762691045829</v>
      </c>
      <c r="H63" s="57">
        <f>122.995945236639*Deflactores!$E$5</f>
        <v>353.96043691105035</v>
      </c>
      <c r="I63" s="57">
        <f>122.982474151189*Deflactores!$F$5</f>
        <v>337.53384310521875</v>
      </c>
      <c r="J63" s="57">
        <f>124.86224888279*Deflactores!$G$5</f>
        <v>328.005114282889</v>
      </c>
      <c r="K63" s="57">
        <f>145.17442639258*Deflactores!$H$5</f>
        <v>360.81729975174119</v>
      </c>
      <c r="L63" s="57">
        <f>149.04338510996*Deflactores!$I$5</f>
        <v>344.0310129453992</v>
      </c>
      <c r="M63" s="57">
        <f>153.39774799646*Deflactores!$J$5</f>
        <v>347.13308060741008</v>
      </c>
      <c r="N63" s="57">
        <f>163.526828228149*Deflactores!$K$5</f>
        <v>358.68024386509603</v>
      </c>
      <c r="O63" s="57">
        <f>171.14833302793*Deflactores!$L$5</f>
        <v>361.91002834142836</v>
      </c>
      <c r="P63" s="57">
        <f>165.36240552697*Deflactores!$M$5</f>
        <v>341.34626517883987</v>
      </c>
      <c r="Q63" s="57">
        <f>173.17642322288*Deflactores!$N$5</f>
        <v>350.67314660123344</v>
      </c>
      <c r="R63" s="57">
        <f>164.672218465898*Deflactores!$O$5</f>
        <v>321.67912343775419</v>
      </c>
      <c r="S63" s="57">
        <f>165.45753935791*Deflactores!$P$5</f>
        <v>302.71912464592123</v>
      </c>
      <c r="T63" s="57">
        <f>169.78626317913*Deflactores!$Q$5</f>
        <v>293.74837418743977</v>
      </c>
      <c r="U63" s="57">
        <f>181.494629489639*Deflactores!$R$5</f>
        <v>301.666921656471</v>
      </c>
      <c r="V63" s="57">
        <f>201.8691909*Deflactores!$S$5</f>
        <v>325.19093581255788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>
        <f>0*Deflactores!$O$5</f>
        <v>0</v>
      </c>
      <c r="S64" s="56"/>
      <c r="T64" s="56"/>
      <c r="U64" s="56"/>
      <c r="V64" s="56"/>
    </row>
    <row r="65" spans="3:22" x14ac:dyDescent="0.2">
      <c r="C65" s="88" t="s">
        <v>136</v>
      </c>
      <c r="D65" s="57">
        <f>901.50422125414*Deflactores!$A$5</f>
        <v>3356.9429650558632</v>
      </c>
      <c r="E65" s="57">
        <f>932.469092945029*Deflactores!$B$5</f>
        <v>3225.5475750026221</v>
      </c>
      <c r="F65" s="57">
        <f>1038.13203410427*Deflactores!$C$5</f>
        <v>3356.3785771184216</v>
      </c>
      <c r="G65" s="57">
        <f>1119.92888966226*Deflactores!$D$5</f>
        <v>3400.1213328114513</v>
      </c>
      <c r="H65" s="57">
        <f>1191.32171027494*Deflactores!$E$5</f>
        <v>3428.4118249527778</v>
      </c>
      <c r="I65" s="57">
        <f>1287.49032750673*Deflactores!$F$5</f>
        <v>3533.6055905811504</v>
      </c>
      <c r="J65" s="57">
        <f>1655.29087091817*Deflactores!$G$5</f>
        <v>4348.3428830166795</v>
      </c>
      <c r="K65" s="57">
        <f>2209.504349147*Deflactores!$H$5</f>
        <v>5491.5139867202943</v>
      </c>
      <c r="L65" s="57">
        <f>2769.020696673*Deflactores!$I$5</f>
        <v>6391.6221068138275</v>
      </c>
      <c r="M65" s="57">
        <f>3600.99693686742*Deflactores!$J$5</f>
        <v>8148.9146762538003</v>
      </c>
      <c r="N65" s="57">
        <f>2942.24824650298*Deflactores!$K$5</f>
        <v>6453.5362790439031</v>
      </c>
      <c r="O65" s="57">
        <f>3003.70080757003*Deflactores!$L$5</f>
        <v>6351.6215738977726</v>
      </c>
      <c r="P65" s="57">
        <f>3111.21233563869*Deflactores!$M$5</f>
        <v>6422.2621070627429</v>
      </c>
      <c r="Q65" s="57">
        <f>3586.83309026666*Deflactores!$N$5</f>
        <v>7263.1483125068653</v>
      </c>
      <c r="R65" s="57">
        <f>1463.84673740134*Deflactores!$O$5</f>
        <v>2859.5529939495891</v>
      </c>
      <c r="S65" s="57">
        <f>1575.07497317459*Deflactores!$P$5</f>
        <v>2881.7382331530193</v>
      </c>
      <c r="T65" s="57">
        <f>2633.05563353561*Deflactores!$Q$5</f>
        <v>4555.4675449812084</v>
      </c>
      <c r="U65" s="57">
        <f>2863.86215081322*Deflactores!$R$5</f>
        <v>4760.0994118320377</v>
      </c>
      <c r="V65" s="57">
        <f>2879.89084741872*Deflactores!$S$5</f>
        <v>4639.2141145205032</v>
      </c>
    </row>
    <row r="66" spans="3:22" x14ac:dyDescent="0.2">
      <c r="C66" s="87" t="s">
        <v>137</v>
      </c>
      <c r="D66" s="56">
        <f>13.67201399619*Deflactores!$A$5</f>
        <v>50.910655902205569</v>
      </c>
      <c r="E66" s="56">
        <f>16.31033806234*Deflactores!$B$5</f>
        <v>56.419855395202049</v>
      </c>
      <c r="F66" s="56">
        <f>22.97294848556*Deflactores!$C$5</f>
        <v>74.273704709158565</v>
      </c>
      <c r="G66" s="56">
        <f>27.16624647671*Deflactores!$D$5</f>
        <v>82.477142102952115</v>
      </c>
      <c r="H66" s="56">
        <f>26.90616978977*Deflactores!$E$5</f>
        <v>77.431167312602525</v>
      </c>
      <c r="I66" s="56">
        <f>49.7923735626899*Deflactores!$F$5</f>
        <v>136.65858750966532</v>
      </c>
      <c r="J66" s="56">
        <f>51.69605256341*Deflactores!$G$5</f>
        <v>135.80221228397792</v>
      </c>
      <c r="K66" s="56">
        <f>34.06748990493*Deflactores!$H$5</f>
        <v>84.671522541967533</v>
      </c>
      <c r="L66" s="56">
        <f>50.7377852573899*Deflactores!$I$5</f>
        <v>117.11604405541318</v>
      </c>
      <c r="M66" s="56">
        <f>50.60149670534*Deflactores!$J$5</f>
        <v>114.50920019422806</v>
      </c>
      <c r="N66" s="56">
        <f>41.7600112394799*Deflactores!$K$5</f>
        <v>91.596536039261679</v>
      </c>
      <c r="O66" s="56">
        <f>43.78680811979*Deflactores!$L$5</f>
        <v>92.591523897739648</v>
      </c>
      <c r="P66" s="56">
        <f>50.1206771882519*Deflactores!$M$5</f>
        <v>103.46067421989535</v>
      </c>
      <c r="Q66" s="56">
        <f>49.99982356834*Deflactores!$N$5</f>
        <v>101.24701234676942</v>
      </c>
      <c r="R66" s="56">
        <f>61.4377894118559*Deflactores!$O$5</f>
        <v>120.01571623966382</v>
      </c>
      <c r="S66" s="56">
        <f>45.69249390887*Deflactores!$P$5</f>
        <v>83.598437476224618</v>
      </c>
      <c r="T66" s="56">
        <f>39.04748853089*Deflactores!$Q$5</f>
        <v>67.556326744468564</v>
      </c>
      <c r="U66" s="56">
        <f>67.81908243814*Deflactores!$R$5</f>
        <v>112.72385241486199</v>
      </c>
      <c r="V66" s="56">
        <f>44.89951800628*Deflactores!$S$5</f>
        <v>72.328601570647038</v>
      </c>
    </row>
    <row r="67" spans="3:22" x14ac:dyDescent="0.2">
      <c r="C67" s="88" t="s">
        <v>138</v>
      </c>
      <c r="D67" s="57">
        <f>13.5098436569499*Deflactores!$A$5</f>
        <v>50.306780105933164</v>
      </c>
      <c r="E67" s="57">
        <f>15.15026622446*Deflactores!$B$5</f>
        <v>52.406996489943658</v>
      </c>
      <c r="F67" s="57">
        <f>18.7159862645999*Deflactores!$C$5</f>
        <v>60.510545175832902</v>
      </c>
      <c r="G67" s="57">
        <f>29.82478729393*Deflactores!$D$5</f>
        <v>90.548512910705583</v>
      </c>
      <c r="H67" s="57">
        <f>56.27418564343*Deflactores!$E$5</f>
        <v>161.94708938444305</v>
      </c>
      <c r="I67" s="57">
        <f>32.41884819902*Deflactores!$F$5</f>
        <v>88.975754449432884</v>
      </c>
      <c r="J67" s="57">
        <f>60.2798115006799*Deflactores!$G$5</f>
        <v>158.35119611526346</v>
      </c>
      <c r="K67" s="57">
        <f>65.2936911571299*Deflactores!$H$5</f>
        <v>162.28129099288716</v>
      </c>
      <c r="L67" s="57">
        <f>94.48481506579*Deflactores!$I$5</f>
        <v>218.0956008954081</v>
      </c>
      <c r="M67" s="57">
        <f>73.36076872026*Deflactores!$J$5</f>
        <v>166.01253912918764</v>
      </c>
      <c r="N67" s="57">
        <f>77.5019734686099*Deflactores!$K$5</f>
        <v>169.99306502149886</v>
      </c>
      <c r="O67" s="57">
        <f>54.3894944289599*Deflactores!$L$5</f>
        <v>115.01194970475437</v>
      </c>
      <c r="P67" s="57">
        <f>27.7940853175437*Deflactores!$M$5</f>
        <v>57.373422858548167</v>
      </c>
      <c r="Q67" s="57">
        <f>24.48107961143*Deflactores!$N$5</f>
        <v>49.572898318188798</v>
      </c>
      <c r="R67" s="57">
        <f>43.7024991075*Deflactores!$O$5</f>
        <v>85.370694194243498</v>
      </c>
      <c r="S67" s="57">
        <f>0*Deflactores!$P$5</f>
        <v>0</v>
      </c>
      <c r="T67" s="57">
        <f>0*Deflactores!$Q$5</f>
        <v>0</v>
      </c>
      <c r="U67" s="57">
        <f>0*Deflactores!$R$5</f>
        <v>0</v>
      </c>
      <c r="V67" s="57">
        <f>0*Deflactores!$S$5</f>
        <v>0</v>
      </c>
    </row>
    <row r="68" spans="3:22" x14ac:dyDescent="0.2">
      <c r="C68" s="87" t="s">
        <v>139</v>
      </c>
      <c r="D68" s="56">
        <f>166.91388707259*Deflactores!$A$5</f>
        <v>621.53940688038301</v>
      </c>
      <c r="E68" s="56">
        <f>230.29545464953*Deflactores!$B$5</f>
        <v>796.62580872555429</v>
      </c>
      <c r="F68" s="56">
        <f>176.8590107242*Deflactores!$C$5</f>
        <v>571.80182796039253</v>
      </c>
      <c r="G68" s="56">
        <f>179.034568973699*Deflactores!$D$5</f>
        <v>543.55170484239977</v>
      </c>
      <c r="H68" s="56">
        <f>217.13969498702*Deflactores!$E$5</f>
        <v>624.8893909507716</v>
      </c>
      <c r="I68" s="56">
        <f>220.91821457421*Deflactores!$F$5</f>
        <v>606.32520602493935</v>
      </c>
      <c r="J68" s="56">
        <f>310.527447376699*Deflactores!$G$5</f>
        <v>815.73567492269285</v>
      </c>
      <c r="K68" s="56">
        <f>303.314585151759*Deflactores!$H$5</f>
        <v>753.85970042565907</v>
      </c>
      <c r="L68" s="56">
        <f>434.76875776104*Deflactores!$I$5</f>
        <v>1003.5597085988891</v>
      </c>
      <c r="M68" s="56">
        <f>711.19210937452*Deflactores!$J$5</f>
        <v>1609.3998188067046</v>
      </c>
      <c r="N68" s="56">
        <f>687.20548602533*Deflactores!$K$5</f>
        <v>1507.3186093299871</v>
      </c>
      <c r="O68" s="56">
        <f>739.88676759992*Deflactores!$L$5</f>
        <v>1564.5635355842851</v>
      </c>
      <c r="P68" s="56">
        <f>743.877318361519*Deflactores!$M$5</f>
        <v>1535.5348972142399</v>
      </c>
      <c r="Q68" s="56">
        <f>967.24709011813*Deflactores!$N$5</f>
        <v>1958.6244727786834</v>
      </c>
      <c r="R68" s="56">
        <f>846.352878859199*Deflactores!$O$5</f>
        <v>1653.3089474763349</v>
      </c>
      <c r="S68" s="56">
        <f>902.03891182106*Deflactores!$P$5</f>
        <v>1650.3595474869865</v>
      </c>
      <c r="T68" s="56">
        <f>990.518247371119*Deflactores!$Q$5</f>
        <v>1713.7023886395507</v>
      </c>
      <c r="U68" s="56">
        <f>996.28305824993*Deflactores!$R$5</f>
        <v>1655.9478598671606</v>
      </c>
      <c r="V68" s="56">
        <f>468.842055224949*Deflactores!$S$5</f>
        <v>755.25733276659264</v>
      </c>
    </row>
    <row r="69" spans="3:22" x14ac:dyDescent="0.2">
      <c r="C69" s="88" t="s">
        <v>140</v>
      </c>
      <c r="D69" s="57">
        <f>20.40286374909*Deflactores!$A$5</f>
        <v>75.974408455035757</v>
      </c>
      <c r="E69" s="57">
        <f>37.02605593009*Deflactores!$B$5</f>
        <v>128.07856670082026</v>
      </c>
      <c r="F69" s="57">
        <f>16.63222710139*Deflactores!$C$5</f>
        <v>53.773555674004811</v>
      </c>
      <c r="G69" s="57">
        <f>15.3162871038899*Deflactores!$D$5</f>
        <v>46.500483202202282</v>
      </c>
      <c r="H69" s="57">
        <f>2306.53273684083*Deflactores!$E$5</f>
        <v>6637.7906500174504</v>
      </c>
      <c r="I69" s="57">
        <f>2254.08539536518*Deflactores!$F$5</f>
        <v>6186.4921114664357</v>
      </c>
      <c r="J69" s="57">
        <f>353.380834682029*Deflactores!$G$5</f>
        <v>928.30877308696154</v>
      </c>
      <c r="K69" s="57">
        <f>173.403545318709*Deflactores!$H$5</f>
        <v>430.97810367841151</v>
      </c>
      <c r="L69" s="57">
        <f>304.45532783738*Deflactores!$I$5</f>
        <v>702.76231820178862</v>
      </c>
      <c r="M69" s="57">
        <f>316.79475235962*Deflactores!$J$5</f>
        <v>716.89408575538084</v>
      </c>
      <c r="N69" s="57">
        <f>1183.77604529881*Deflactores!$K$5</f>
        <v>2596.497988801249</v>
      </c>
      <c r="O69" s="57">
        <f>1137.0082817064*Deflactores!$L$5</f>
        <v>2404.3161401382126</v>
      </c>
      <c r="P69" s="57">
        <f>588.053133570975*Deflactores!$M$5</f>
        <v>1213.8777265091701</v>
      </c>
      <c r="Q69" s="57">
        <f>645.064996508*Deflactores!$N$5</f>
        <v>1306.2226824990094</v>
      </c>
      <c r="R69" s="57">
        <f>626.218822280098*Deflactores!$O$5</f>
        <v>1223.2878363328862</v>
      </c>
      <c r="S69" s="57">
        <f>798.730095784049*Deflactores!$P$5</f>
        <v>1461.3469797895968</v>
      </c>
      <c r="T69" s="57">
        <f>649.175017074519*Deflactores!$Q$5</f>
        <v>1123.1421332805644</v>
      </c>
      <c r="U69" s="57">
        <f>697.873674770709*Deflactores!$R$5</f>
        <v>1159.9538992705418</v>
      </c>
      <c r="V69" s="57">
        <f>641.03894344862*Deflactores!$S$5</f>
        <v>1032.6491773359066</v>
      </c>
    </row>
    <row r="70" spans="3:22" x14ac:dyDescent="0.2">
      <c r="C70" s="87" t="s">
        <v>141</v>
      </c>
      <c r="D70" s="56">
        <f>9.12766304758*Deflactores!$A$5</f>
        <v>33.988797315166565</v>
      </c>
      <c r="E70" s="56">
        <f>8.38083977937*Deflactores!$B$5</f>
        <v>28.990555967334409</v>
      </c>
      <c r="F70" s="56">
        <f>10.83871057821*Deflactores!$C$5</f>
        <v>35.04257145834012</v>
      </c>
      <c r="G70" s="56">
        <f>11.92827706617*Deflactores!$D$5</f>
        <v>36.214432622236643</v>
      </c>
      <c r="H70" s="56">
        <f>14.09637140133*Deflactores!$E$5</f>
        <v>40.566847715796669</v>
      </c>
      <c r="I70" s="56">
        <f>14.4622732668*Deflactores!$F$5</f>
        <v>39.69270182172275</v>
      </c>
      <c r="J70" s="56">
        <f>24.6572096128*Deflactores!$G$5</f>
        <v>64.77290717817877</v>
      </c>
      <c r="K70" s="56">
        <f>20.27944993198*Deflactores!$H$5</f>
        <v>50.402653874592083</v>
      </c>
      <c r="L70" s="56">
        <f>26.0867057836*Deflactores!$I$5</f>
        <v>60.21492204111761</v>
      </c>
      <c r="M70" s="56">
        <f>26.8510619693799*Deflactores!$J$5</f>
        <v>60.762898939210089</v>
      </c>
      <c r="N70" s="56">
        <f>26.8979553883399*Deflactores!$K$5</f>
        <v>58.998057399498279</v>
      </c>
      <c r="O70" s="56">
        <f>29.60803293318*Deflactores!$L$5</f>
        <v>62.609105495830015</v>
      </c>
      <c r="P70" s="56">
        <f>23.0349363154599*Deflactores!$M$5</f>
        <v>47.549438186131461</v>
      </c>
      <c r="Q70" s="56">
        <f>22.98484362756*Deflactores!$N$5</f>
        <v>46.543099164487586</v>
      </c>
      <c r="R70" s="56">
        <f>30.7571634791499*Deflactores!$O$5</f>
        <v>60.082614296312421</v>
      </c>
      <c r="S70" s="56">
        <f>28.51771076153*Deflactores!$P$5</f>
        <v>52.175660729256577</v>
      </c>
      <c r="T70" s="56">
        <f>31.79882428633*Deflactores!$Q$5</f>
        <v>55.01536320006413</v>
      </c>
      <c r="U70" s="56">
        <f>18.49309151377*Deflactores!$R$5</f>
        <v>30.737846098023955</v>
      </c>
      <c r="V70" s="56">
        <f>18.15825791927*Deflactores!$S$5</f>
        <v>29.251124746511287</v>
      </c>
    </row>
    <row r="71" spans="3:22" x14ac:dyDescent="0.2">
      <c r="C71" s="88" t="s">
        <v>142</v>
      </c>
      <c r="D71" s="57">
        <f>18.91902832774*Deflactores!$A$5</f>
        <v>70.449031244852563</v>
      </c>
      <c r="E71" s="57">
        <f>23.25017981721*Deflactores!$B$5</f>
        <v>80.425787508860324</v>
      </c>
      <c r="F71" s="57">
        <f>24.46692505868*Deflactores!$C$5</f>
        <v>79.103871585824976</v>
      </c>
      <c r="G71" s="57">
        <f>23.67554848118*Deflactores!$D$5</f>
        <v>71.879329303799281</v>
      </c>
      <c r="H71" s="57">
        <f>35.0686696121299*Deflactores!$E$5</f>
        <v>100.92138886299738</v>
      </c>
      <c r="I71" s="57">
        <f>30.3152409884*Deflactores!$F$5</f>
        <v>83.202260046388687</v>
      </c>
      <c r="J71" s="57">
        <f>37.2833636618499*Deflactores!$G$5</f>
        <v>97.941003531301533</v>
      </c>
      <c r="K71" s="57">
        <f>41.02654022911*Deflactores!$H$5</f>
        <v>101.96758362656256</v>
      </c>
      <c r="L71" s="57">
        <f>46.30445232787*Deflactores!$I$5</f>
        <v>106.88275515539475</v>
      </c>
      <c r="M71" s="57">
        <f>46.32704400041*Deflactores!$J$5</f>
        <v>104.83628155785232</v>
      </c>
      <c r="N71" s="57">
        <f>72.95133141763*Deflactores!$K$5</f>
        <v>160.01167286539962</v>
      </c>
      <c r="O71" s="57">
        <f>68.3372454495599*Deflactores!$L$5</f>
        <v>144.50584472470041</v>
      </c>
      <c r="P71" s="57">
        <f>75.79003497391*Deflactores!$M$5</f>
        <v>156.44816785093528</v>
      </c>
      <c r="Q71" s="57">
        <f>84.7396817022*Deflactores!$N$5</f>
        <v>171.59339748143836</v>
      </c>
      <c r="R71" s="57">
        <f>109.99704420675*Deflactores!$O$5</f>
        <v>214.87384508941238</v>
      </c>
      <c r="S71" s="57">
        <f>116.47791655346*Deflactores!$P$5</f>
        <v>213.1065956648315</v>
      </c>
      <c r="T71" s="57">
        <f>112.18333491425*Deflactores!$Q$5</f>
        <v>194.08915435766906</v>
      </c>
      <c r="U71" s="57">
        <f>115.4962221707*Deflactores!$R$5</f>
        <v>191.96926048534078</v>
      </c>
      <c r="V71" s="57">
        <f>107.28573986153*Deflactores!$S$5</f>
        <v>172.82652191436304</v>
      </c>
    </row>
    <row r="72" spans="3:22" x14ac:dyDescent="0.2">
      <c r="C72" s="87" t="s">
        <v>143</v>
      </c>
      <c r="D72" s="56">
        <f>0.0585*Deflactores!$A$5</f>
        <v>0.21783720899561584</v>
      </c>
      <c r="E72" s="56">
        <f>0*Deflactores!$B$5</f>
        <v>0</v>
      </c>
      <c r="F72" s="56">
        <f>0*Deflactores!$C$5</f>
        <v>0</v>
      </c>
      <c r="G72" s="56">
        <f>0*Deflactores!$D$5</f>
        <v>0</v>
      </c>
      <c r="H72" s="56">
        <f>51.62513713616*Deflactores!$E$5</f>
        <v>148.56795531877989</v>
      </c>
      <c r="I72" s="56">
        <f>8.41141910152*Deflactores!$F$5</f>
        <v>23.085717171492135</v>
      </c>
      <c r="J72" s="56">
        <f>0*Deflactores!$G$5</f>
        <v>0</v>
      </c>
      <c r="K72" s="56">
        <f>0*Deflactores!$H$5</f>
        <v>0</v>
      </c>
      <c r="L72" s="56">
        <f>0*Deflactores!$I$5</f>
        <v>0</v>
      </c>
      <c r="M72" s="56">
        <f>0*Deflactores!$J$5</f>
        <v>0</v>
      </c>
      <c r="N72" s="56">
        <f>0*Deflactores!$K$5</f>
        <v>0</v>
      </c>
      <c r="O72" s="56">
        <f>0*Deflactores!$L$5</f>
        <v>0</v>
      </c>
      <c r="P72" s="56">
        <f>1.837994*Deflactores!$M$5</f>
        <v>3.7940448756884537</v>
      </c>
      <c r="Q72" s="56">
        <f>3.565116884*Deflactores!$N$5</f>
        <v>7.2191741372580207</v>
      </c>
      <c r="R72" s="56">
        <f>11.10531429688*Deflactores!$O$5</f>
        <v>21.693688235948045</v>
      </c>
      <c r="S72" s="56">
        <f>0.260502065*Deflactores!$P$5</f>
        <v>0.47661144600168909</v>
      </c>
      <c r="T72" s="56">
        <f>11.80826940417*Deflactores!$Q$5</f>
        <v>20.429567589827201</v>
      </c>
      <c r="U72" s="56">
        <f>20.3188699500599*Deflactores!$R$5</f>
        <v>33.772519697188393</v>
      </c>
      <c r="V72" s="56">
        <f>56.06953242524*Deflactores!$S$5</f>
        <v>90.322369840817316</v>
      </c>
    </row>
    <row r="73" spans="3:22" x14ac:dyDescent="0.2">
      <c r="C73" s="88" t="s">
        <v>144</v>
      </c>
      <c r="D73" s="57">
        <f>0*Deflactores!$A$5</f>
        <v>0</v>
      </c>
      <c r="E73" s="57">
        <f>0*Deflactores!$B$5</f>
        <v>0</v>
      </c>
      <c r="F73" s="57">
        <f>0*Deflactores!$C$5</f>
        <v>0</v>
      </c>
      <c r="G73" s="57">
        <f>0*Deflactores!$D$5</f>
        <v>0</v>
      </c>
      <c r="H73" s="57">
        <f>0*Deflactores!$E$5</f>
        <v>0</v>
      </c>
      <c r="I73" s="57">
        <f>0*Deflactores!$F$5</f>
        <v>0</v>
      </c>
      <c r="J73" s="57">
        <f>0*Deflactores!$G$5</f>
        <v>0</v>
      </c>
      <c r="K73" s="57">
        <f>0*Deflactores!$H$5</f>
        <v>0</v>
      </c>
      <c r="L73" s="57">
        <f>0*Deflactores!$I$5</f>
        <v>0</v>
      </c>
      <c r="M73" s="57">
        <f>0*Deflactores!$J$5</f>
        <v>0</v>
      </c>
      <c r="N73" s="57">
        <f>0*Deflactores!$K$5</f>
        <v>0</v>
      </c>
      <c r="O73" s="57">
        <f>0*Deflactores!$L$5</f>
        <v>0</v>
      </c>
      <c r="P73" s="57">
        <f>0*Deflactores!$M$5</f>
        <v>0</v>
      </c>
      <c r="Q73" s="57">
        <f>0*Deflactores!$N$5</f>
        <v>0</v>
      </c>
      <c r="R73" s="57">
        <f>0*Deflactores!$O$5</f>
        <v>0</v>
      </c>
      <c r="S73" s="57">
        <f>0*Deflactores!$P$5</f>
        <v>0</v>
      </c>
      <c r="T73" s="57">
        <f>0*Deflactores!$Q$5</f>
        <v>0</v>
      </c>
      <c r="U73" s="57">
        <f>0*Deflactores!$R$5</f>
        <v>0</v>
      </c>
      <c r="V73" s="57">
        <f>0*Deflactores!$S$5</f>
        <v>0</v>
      </c>
    </row>
    <row r="74" spans="3:22" x14ac:dyDescent="0.2">
      <c r="C74" s="87" t="s">
        <v>145</v>
      </c>
      <c r="D74" s="56">
        <f>15.1657653094499*Deflactores!$A$5</f>
        <v>56.472957047745268</v>
      </c>
      <c r="E74" s="56">
        <f>14.28736353804*Deflactores!$B$5</f>
        <v>49.422089334624822</v>
      </c>
      <c r="F74" s="56">
        <f>32.637759147*Deflactores!$C$5</f>
        <v>105.52094724700397</v>
      </c>
      <c r="G74" s="56">
        <f>23.949605309*Deflactores!$D$5</f>
        <v>72.711370047881189</v>
      </c>
      <c r="H74" s="56">
        <f>28.2032478095*Deflactores!$E$5</f>
        <v>81.163926971370415</v>
      </c>
      <c r="I74" s="56">
        <f>12.863095361*Deflactores!$F$5</f>
        <v>35.303648275035656</v>
      </c>
      <c r="J74" s="56">
        <f>25.0498214018099*Deflactores!$G$5</f>
        <v>65.804273150482288</v>
      </c>
      <c r="K74" s="56">
        <f>30.14841375665*Deflactores!$H$5</f>
        <v>74.931029615755307</v>
      </c>
      <c r="L74" s="56">
        <f>24.79210777*Deflactores!$I$5</f>
        <v>57.226652111208821</v>
      </c>
      <c r="M74" s="56">
        <f>34.82654000942*Deflactores!$J$5</f>
        <v>78.811092589482968</v>
      </c>
      <c r="N74" s="56">
        <f>35.987668924*Deflactores!$K$5</f>
        <v>78.935462796279594</v>
      </c>
      <c r="O74" s="56">
        <f>41.1135668558099*Deflactores!$L$5</f>
        <v>86.938691617727727</v>
      </c>
      <c r="P74" s="56">
        <f>40.97943228817*Deflactores!$M$5</f>
        <v>84.591029721290369</v>
      </c>
      <c r="Q74" s="56">
        <f>38.22253412347*Deflactores!$N$5</f>
        <v>77.398620797818637</v>
      </c>
      <c r="R74" s="56">
        <f>54.07418067229*Deflactores!$O$5</f>
        <v>105.63126677545328</v>
      </c>
      <c r="S74" s="56">
        <f>68.04919394646*Deflactores!$P$5</f>
        <v>124.50198706129905</v>
      </c>
      <c r="T74" s="56">
        <f>86.87126489248*Deflactores!$Q$5</f>
        <v>150.29656903897927</v>
      </c>
      <c r="U74" s="56">
        <f>89.07446920025*Deflactores!$R$5</f>
        <v>148.05298094706174</v>
      </c>
      <c r="V74" s="56">
        <f>94.2997448785899*Deflactores!$S$5</f>
        <v>151.90739184735156</v>
      </c>
    </row>
    <row r="75" spans="3:22" x14ac:dyDescent="0.2">
      <c r="C75" s="88" t="s">
        <v>146</v>
      </c>
      <c r="D75" s="57">
        <f>52.80543624187*Deflactores!$A$5</f>
        <v>196.6322880465795</v>
      </c>
      <c r="E75" s="57">
        <f>55.54113389054*Deflactores!$B$5</f>
        <v>192.12494128648675</v>
      </c>
      <c r="F75" s="57">
        <f>52.2961154513099*Deflactores!$C$5</f>
        <v>169.07826345878703</v>
      </c>
      <c r="G75" s="57">
        <f>39.1749110501499*Deflactores!$D$5</f>
        <v>118.93563243356911</v>
      </c>
      <c r="H75" s="57">
        <f>38.47777006005*Deflactores!$E$5</f>
        <v>110.73217312663989</v>
      </c>
      <c r="I75" s="57">
        <f>43.1427822899899*Deflactores!$F$5</f>
        <v>118.40832776457258</v>
      </c>
      <c r="J75" s="57">
        <f>55.23657172369*Deflactores!$G$5</f>
        <v>145.10292889111301</v>
      </c>
      <c r="K75" s="57">
        <f>52.93431180082*Deflactores!$H$5</f>
        <v>131.5632231019774</v>
      </c>
      <c r="L75" s="57">
        <f>50.3791020424299*Deflactores!$I$5</f>
        <v>116.28810962760772</v>
      </c>
      <c r="M75" s="57">
        <f>72.62991210308*Deflactores!$J$5</f>
        <v>164.35863930133712</v>
      </c>
      <c r="N75" s="57">
        <f>116.966760831559*Deflactores!$K$5</f>
        <v>256.55525000852538</v>
      </c>
      <c r="O75" s="57">
        <f>113.092670704617*Deflactores!$L$5</f>
        <v>239.14560507718429</v>
      </c>
      <c r="P75" s="57">
        <f>226.787108687708*Deflactores!$M$5</f>
        <v>468.14106443698893</v>
      </c>
      <c r="Q75" s="57">
        <f>219.360041314875*Deflactores!$N$5</f>
        <v>444.19254362045666</v>
      </c>
      <c r="R75" s="57">
        <f>177.449381289906*Deflactores!$O$5</f>
        <v>346.6386859889779</v>
      </c>
      <c r="S75" s="57">
        <f>234.460574041864*Deflactores!$P$5</f>
        <v>428.96624725212405</v>
      </c>
      <c r="T75" s="57">
        <f>306.76087092197*Deflactores!$Q$5</f>
        <v>530.72907908092816</v>
      </c>
      <c r="U75" s="57">
        <f>306.50679758984*Deflactores!$R$5</f>
        <v>509.45288219114229</v>
      </c>
      <c r="V75" s="57">
        <f>221.714786127715*Deflactores!$S$5</f>
        <v>357.16019102721219</v>
      </c>
    </row>
    <row r="76" spans="3:22" x14ac:dyDescent="0.2">
      <c r="C76" s="90" t="s">
        <v>147</v>
      </c>
      <c r="D76" s="58">
        <f>506.2880732102*Deflactores!$A$5</f>
        <v>1885.2714669380853</v>
      </c>
      <c r="E76" s="58">
        <f>735.869050176059*Deflactores!$B$5</f>
        <v>2545.4791459289659</v>
      </c>
      <c r="F76" s="58">
        <f>692.77430183596*Deflactores!$C$5</f>
        <v>2239.8045230023636</v>
      </c>
      <c r="G76" s="58">
        <f>733.87525876151*Deflactores!$D$5</f>
        <v>2228.0565721365024</v>
      </c>
      <c r="H76" s="58">
        <f>906.02869294076*Deflactores!$E$5</f>
        <v>2607.3893036900467</v>
      </c>
      <c r="I76" s="58">
        <f>933.44981503486*Deflactores!$F$5</f>
        <v>2561.9170990757448</v>
      </c>
      <c r="J76" s="58">
        <f>1144.12525265454*Deflactores!$G$5</f>
        <v>3005.5436099278604</v>
      </c>
      <c r="K76" s="58">
        <f>1225.45039735193*Deflactores!$H$5</f>
        <v>3045.741005075678</v>
      </c>
      <c r="L76" s="58">
        <f>1406.91710588602*Deflactores!$I$5</f>
        <v>3247.5316949563262</v>
      </c>
      <c r="M76" s="58">
        <f>1661.62003009167*Deflactores!$J$5</f>
        <v>3760.1808851718602</v>
      </c>
      <c r="N76" s="58">
        <f>2137.13063128918*Deflactores!$K$5</f>
        <v>4687.588845867549</v>
      </c>
      <c r="O76" s="58">
        <f>2011.05300355432*Deflactores!$L$5</f>
        <v>4252.5699002495357</v>
      </c>
      <c r="P76" s="58">
        <f>2466.99588042161*Deflactores!$M$5</f>
        <v>5092.4502900761017</v>
      </c>
      <c r="Q76" s="58">
        <f>2610.01428086068*Deflactores!$N$5</f>
        <v>5285.1416117170747</v>
      </c>
      <c r="R76" s="58">
        <f>1306.91985909646*Deflactores!$O$5</f>
        <v>2553.0040136345465</v>
      </c>
      <c r="S76" s="58">
        <f>1878.40287259988*Deflactores!$P$5</f>
        <v>3436.7033109067884</v>
      </c>
      <c r="T76" s="58">
        <f>2184.99101395814*Deflactores!$Q$5</f>
        <v>3780.2678847299308</v>
      </c>
      <c r="U76" s="58">
        <f>2282.71665486154*Deflactores!$R$5</f>
        <v>3794.1624400811766</v>
      </c>
      <c r="V76" s="58">
        <f>2018.06129348178*Deflactores!$S$5</f>
        <v>3250.8935000365182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0*Deflactores!$S$5</f>
        <v>0</v>
      </c>
    </row>
    <row r="78" spans="3:22" x14ac:dyDescent="0.2">
      <c r="C78" s="87" t="s">
        <v>149</v>
      </c>
      <c r="D78" s="56">
        <f>163.270166460379*Deflactores!$A$5</f>
        <v>607.97123716202668</v>
      </c>
      <c r="E78" s="56">
        <f>185.10368988615*Deflactores!$B$5</f>
        <v>640.30085560327143</v>
      </c>
      <c r="F78" s="56">
        <f>201.39723615737*Deflactores!$C$5</f>
        <v>651.13622036786353</v>
      </c>
      <c r="G78" s="56">
        <f>166.4286155889*Deflactores!$D$5</f>
        <v>505.27983649457292</v>
      </c>
      <c r="H78" s="56">
        <f>199.51577893522*Deflactores!$E$5</f>
        <v>574.17089763965612</v>
      </c>
      <c r="I78" s="56">
        <f>138.06037734842*Deflactores!$F$5</f>
        <v>378.9161835342565</v>
      </c>
      <c r="J78" s="56">
        <f>264.36114345793*Deflactores!$G$5</f>
        <v>694.45975743454028</v>
      </c>
      <c r="K78" s="56">
        <f>390.095259084*Deflactores!$H$5</f>
        <v>969.54485391263654</v>
      </c>
      <c r="L78" s="56">
        <f>533.310213073*Deflactores!$I$5</f>
        <v>1231.0190934154373</v>
      </c>
      <c r="M78" s="56">
        <f>736.95853944888*Deflactores!$J$5</f>
        <v>1667.7082383551742</v>
      </c>
      <c r="N78" s="56">
        <f>873.36213722735*Deflactores!$K$5</f>
        <v>1915.6351759369854</v>
      </c>
      <c r="O78" s="56">
        <f>992.46887960147*Deflactores!$L$5</f>
        <v>2098.6733203293174</v>
      </c>
      <c r="P78" s="56">
        <f>1263.5330538589*Deflactores!$M$5</f>
        <v>2608.2245688812604</v>
      </c>
      <c r="Q78" s="56">
        <f>1283.69950593628*Deflactores!$N$5</f>
        <v>2599.423966955158</v>
      </c>
      <c r="R78" s="56">
        <f>1793.12918937338*Deflactores!$O$5</f>
        <v>3502.7901562383568</v>
      </c>
      <c r="S78" s="56">
        <f>1449.23813363372*Deflactores!$P$5</f>
        <v>2651.5086645165611</v>
      </c>
      <c r="T78" s="56">
        <f>1167.70348217955*Deflactores!$Q$5</f>
        <v>2020.2517742048847</v>
      </c>
      <c r="U78" s="56">
        <f>1233.41612316861*Deflactores!$R$5</f>
        <v>2050.0928652490747</v>
      </c>
      <c r="V78" s="56">
        <f>1177.34050500686*Deflactores!$S$5</f>
        <v>1896.5769807977681</v>
      </c>
    </row>
    <row r="79" spans="3:22" x14ac:dyDescent="0.2">
      <c r="C79" s="88" t="s">
        <v>150</v>
      </c>
      <c r="D79" s="57">
        <f>438.19972326172*Deflactores!$A$5</f>
        <v>1631.7299948373388</v>
      </c>
      <c r="E79" s="57">
        <f>742.11601622589*Deflactores!$B$5</f>
        <v>2567.0883191933758</v>
      </c>
      <c r="F79" s="57">
        <f>851.2214490135*Deflactores!$C$5</f>
        <v>2752.079063158601</v>
      </c>
      <c r="G79" s="57">
        <f>760.666438336229*Deflactores!$D$5</f>
        <v>2309.3950053567187</v>
      </c>
      <c r="H79" s="57">
        <f>725.04735526043*Deflactores!$E$5</f>
        <v>2086.5572288210192</v>
      </c>
      <c r="I79" s="57">
        <f>619.554418086199*Deflactores!$F$5</f>
        <v>1700.4096331024286</v>
      </c>
      <c r="J79" s="57">
        <f>830.180563765839*Deflactores!$G$5</f>
        <v>2180.831060868225</v>
      </c>
      <c r="K79" s="57">
        <f>784.906905635939*Deflactores!$H$5</f>
        <v>1950.8118425913701</v>
      </c>
      <c r="L79" s="57">
        <f>795.547989592629*Deflactores!$I$5</f>
        <v>1836.3322901201213</v>
      </c>
      <c r="M79" s="57">
        <f>897.73221565139*Deflactores!$J$5</f>
        <v>2031.5327548796508</v>
      </c>
      <c r="N79" s="57">
        <f>1002.53474641319*Deflactores!$K$5</f>
        <v>2198.9627709590509</v>
      </c>
      <c r="O79" s="57">
        <f>740.385893998199*Deflactores!$L$5</f>
        <v>1565.6189875758487</v>
      </c>
      <c r="P79" s="57">
        <f>1084.98144281714*Deflactores!$M$5</f>
        <v>2239.6527319117668</v>
      </c>
      <c r="Q79" s="57">
        <f>1098.34069992344*Deflactores!$N$5</f>
        <v>2224.0821360922232</v>
      </c>
      <c r="R79" s="57">
        <f>1417.68377141158*Deflactores!$O$5</f>
        <v>2769.3758980604721</v>
      </c>
      <c r="S79" s="57">
        <f>1541.33121096454*Deflactores!$P$5</f>
        <v>2820.0010515284935</v>
      </c>
      <c r="T79" s="57">
        <f>1670.86636678997*Deflactores!$Q$5</f>
        <v>2890.7773193123589</v>
      </c>
      <c r="U79" s="57">
        <f>2348.47137240831*Deflactores!$R$5</f>
        <v>3903.4550581740837</v>
      </c>
      <c r="V79" s="57">
        <f>2015.20138143864*Deflactores!$S$5</f>
        <v>3246.2864697635778</v>
      </c>
    </row>
    <row r="80" spans="3:22" x14ac:dyDescent="0.2">
      <c r="C80" s="87" t="s">
        <v>151</v>
      </c>
      <c r="D80" s="56">
        <f>26.857936547*Deflactores!$A$5</f>
        <v>100.01124678256116</v>
      </c>
      <c r="E80" s="56">
        <f>36.53579006568*Deflactores!$B$5</f>
        <v>126.3826650543005</v>
      </c>
      <c r="F80" s="56">
        <f>10.36058953445*Deflactores!$C$5</f>
        <v>33.496761122249112</v>
      </c>
      <c r="G80" s="56">
        <f>11.26058101111*Deflactores!$D$5</f>
        <v>34.187297130332155</v>
      </c>
      <c r="H80" s="56">
        <f>22.9284455457*Deflactores!$E$5</f>
        <v>65.983984979608991</v>
      </c>
      <c r="I80" s="56">
        <f>88.1926808026499*Deflactores!$F$5</f>
        <v>242.05086692657395</v>
      </c>
      <c r="J80" s="56">
        <f>23.58111021023*Deflactores!$G$5</f>
        <v>61.946063110593101</v>
      </c>
      <c r="K80" s="56">
        <f>13.86999891267*Deflactores!$H$5</f>
        <v>34.472569856731752</v>
      </c>
      <c r="L80" s="56">
        <f>0*Deflactores!$I$5</f>
        <v>0</v>
      </c>
      <c r="M80" s="56">
        <f>0*Deflactores!$J$5</f>
        <v>0</v>
      </c>
      <c r="N80" s="56">
        <f>0*Deflactores!$K$5</f>
        <v>0</v>
      </c>
      <c r="O80" s="56">
        <f>0*Deflactores!$L$5</f>
        <v>0</v>
      </c>
      <c r="P80" s="56">
        <f>0*Deflactores!$M$5</f>
        <v>0</v>
      </c>
      <c r="Q80" s="56">
        <f>0*Deflactores!$N$5</f>
        <v>0</v>
      </c>
      <c r="R80" s="56">
        <f>0*Deflactores!$O$5</f>
        <v>0</v>
      </c>
      <c r="S80" s="56">
        <f>0*Deflactores!$P$5</f>
        <v>0</v>
      </c>
      <c r="T80" s="56">
        <f>0*Deflactores!$Q$5</f>
        <v>0</v>
      </c>
      <c r="U80" s="56">
        <f>0*Deflactores!$R$5</f>
        <v>0</v>
      </c>
      <c r="V80" s="56">
        <f>0*Deflactores!$S$5</f>
        <v>0</v>
      </c>
    </row>
    <row r="81" spans="3:22" x14ac:dyDescent="0.2">
      <c r="C81" s="79" t="s">
        <v>154</v>
      </c>
      <c r="D81" s="44">
        <f t="shared" ref="D81:Q81" si="1">+SUM(D52:D80)</f>
        <v>12294.856941987453</v>
      </c>
      <c r="E81" s="44">
        <f t="shared" si="1"/>
        <v>14383.56640623537</v>
      </c>
      <c r="F81" s="44">
        <f t="shared" si="1"/>
        <v>14318.396603375097</v>
      </c>
      <c r="G81" s="44">
        <f t="shared" si="1"/>
        <v>13747.579605846331</v>
      </c>
      <c r="H81" s="44">
        <f t="shared" si="1"/>
        <v>20944.172305451877</v>
      </c>
      <c r="I81" s="44">
        <f t="shared" si="1"/>
        <v>20204.402448676152</v>
      </c>
      <c r="J81" s="44">
        <f t="shared" si="1"/>
        <v>16787.247304559885</v>
      </c>
      <c r="K81" s="44">
        <f t="shared" si="1"/>
        <v>17122.896046691374</v>
      </c>
      <c r="L81" s="44">
        <f t="shared" si="1"/>
        <v>18865.880239314585</v>
      </c>
      <c r="M81" s="44">
        <f t="shared" si="1"/>
        <v>22982.017338874033</v>
      </c>
      <c r="N81" s="44">
        <f t="shared" si="1"/>
        <v>24929.273370163057</v>
      </c>
      <c r="O81" s="44">
        <f t="shared" si="1"/>
        <v>23601.824594706148</v>
      </c>
      <c r="P81" s="44">
        <f t="shared" si="1"/>
        <v>24808.574172706692</v>
      </c>
      <c r="Q81" s="44">
        <f t="shared" si="1"/>
        <v>26489.536417928466</v>
      </c>
      <c r="R81" s="44">
        <f>10467.8882705937*Deflactores!$O$5</f>
        <v>20448.507674816228</v>
      </c>
      <c r="S81" s="44">
        <f>+SUM(S52:S80)</f>
        <v>20743.118046174397</v>
      </c>
      <c r="T81" s="44">
        <f>+SUM(T52:T80)</f>
        <v>22213.723496292769</v>
      </c>
      <c r="U81" s="44">
        <f>+SUM(U52:U80)</f>
        <v>23553.503302560581</v>
      </c>
      <c r="V81" s="44">
        <f>+SUM(V52:V80)</f>
        <v>20754.163636815923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55" t="s">
        <v>173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3:22" ht="4.5" customHeight="1" x14ac:dyDescent="0.2">
      <c r="H87" s="27"/>
      <c r="I87" s="27"/>
      <c r="J87" s="27"/>
      <c r="L87" s="177"/>
      <c r="M87" s="156"/>
      <c r="N87" s="156"/>
      <c r="O87" s="156"/>
      <c r="P87" s="156"/>
      <c r="Q87" s="156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6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60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76.826405648153099</v>
      </c>
      <c r="E91" s="60">
        <f t="shared" si="2"/>
        <v>86.003312360620328</v>
      </c>
      <c r="F91" s="60">
        <f t="shared" si="2"/>
        <v>93.542900455728002</v>
      </c>
      <c r="G91" s="60">
        <f t="shared" si="2"/>
        <v>89.683407345069057</v>
      </c>
      <c r="H91" s="60">
        <f t="shared" si="2"/>
        <v>94.141923247317166</v>
      </c>
      <c r="I91" s="60">
        <f t="shared" si="2"/>
        <v>93.748512574855496</v>
      </c>
      <c r="J91" s="60">
        <f t="shared" si="2"/>
        <v>92.611655770696558</v>
      </c>
      <c r="K91" s="60">
        <f t="shared" si="2"/>
        <v>92.926885201151251</v>
      </c>
      <c r="L91" s="60">
        <f t="shared" si="2"/>
        <v>95.486567788343919</v>
      </c>
      <c r="M91" s="60">
        <f t="shared" si="2"/>
        <v>78.529915347409187</v>
      </c>
      <c r="N91" s="60">
        <f t="shared" si="2"/>
        <v>83.022110148997228</v>
      </c>
      <c r="O91" s="60">
        <f t="shared" si="2"/>
        <v>87.470355127180014</v>
      </c>
      <c r="P91" s="60">
        <f t="shared" si="2"/>
        <v>91.836218355561371</v>
      </c>
      <c r="Q91" s="60">
        <f t="shared" si="2"/>
        <v>81.108752600749128</v>
      </c>
      <c r="R91" s="60">
        <f t="shared" si="2"/>
        <v>94.504188844412766</v>
      </c>
      <c r="S91" s="60">
        <f t="shared" si="2"/>
        <v>80.94595554650607</v>
      </c>
      <c r="T91" s="60">
        <f t="shared" si="2"/>
        <v>93.977883118074729</v>
      </c>
      <c r="U91" s="60">
        <f t="shared" si="2"/>
        <v>96.332495196132271</v>
      </c>
      <c r="V91" s="60">
        <f t="shared" si="2"/>
        <v>87.655412913050441</v>
      </c>
    </row>
    <row r="92" spans="3:22" x14ac:dyDescent="0.2">
      <c r="C92" s="88" t="s">
        <v>124</v>
      </c>
      <c r="D92" s="62">
        <f t="shared" ref="D92:V92" si="3">+IFERROR(IF(D53&gt;0,+((D53/D14)*100)," "),"")</f>
        <v>53.361684791619211</v>
      </c>
      <c r="E92" s="62">
        <f t="shared" si="3"/>
        <v>34.503811298701301</v>
      </c>
      <c r="F92" s="62">
        <f t="shared" si="3"/>
        <v>84.45177390405766</v>
      </c>
      <c r="G92" s="62">
        <f t="shared" si="3"/>
        <v>78.540960771617748</v>
      </c>
      <c r="H92" s="62">
        <f t="shared" si="3"/>
        <v>76.045622603116342</v>
      </c>
      <c r="I92" s="62">
        <f t="shared" si="3"/>
        <v>73.492735641343415</v>
      </c>
      <c r="J92" s="62">
        <f t="shared" si="3"/>
        <v>79.736118342793333</v>
      </c>
      <c r="K92" s="62">
        <f t="shared" si="3"/>
        <v>86.472704414794947</v>
      </c>
      <c r="L92" s="62">
        <f t="shared" si="3"/>
        <v>76.563498641025646</v>
      </c>
      <c r="M92" s="62">
        <f t="shared" si="3"/>
        <v>82.740355725125468</v>
      </c>
      <c r="N92" s="62">
        <f t="shared" si="3"/>
        <v>80.941258681015896</v>
      </c>
      <c r="O92" s="62">
        <f t="shared" si="3"/>
        <v>88.506703864656927</v>
      </c>
      <c r="P92" s="62">
        <f t="shared" si="3"/>
        <v>88.225640580008942</v>
      </c>
      <c r="Q92" s="62">
        <f t="shared" si="3"/>
        <v>79.329424954602842</v>
      </c>
      <c r="R92" s="62">
        <f t="shared" si="3"/>
        <v>84.140701101583417</v>
      </c>
      <c r="S92" s="62">
        <f t="shared" si="3"/>
        <v>89.998342840288302</v>
      </c>
      <c r="T92" s="62">
        <f t="shared" si="3"/>
        <v>89.934567032915155</v>
      </c>
      <c r="U92" s="62">
        <f t="shared" si="3"/>
        <v>96.900639459504134</v>
      </c>
      <c r="V92" s="62">
        <f t="shared" si="3"/>
        <v>97.353098980955494</v>
      </c>
    </row>
    <row r="93" spans="3:22" x14ac:dyDescent="0.2">
      <c r="C93" s="87" t="s">
        <v>125</v>
      </c>
      <c r="D93" s="60">
        <f t="shared" ref="D93:V93" si="4">+IFERROR(IF(D54&gt;0,+((D54/D15)*100)," "),"")</f>
        <v>94.330263889837184</v>
      </c>
      <c r="E93" s="60">
        <f t="shared" si="4"/>
        <v>94.835507919261829</v>
      </c>
      <c r="F93" s="60">
        <f t="shared" si="4"/>
        <v>99.187380036384582</v>
      </c>
      <c r="G93" s="60">
        <f t="shared" si="4"/>
        <v>98.942357340366812</v>
      </c>
      <c r="H93" s="60">
        <f t="shared" si="4"/>
        <v>98.338137794297779</v>
      </c>
      <c r="I93" s="60">
        <f t="shared" si="4"/>
        <v>98.782361766819164</v>
      </c>
      <c r="J93" s="60">
        <f t="shared" si="4"/>
        <v>98.186682367604561</v>
      </c>
      <c r="K93" s="60">
        <f t="shared" si="4"/>
        <v>93.851874025676238</v>
      </c>
      <c r="L93" s="60">
        <f t="shared" si="4"/>
        <v>96.504199034955192</v>
      </c>
      <c r="M93" s="60">
        <f t="shared" si="4"/>
        <v>97.144680580533134</v>
      </c>
      <c r="N93" s="60" t="str">
        <f t="shared" si="4"/>
        <v xml:space="preserve"> </v>
      </c>
      <c r="O93" s="60" t="str">
        <f t="shared" si="4"/>
        <v xml:space="preserve"> </v>
      </c>
      <c r="P93" s="60" t="str">
        <f t="shared" si="4"/>
        <v xml:space="preserve"> </v>
      </c>
      <c r="Q93" s="60" t="str">
        <f t="shared" si="4"/>
        <v xml:space="preserve"> </v>
      </c>
      <c r="R93" s="60" t="str">
        <f t="shared" si="4"/>
        <v xml:space="preserve"> </v>
      </c>
      <c r="S93" s="60" t="str">
        <f t="shared" si="4"/>
        <v xml:space="preserve"> </v>
      </c>
      <c r="T93" s="60" t="str">
        <f t="shared" si="4"/>
        <v xml:space="preserve"> </v>
      </c>
      <c r="U93" s="60" t="str">
        <f t="shared" si="4"/>
        <v xml:space="preserve"> </v>
      </c>
      <c r="V93" s="60" t="str">
        <f t="shared" si="4"/>
        <v xml:space="preserve"> </v>
      </c>
    </row>
    <row r="94" spans="3:22" x14ac:dyDescent="0.2">
      <c r="C94" s="88" t="s">
        <v>126</v>
      </c>
      <c r="D94" s="62">
        <f t="shared" ref="D94:V94" si="5">+IFERROR(IF(D55&gt;0,+((D55/D16)*100)," "),"")</f>
        <v>95.114713813779744</v>
      </c>
      <c r="E94" s="62">
        <f t="shared" si="5"/>
        <v>88.910546805608632</v>
      </c>
      <c r="F94" s="62">
        <f t="shared" si="5"/>
        <v>78.504930226419859</v>
      </c>
      <c r="G94" s="62">
        <f t="shared" si="5"/>
        <v>89.068626117182063</v>
      </c>
      <c r="H94" s="62">
        <f t="shared" si="5"/>
        <v>87.124927162062875</v>
      </c>
      <c r="I94" s="62">
        <f t="shared" si="5"/>
        <v>90.222352769585413</v>
      </c>
      <c r="J94" s="62">
        <f t="shared" si="5"/>
        <v>87.60954711798739</v>
      </c>
      <c r="K94" s="62">
        <f t="shared" si="5"/>
        <v>94.732023352017819</v>
      </c>
      <c r="L94" s="62">
        <f t="shared" si="5"/>
        <v>93.569938059520382</v>
      </c>
      <c r="M94" s="62">
        <f t="shared" si="5"/>
        <v>95.425199939338569</v>
      </c>
      <c r="N94" s="62">
        <f t="shared" si="5"/>
        <v>92.256907099016288</v>
      </c>
      <c r="O94" s="62">
        <f t="shared" si="5"/>
        <v>86.952000054031117</v>
      </c>
      <c r="P94" s="62">
        <f t="shared" si="5"/>
        <v>92.299314068765312</v>
      </c>
      <c r="Q94" s="62">
        <f t="shared" si="5"/>
        <v>95.602105946941023</v>
      </c>
      <c r="R94" s="62">
        <f t="shared" si="5"/>
        <v>96.254637202357358</v>
      </c>
      <c r="S94" s="62">
        <f t="shared" si="5"/>
        <v>95.661710815116834</v>
      </c>
      <c r="T94" s="62">
        <f t="shared" si="5"/>
        <v>96.011157445576984</v>
      </c>
      <c r="U94" s="62">
        <f t="shared" si="5"/>
        <v>97.646179930332295</v>
      </c>
      <c r="V94" s="62">
        <f t="shared" si="5"/>
        <v>95.998223228670028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 t="str">
        <f t="shared" si="6"/>
        <v xml:space="preserve"> </v>
      </c>
      <c r="F95" s="60" t="str">
        <f t="shared" si="6"/>
        <v xml:space="preserve"> </v>
      </c>
      <c r="G95" s="60" t="str">
        <f t="shared" si="6"/>
        <v xml:space="preserve"> </v>
      </c>
      <c r="H95" s="60" t="str">
        <f t="shared" si="6"/>
        <v xml:space="preserve"> </v>
      </c>
      <c r="I95" s="60" t="str">
        <f t="shared" si="6"/>
        <v xml:space="preserve"> </v>
      </c>
      <c r="J95" s="60" t="str">
        <f t="shared" si="6"/>
        <v xml:space="preserve"> </v>
      </c>
      <c r="K95" s="60" t="str">
        <f t="shared" si="6"/>
        <v xml:space="preserve"> </v>
      </c>
      <c r="L95" s="60" t="str">
        <f t="shared" si="6"/>
        <v xml:space="preserve"> </v>
      </c>
      <c r="M95" s="60" t="str">
        <f t="shared" si="6"/>
        <v xml:space="preserve"> </v>
      </c>
      <c r="N95" s="60" t="str">
        <f t="shared" si="6"/>
        <v xml:space="preserve"> </v>
      </c>
      <c r="O95" s="60" t="str">
        <f t="shared" si="6"/>
        <v xml:space="preserve"> </v>
      </c>
      <c r="P95" s="60" t="str">
        <f t="shared" si="6"/>
        <v xml:space="preserve"> </v>
      </c>
      <c r="Q95" s="60" t="str">
        <f t="shared" si="6"/>
        <v xml:space="preserve"> </v>
      </c>
      <c r="R95" s="60" t="str">
        <f t="shared" si="6"/>
        <v xml:space="preserve"> </v>
      </c>
      <c r="S95" s="60" t="str">
        <f t="shared" si="6"/>
        <v xml:space="preserve"> </v>
      </c>
      <c r="T95" s="60" t="str">
        <f t="shared" si="6"/>
        <v xml:space="preserve"> </v>
      </c>
      <c r="U95" s="60" t="str">
        <f t="shared" si="6"/>
        <v xml:space="preserve"> </v>
      </c>
      <c r="V95" s="60" t="str">
        <f t="shared" si="6"/>
        <v xml:space="preserve"> </v>
      </c>
    </row>
    <row r="96" spans="3:22" x14ac:dyDescent="0.2">
      <c r="C96" s="88" t="s">
        <v>128</v>
      </c>
      <c r="D96" s="62">
        <f t="shared" ref="D96:V96" si="7">+IFERROR(IF(D57&gt;0,+((D57/D18)*100)," "),"")</f>
        <v>86.980122753860371</v>
      </c>
      <c r="E96" s="62">
        <f t="shared" si="7"/>
        <v>89.213415832962923</v>
      </c>
      <c r="F96" s="62">
        <f t="shared" si="7"/>
        <v>82.191642610683886</v>
      </c>
      <c r="G96" s="62">
        <f t="shared" si="7"/>
        <v>91.351259206325281</v>
      </c>
      <c r="H96" s="62">
        <f t="shared" si="7"/>
        <v>90.964498867269583</v>
      </c>
      <c r="I96" s="62">
        <f t="shared" si="7"/>
        <v>92.97911259697031</v>
      </c>
      <c r="J96" s="62">
        <f t="shared" si="7"/>
        <v>35.352814771903873</v>
      </c>
      <c r="K96" s="62">
        <f t="shared" si="7"/>
        <v>56.116034118354129</v>
      </c>
      <c r="L96" s="62">
        <f t="shared" si="7"/>
        <v>85.672773747349851</v>
      </c>
      <c r="M96" s="62">
        <f t="shared" si="7"/>
        <v>35.058042094419314</v>
      </c>
      <c r="N96" s="62">
        <f t="shared" si="7"/>
        <v>93.412235377375836</v>
      </c>
      <c r="O96" s="62">
        <f t="shared" si="7"/>
        <v>81.194102803351058</v>
      </c>
      <c r="P96" s="62">
        <f t="shared" si="7"/>
        <v>94.084429236096724</v>
      </c>
      <c r="Q96" s="62">
        <f t="shared" si="7"/>
        <v>88.57543025553889</v>
      </c>
      <c r="R96" s="62">
        <f t="shared" si="7"/>
        <v>95.205138880396518</v>
      </c>
      <c r="S96" s="62">
        <f t="shared" si="7"/>
        <v>95.758341336382415</v>
      </c>
      <c r="T96" s="62">
        <f t="shared" si="7"/>
        <v>97.857401402652869</v>
      </c>
      <c r="U96" s="62">
        <f t="shared" si="7"/>
        <v>98.071660235325226</v>
      </c>
      <c r="V96" s="62">
        <f t="shared" si="7"/>
        <v>98.369589389629823</v>
      </c>
    </row>
    <row r="97" spans="3:22" x14ac:dyDescent="0.2">
      <c r="C97" s="87" t="s">
        <v>129</v>
      </c>
      <c r="D97" s="60">
        <f t="shared" ref="D97:V97" si="8">+IFERROR(IF(D58&gt;0,+((D58/D19)*100)," "),"")</f>
        <v>87.3268444824363</v>
      </c>
      <c r="E97" s="60">
        <f t="shared" si="8"/>
        <v>90.302815302222115</v>
      </c>
      <c r="F97" s="60">
        <f t="shared" si="8"/>
        <v>89.357896008881127</v>
      </c>
      <c r="G97" s="60">
        <f t="shared" si="8"/>
        <v>91.115206709447108</v>
      </c>
      <c r="H97" s="60">
        <f t="shared" si="8"/>
        <v>93.409064206203254</v>
      </c>
      <c r="I97" s="60">
        <f t="shared" si="8"/>
        <v>94.268314988125269</v>
      </c>
      <c r="J97" s="60">
        <f t="shared" si="8"/>
        <v>93.607657570444516</v>
      </c>
      <c r="K97" s="60">
        <f t="shared" si="8"/>
        <v>92.470814543056406</v>
      </c>
      <c r="L97" s="60">
        <f t="shared" si="8"/>
        <v>92.463722564322595</v>
      </c>
      <c r="M97" s="60">
        <f t="shared" si="8"/>
        <v>91.3811197815089</v>
      </c>
      <c r="N97" s="60">
        <f t="shared" si="8"/>
        <v>95.498290468946053</v>
      </c>
      <c r="O97" s="60">
        <f t="shared" si="8"/>
        <v>86.684756870288311</v>
      </c>
      <c r="P97" s="60">
        <f t="shared" si="8"/>
        <v>86.304308490020304</v>
      </c>
      <c r="Q97" s="60">
        <f t="shared" si="8"/>
        <v>84.51325185496114</v>
      </c>
      <c r="R97" s="60">
        <f t="shared" si="8"/>
        <v>91.453103946654977</v>
      </c>
      <c r="S97" s="60">
        <f t="shared" si="8"/>
        <v>87.50627161093476</v>
      </c>
      <c r="T97" s="60">
        <f t="shared" si="8"/>
        <v>94.532294571805679</v>
      </c>
      <c r="U97" s="60">
        <f t="shared" si="8"/>
        <v>97.976281186011249</v>
      </c>
      <c r="V97" s="60">
        <f t="shared" si="8"/>
        <v>97.199281247847708</v>
      </c>
    </row>
    <row r="98" spans="3:22" x14ac:dyDescent="0.2">
      <c r="C98" s="88" t="s">
        <v>130</v>
      </c>
      <c r="D98" s="62">
        <f t="shared" ref="D98:V98" si="9">+IFERROR(IF(D59&gt;0,+((D59/D20)*100)," "),"")</f>
        <v>88.355910844540716</v>
      </c>
      <c r="E98" s="62">
        <f t="shared" si="9"/>
        <v>94.362832736045959</v>
      </c>
      <c r="F98" s="62">
        <f t="shared" si="9"/>
        <v>95.933626429420997</v>
      </c>
      <c r="G98" s="62">
        <f t="shared" si="9"/>
        <v>93.158798602296358</v>
      </c>
      <c r="H98" s="62">
        <f t="shared" si="9"/>
        <v>95.998138624862804</v>
      </c>
      <c r="I98" s="62">
        <f t="shared" si="9"/>
        <v>97.405126577975324</v>
      </c>
      <c r="J98" s="62">
        <f t="shared" si="9"/>
        <v>93.987387579237165</v>
      </c>
      <c r="K98" s="62">
        <f t="shared" si="9"/>
        <v>95.129376817965834</v>
      </c>
      <c r="L98" s="62">
        <f t="shared" si="9"/>
        <v>95.454474433987301</v>
      </c>
      <c r="M98" s="62">
        <f t="shared" si="9"/>
        <v>63.460640310590101</v>
      </c>
      <c r="N98" s="62">
        <f t="shared" si="9"/>
        <v>96.347144660234136</v>
      </c>
      <c r="O98" s="62">
        <f t="shared" si="9"/>
        <v>84.908596333822359</v>
      </c>
      <c r="P98" s="62" t="str">
        <f t="shared" si="9"/>
        <v xml:space="preserve"> </v>
      </c>
      <c r="Q98" s="62" t="str">
        <f t="shared" si="9"/>
        <v xml:space="preserve"> </v>
      </c>
      <c r="R98" s="62" t="str">
        <f t="shared" si="9"/>
        <v xml:space="preserve"> </v>
      </c>
      <c r="S98" s="62" t="str">
        <f t="shared" si="9"/>
        <v xml:space="preserve"> </v>
      </c>
      <c r="T98" s="62" t="str">
        <f t="shared" si="9"/>
        <v xml:space="preserve"> </v>
      </c>
      <c r="U98" s="62" t="str">
        <f t="shared" si="9"/>
        <v xml:space="preserve"> </v>
      </c>
      <c r="V98" s="62" t="str">
        <f t="shared" si="9"/>
        <v xml:space="preserve"> </v>
      </c>
    </row>
    <row r="99" spans="3:22" x14ac:dyDescent="0.2">
      <c r="C99" s="87" t="s">
        <v>131</v>
      </c>
      <c r="D99" s="60">
        <f t="shared" ref="D99:V99" si="10">+IFERROR(IF(D60&gt;0,+((D60/D21)*100)," "),"")</f>
        <v>95.350520911807195</v>
      </c>
      <c r="E99" s="60">
        <f t="shared" si="10"/>
        <v>95.216427560241243</v>
      </c>
      <c r="F99" s="60">
        <f t="shared" si="10"/>
        <v>91.585633913248572</v>
      </c>
      <c r="G99" s="60">
        <f t="shared" si="10"/>
        <v>95.130978181198316</v>
      </c>
      <c r="H99" s="60">
        <f t="shared" si="10"/>
        <v>93.086667195134083</v>
      </c>
      <c r="I99" s="60">
        <f t="shared" si="10"/>
        <v>97.000138456235319</v>
      </c>
      <c r="J99" s="60">
        <f t="shared" si="10"/>
        <v>53.69852401411822</v>
      </c>
      <c r="K99" s="60">
        <f t="shared" si="10"/>
        <v>86.789695505525117</v>
      </c>
      <c r="L99" s="60">
        <f t="shared" si="10"/>
        <v>90.84113862766722</v>
      </c>
      <c r="M99" s="60">
        <f t="shared" si="10"/>
        <v>92.217756640854162</v>
      </c>
      <c r="N99" s="60">
        <f t="shared" si="10"/>
        <v>88.592173775388318</v>
      </c>
      <c r="O99" s="60">
        <f t="shared" si="10"/>
        <v>95.449410976611773</v>
      </c>
      <c r="P99" s="60">
        <f t="shared" si="10"/>
        <v>94.163073752758365</v>
      </c>
      <c r="Q99" s="60">
        <f t="shared" si="10"/>
        <v>92.232311448719685</v>
      </c>
      <c r="R99" s="60">
        <f t="shared" si="10"/>
        <v>90.084215567899378</v>
      </c>
      <c r="S99" s="60">
        <f t="shared" si="10"/>
        <v>89.871156147095661</v>
      </c>
      <c r="T99" s="60">
        <f t="shared" si="10"/>
        <v>89.264359074807714</v>
      </c>
      <c r="U99" s="60">
        <f t="shared" si="10"/>
        <v>90.573907655626755</v>
      </c>
      <c r="V99" s="60">
        <f t="shared" si="10"/>
        <v>92.685152535097657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86.787703748426708</v>
      </c>
      <c r="E100" s="62">
        <f t="shared" si="11"/>
        <v>78.452921095957194</v>
      </c>
      <c r="F100" s="62">
        <f t="shared" si="11"/>
        <v>78.780360432030136</v>
      </c>
      <c r="G100" s="62">
        <f t="shared" si="11"/>
        <v>87.78125603009407</v>
      </c>
      <c r="H100" s="62">
        <f t="shared" si="11"/>
        <v>83.075542013027786</v>
      </c>
      <c r="I100" s="62">
        <f t="shared" si="11"/>
        <v>93.561933280104668</v>
      </c>
      <c r="J100" s="62">
        <f t="shared" si="11"/>
        <v>79.749449724212241</v>
      </c>
      <c r="K100" s="62">
        <f t="shared" si="11"/>
        <v>47.554433029395405</v>
      </c>
      <c r="L100" s="62">
        <f t="shared" si="11"/>
        <v>58.339561919580341</v>
      </c>
      <c r="M100" s="62">
        <f t="shared" si="11"/>
        <v>60.706861023745788</v>
      </c>
      <c r="N100" s="62">
        <f t="shared" si="11"/>
        <v>72.254615152251304</v>
      </c>
      <c r="O100" s="62">
        <f t="shared" si="11"/>
        <v>68.765356555056329</v>
      </c>
      <c r="P100" s="62">
        <f t="shared" si="11"/>
        <v>70.966042223852341</v>
      </c>
      <c r="Q100" s="62">
        <f t="shared" si="11"/>
        <v>69.364290259149072</v>
      </c>
      <c r="R100" s="62">
        <f t="shared" si="11"/>
        <v>69.273155923198559</v>
      </c>
      <c r="S100" s="62">
        <f t="shared" si="11"/>
        <v>73.913106256765332</v>
      </c>
      <c r="T100" s="62">
        <f t="shared" si="11"/>
        <v>91.426277289846837</v>
      </c>
      <c r="U100" s="62">
        <f t="shared" si="11"/>
        <v>93.497251073073841</v>
      </c>
      <c r="V100" s="62">
        <f t="shared" si="11"/>
        <v>93.38960048828821</v>
      </c>
    </row>
    <row r="101" spans="3:22" x14ac:dyDescent="0.2">
      <c r="C101" s="87" t="s">
        <v>133</v>
      </c>
      <c r="D101" s="60">
        <f t="shared" ref="D101:V101" si="12">+IFERROR(IF(D62&gt;0,+((D62/D23)*100)," "),"")</f>
        <v>52.553481328482718</v>
      </c>
      <c r="E101" s="60">
        <f t="shared" si="12"/>
        <v>63.907002755798558</v>
      </c>
      <c r="F101" s="60">
        <f t="shared" si="12"/>
        <v>86.798313787478392</v>
      </c>
      <c r="G101" s="60">
        <f t="shared" si="12"/>
        <v>34.140608885384026</v>
      </c>
      <c r="H101" s="60">
        <f t="shared" si="12"/>
        <v>91.137512104926614</v>
      </c>
      <c r="I101" s="60">
        <f t="shared" si="12"/>
        <v>99.861296224890495</v>
      </c>
      <c r="J101" s="60">
        <f t="shared" si="12"/>
        <v>99.992904700325752</v>
      </c>
      <c r="K101" s="60">
        <f t="shared" si="12"/>
        <v>83.089303965380736</v>
      </c>
      <c r="L101" s="60">
        <f t="shared" si="12"/>
        <v>96.097065734930581</v>
      </c>
      <c r="M101" s="60">
        <f t="shared" si="12"/>
        <v>97.290065080311251</v>
      </c>
      <c r="N101" s="60">
        <f t="shared" si="12"/>
        <v>90.573022654061475</v>
      </c>
      <c r="O101" s="60">
        <f t="shared" si="12"/>
        <v>91.052149671146537</v>
      </c>
      <c r="P101" s="60">
        <f t="shared" si="12"/>
        <v>85.085612703805552</v>
      </c>
      <c r="Q101" s="60">
        <f t="shared" si="12"/>
        <v>59.910742094923286</v>
      </c>
      <c r="R101" s="60">
        <f t="shared" si="12"/>
        <v>98.411195353444228</v>
      </c>
      <c r="S101" s="60">
        <f t="shared" si="12"/>
        <v>49.217369057482259</v>
      </c>
      <c r="T101" s="60">
        <f t="shared" si="12"/>
        <v>40.798536007914194</v>
      </c>
      <c r="U101" s="60">
        <f t="shared" si="12"/>
        <v>99.783059443826346</v>
      </c>
      <c r="V101" s="60">
        <f t="shared" si="12"/>
        <v>97.501865934238737</v>
      </c>
    </row>
    <row r="102" spans="3:22" x14ac:dyDescent="0.2">
      <c r="C102" s="88" t="s">
        <v>134</v>
      </c>
      <c r="D102" s="62">
        <f t="shared" ref="D102:V102" si="13">+IFERROR(IF(D63&gt;0,+((D63/D24)*100)," "),"")</f>
        <v>71.871683578059091</v>
      </c>
      <c r="E102" s="62">
        <f t="shared" si="13"/>
        <v>88.987063951857365</v>
      </c>
      <c r="F102" s="62">
        <f t="shared" si="13"/>
        <v>92.503531745315343</v>
      </c>
      <c r="G102" s="62">
        <f t="shared" si="13"/>
        <v>91.838445119509799</v>
      </c>
      <c r="H102" s="62">
        <f t="shared" si="13"/>
        <v>92.910815013715165</v>
      </c>
      <c r="I102" s="62">
        <f t="shared" si="13"/>
        <v>87.337569460203056</v>
      </c>
      <c r="J102" s="62">
        <f t="shared" si="13"/>
        <v>97.541321128487766</v>
      </c>
      <c r="K102" s="62">
        <f t="shared" si="13"/>
        <v>88.977072591259656</v>
      </c>
      <c r="L102" s="62">
        <f t="shared" si="13"/>
        <v>92.062290080142844</v>
      </c>
      <c r="M102" s="62">
        <f t="shared" si="13"/>
        <v>88.852711545989109</v>
      </c>
      <c r="N102" s="62">
        <f t="shared" si="13"/>
        <v>92.1378884348767</v>
      </c>
      <c r="O102" s="62">
        <f t="shared" si="13"/>
        <v>92.379173241499799</v>
      </c>
      <c r="P102" s="62">
        <f t="shared" si="13"/>
        <v>88.859339034906398</v>
      </c>
      <c r="Q102" s="62">
        <f t="shared" si="13"/>
        <v>78.989032481626325</v>
      </c>
      <c r="R102" s="62">
        <f t="shared" si="13"/>
        <v>73.28616146688195</v>
      </c>
      <c r="S102" s="62">
        <f t="shared" si="13"/>
        <v>70.715429903768495</v>
      </c>
      <c r="T102" s="62">
        <f t="shared" si="13"/>
        <v>79.084785286087211</v>
      </c>
      <c r="U102" s="62">
        <f t="shared" si="13"/>
        <v>78.169840929059177</v>
      </c>
      <c r="V102" s="62">
        <f t="shared" si="13"/>
        <v>80.133974570863089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81.221384529683377</v>
      </c>
      <c r="E104" s="62">
        <f t="shared" si="15"/>
        <v>80.799462425885707</v>
      </c>
      <c r="F104" s="62">
        <f t="shared" si="15"/>
        <v>91.071303257824624</v>
      </c>
      <c r="G104" s="62">
        <f t="shared" si="15"/>
        <v>96.521748398885592</v>
      </c>
      <c r="H104" s="62">
        <f t="shared" si="15"/>
        <v>98.936611022344607</v>
      </c>
      <c r="I104" s="62">
        <f t="shared" si="15"/>
        <v>98.016765424179496</v>
      </c>
      <c r="J104" s="62">
        <f t="shared" si="15"/>
        <v>96.172104208736826</v>
      </c>
      <c r="K104" s="62">
        <f t="shared" si="15"/>
        <v>94.332536513255917</v>
      </c>
      <c r="L104" s="62">
        <f t="shared" si="15"/>
        <v>95.783207528557213</v>
      </c>
      <c r="M104" s="62">
        <f t="shared" si="15"/>
        <v>97.226087024915003</v>
      </c>
      <c r="N104" s="62">
        <f t="shared" si="15"/>
        <v>93.835023231146238</v>
      </c>
      <c r="O104" s="62">
        <f t="shared" si="15"/>
        <v>87.607444964707</v>
      </c>
      <c r="P104" s="62">
        <f t="shared" si="15"/>
        <v>95.322299278242255</v>
      </c>
      <c r="Q104" s="62">
        <f t="shared" si="15"/>
        <v>95.800770265974194</v>
      </c>
      <c r="R104" s="62">
        <f t="shared" si="15"/>
        <v>93.674959336265445</v>
      </c>
      <c r="S104" s="62">
        <f t="shared" si="15"/>
        <v>94.627525356311367</v>
      </c>
      <c r="T104" s="62">
        <f t="shared" si="15"/>
        <v>97.659300717245387</v>
      </c>
      <c r="U104" s="62">
        <f t="shared" si="15"/>
        <v>99.350192380035793</v>
      </c>
      <c r="V104" s="62">
        <f t="shared" si="15"/>
        <v>96.408242708529045</v>
      </c>
    </row>
    <row r="105" spans="3:22" x14ac:dyDescent="0.2">
      <c r="C105" s="87" t="s">
        <v>137</v>
      </c>
      <c r="D105" s="60">
        <f t="shared" ref="D105:V105" si="16">+IFERROR(IF(D66&gt;0,+((D66/D27)*100)," "),"")</f>
        <v>77.197482359018593</v>
      </c>
      <c r="E105" s="60">
        <f t="shared" si="16"/>
        <v>72.307226110187301</v>
      </c>
      <c r="F105" s="60">
        <f t="shared" si="16"/>
        <v>91.382125362293891</v>
      </c>
      <c r="G105" s="60">
        <f t="shared" si="16"/>
        <v>93.620031100640404</v>
      </c>
      <c r="H105" s="60">
        <f t="shared" si="16"/>
        <v>78.007634188021584</v>
      </c>
      <c r="I105" s="60">
        <f t="shared" si="16"/>
        <v>60.242253174319039</v>
      </c>
      <c r="J105" s="60">
        <f t="shared" si="16"/>
        <v>92.027071959411202</v>
      </c>
      <c r="K105" s="60">
        <f t="shared" si="16"/>
        <v>91.928866721067166</v>
      </c>
      <c r="L105" s="60">
        <f t="shared" si="16"/>
        <v>83.539501347200655</v>
      </c>
      <c r="M105" s="60">
        <f t="shared" si="16"/>
        <v>80.824852839235533</v>
      </c>
      <c r="N105" s="60">
        <f t="shared" si="16"/>
        <v>59.010484677242758</v>
      </c>
      <c r="O105" s="60">
        <f t="shared" si="16"/>
        <v>71.812116262770175</v>
      </c>
      <c r="P105" s="60">
        <f t="shared" si="16"/>
        <v>86.416558878098897</v>
      </c>
      <c r="Q105" s="60">
        <f t="shared" si="16"/>
        <v>81.765325440782064</v>
      </c>
      <c r="R105" s="60">
        <f t="shared" si="16"/>
        <v>93.910757115960536</v>
      </c>
      <c r="S105" s="60">
        <f t="shared" si="16"/>
        <v>90.121168348525785</v>
      </c>
      <c r="T105" s="60">
        <f t="shared" si="16"/>
        <v>89.573934381462934</v>
      </c>
      <c r="U105" s="60">
        <f t="shared" si="16"/>
        <v>96.475051182941186</v>
      </c>
      <c r="V105" s="60">
        <f t="shared" si="16"/>
        <v>78.928672612470379</v>
      </c>
    </row>
    <row r="106" spans="3:22" x14ac:dyDescent="0.2">
      <c r="C106" s="88" t="s">
        <v>138</v>
      </c>
      <c r="D106" s="62">
        <f t="shared" ref="D106:V106" si="17">+IFERROR(IF(D67&gt;0,+((D67/D28)*100)," "),"")</f>
        <v>91.061103181927223</v>
      </c>
      <c r="E106" s="62">
        <f t="shared" si="17"/>
        <v>86.490418225831249</v>
      </c>
      <c r="F106" s="62">
        <f t="shared" si="17"/>
        <v>94.081779150563932</v>
      </c>
      <c r="G106" s="62">
        <f t="shared" si="17"/>
        <v>95.270883404582719</v>
      </c>
      <c r="H106" s="62">
        <f t="shared" si="17"/>
        <v>95.224399978912416</v>
      </c>
      <c r="I106" s="62">
        <f t="shared" si="17"/>
        <v>82.729000982035288</v>
      </c>
      <c r="J106" s="62">
        <f t="shared" si="17"/>
        <v>89.400635385234949</v>
      </c>
      <c r="K106" s="62">
        <f t="shared" si="17"/>
        <v>87.637833078935216</v>
      </c>
      <c r="L106" s="62">
        <f t="shared" si="17"/>
        <v>92.224236496944471</v>
      </c>
      <c r="M106" s="62">
        <f t="shared" si="17"/>
        <v>65.154519215855487</v>
      </c>
      <c r="N106" s="62">
        <f t="shared" si="17"/>
        <v>70.034634037325532</v>
      </c>
      <c r="O106" s="62">
        <f t="shared" si="17"/>
        <v>64.114396174469661</v>
      </c>
      <c r="P106" s="62">
        <f t="shared" si="17"/>
        <v>91.586878730611545</v>
      </c>
      <c r="Q106" s="62">
        <f t="shared" si="17"/>
        <v>96.52485857515957</v>
      </c>
      <c r="R106" s="62">
        <f t="shared" si="17"/>
        <v>81.256331602629075</v>
      </c>
      <c r="S106" s="62" t="str">
        <f t="shared" si="17"/>
        <v xml:space="preserve"> </v>
      </c>
      <c r="T106" s="62" t="str">
        <f t="shared" si="17"/>
        <v xml:space="preserve"> </v>
      </c>
      <c r="U106" s="62" t="str">
        <f t="shared" si="17"/>
        <v xml:space="preserve"> </v>
      </c>
      <c r="V106" s="62" t="str">
        <f t="shared" si="17"/>
        <v xml:space="preserve"> </v>
      </c>
    </row>
    <row r="107" spans="3:22" x14ac:dyDescent="0.2">
      <c r="C107" s="87" t="s">
        <v>139</v>
      </c>
      <c r="D107" s="60">
        <f t="shared" ref="D107:V107" si="18">+IFERROR(IF(D68&gt;0,+((D68/D29)*100)," "),"")</f>
        <v>81.736419870672322</v>
      </c>
      <c r="E107" s="60">
        <f t="shared" si="18"/>
        <v>97.619084553887078</v>
      </c>
      <c r="F107" s="60">
        <f t="shared" si="18"/>
        <v>89.149764788111909</v>
      </c>
      <c r="G107" s="60">
        <f t="shared" si="18"/>
        <v>87.854617522381517</v>
      </c>
      <c r="H107" s="60">
        <f t="shared" si="18"/>
        <v>75.364457958535354</v>
      </c>
      <c r="I107" s="60">
        <f t="shared" si="18"/>
        <v>93.01313603316656</v>
      </c>
      <c r="J107" s="60">
        <f t="shared" si="18"/>
        <v>97.256539028126639</v>
      </c>
      <c r="K107" s="60">
        <f t="shared" si="18"/>
        <v>78.860234558220753</v>
      </c>
      <c r="L107" s="60">
        <f t="shared" si="18"/>
        <v>90.123992040421044</v>
      </c>
      <c r="M107" s="60">
        <f t="shared" si="18"/>
        <v>87.573221888784332</v>
      </c>
      <c r="N107" s="60">
        <f t="shared" si="18"/>
        <v>76.489817396335923</v>
      </c>
      <c r="O107" s="60">
        <f t="shared" si="18"/>
        <v>85.402076530047893</v>
      </c>
      <c r="P107" s="60">
        <f t="shared" si="18"/>
        <v>87.231071848415979</v>
      </c>
      <c r="Q107" s="60">
        <f t="shared" si="18"/>
        <v>87.993331847618279</v>
      </c>
      <c r="R107" s="60">
        <f t="shared" si="18"/>
        <v>82.263124017740552</v>
      </c>
      <c r="S107" s="60">
        <f t="shared" si="18"/>
        <v>93.762461491640323</v>
      </c>
      <c r="T107" s="60">
        <f t="shared" si="18"/>
        <v>96.588715410037025</v>
      </c>
      <c r="U107" s="60">
        <f t="shared" si="18"/>
        <v>95.32387053297802</v>
      </c>
      <c r="V107" s="60">
        <f t="shared" si="18"/>
        <v>93.176904177049607</v>
      </c>
    </row>
    <row r="108" spans="3:22" x14ac:dyDescent="0.2">
      <c r="C108" s="88" t="s">
        <v>140</v>
      </c>
      <c r="D108" s="62">
        <f t="shared" ref="D108:V108" si="19">+IFERROR(IF(D69&gt;0,+((D69/D30)*100)," "),"")</f>
        <v>60.920353004631302</v>
      </c>
      <c r="E108" s="62">
        <f t="shared" si="19"/>
        <v>82.756625146622611</v>
      </c>
      <c r="F108" s="62">
        <f t="shared" si="19"/>
        <v>65.30409125287396</v>
      </c>
      <c r="G108" s="62">
        <f t="shared" si="19"/>
        <v>87.845490014864453</v>
      </c>
      <c r="H108" s="62">
        <f t="shared" si="19"/>
        <v>99.606435008763455</v>
      </c>
      <c r="I108" s="62">
        <f t="shared" si="19"/>
        <v>98.935144896254883</v>
      </c>
      <c r="J108" s="62">
        <f t="shared" si="19"/>
        <v>97.895270437595229</v>
      </c>
      <c r="K108" s="62">
        <f t="shared" si="19"/>
        <v>79.50066010730967</v>
      </c>
      <c r="L108" s="62">
        <f t="shared" si="19"/>
        <v>94.275200388745276</v>
      </c>
      <c r="M108" s="62">
        <f t="shared" si="19"/>
        <v>75.969467105207428</v>
      </c>
      <c r="N108" s="62">
        <f t="shared" si="19"/>
        <v>94.594317181093686</v>
      </c>
      <c r="O108" s="62">
        <f t="shared" si="19"/>
        <v>93.307985398957669</v>
      </c>
      <c r="P108" s="62">
        <f t="shared" si="19"/>
        <v>84.917660023485382</v>
      </c>
      <c r="Q108" s="62">
        <f t="shared" si="19"/>
        <v>86.970006679863886</v>
      </c>
      <c r="R108" s="62">
        <f t="shared" si="19"/>
        <v>94.997462214526095</v>
      </c>
      <c r="S108" s="62">
        <f t="shared" si="19"/>
        <v>93.244969501418595</v>
      </c>
      <c r="T108" s="62">
        <f t="shared" si="19"/>
        <v>94.07125672110881</v>
      </c>
      <c r="U108" s="62">
        <f t="shared" si="19"/>
        <v>96.372451563778242</v>
      </c>
      <c r="V108" s="62">
        <f t="shared" si="19"/>
        <v>90.143793047267053</v>
      </c>
    </row>
    <row r="109" spans="3:22" x14ac:dyDescent="0.2">
      <c r="C109" s="87" t="s">
        <v>141</v>
      </c>
      <c r="D109" s="60">
        <f t="shared" ref="D109:V109" si="20">+IFERROR(IF(D70&gt;0,+((D70/D31)*100)," "),"")</f>
        <v>99.384158631498536</v>
      </c>
      <c r="E109" s="60">
        <f t="shared" si="20"/>
        <v>99.979838429871705</v>
      </c>
      <c r="F109" s="60">
        <f t="shared" si="20"/>
        <v>99.937331130946092</v>
      </c>
      <c r="G109" s="60">
        <f t="shared" si="20"/>
        <v>99.980985053861076</v>
      </c>
      <c r="H109" s="60">
        <f t="shared" si="20"/>
        <v>98.736464000824299</v>
      </c>
      <c r="I109" s="60">
        <f t="shared" si="20"/>
        <v>99.30842973149511</v>
      </c>
      <c r="J109" s="60">
        <f t="shared" si="20"/>
        <v>98.970916384061042</v>
      </c>
      <c r="K109" s="60">
        <f t="shared" si="20"/>
        <v>93.884568902494792</v>
      </c>
      <c r="L109" s="60">
        <f t="shared" si="20"/>
        <v>90.274789021697757</v>
      </c>
      <c r="M109" s="60">
        <f t="shared" si="20"/>
        <v>90.668980996987031</v>
      </c>
      <c r="N109" s="60">
        <f t="shared" si="20"/>
        <v>75.774407087137448</v>
      </c>
      <c r="O109" s="60">
        <f t="shared" si="20"/>
        <v>95.834747266960875</v>
      </c>
      <c r="P109" s="60">
        <f t="shared" si="20"/>
        <v>73.820806872920173</v>
      </c>
      <c r="Q109" s="60">
        <f t="shared" si="20"/>
        <v>69.271099808806255</v>
      </c>
      <c r="R109" s="60">
        <f t="shared" si="20"/>
        <v>92.513876794651679</v>
      </c>
      <c r="S109" s="60">
        <f t="shared" si="20"/>
        <v>90.975160899010106</v>
      </c>
      <c r="T109" s="60">
        <f t="shared" si="20"/>
        <v>69.51461294176579</v>
      </c>
      <c r="U109" s="60">
        <f t="shared" si="20"/>
        <v>76.103408447285716</v>
      </c>
      <c r="V109" s="60">
        <f t="shared" si="20"/>
        <v>83.20697392324611</v>
      </c>
    </row>
    <row r="110" spans="3:22" x14ac:dyDescent="0.2">
      <c r="C110" s="88" t="s">
        <v>142</v>
      </c>
      <c r="D110" s="62">
        <f t="shared" ref="D110:V110" si="21">+IFERROR(IF(D71&gt;0,+((D71/D32)*100)," "),"")</f>
        <v>90.603480334138766</v>
      </c>
      <c r="E110" s="62">
        <f t="shared" si="21"/>
        <v>95.791495940652737</v>
      </c>
      <c r="F110" s="62">
        <f t="shared" si="21"/>
        <v>88.496853690681348</v>
      </c>
      <c r="G110" s="62">
        <f t="shared" si="21"/>
        <v>81.847408136950278</v>
      </c>
      <c r="H110" s="62">
        <f t="shared" si="21"/>
        <v>90.989072600585132</v>
      </c>
      <c r="I110" s="62">
        <f t="shared" si="21"/>
        <v>93.186442470154859</v>
      </c>
      <c r="J110" s="62">
        <f t="shared" si="21"/>
        <v>73.82659913903197</v>
      </c>
      <c r="K110" s="62">
        <f t="shared" si="21"/>
        <v>74.945886430604233</v>
      </c>
      <c r="L110" s="62">
        <f t="shared" si="21"/>
        <v>84.564636690403887</v>
      </c>
      <c r="M110" s="62">
        <f t="shared" si="21"/>
        <v>76.411785242573004</v>
      </c>
      <c r="N110" s="62">
        <f t="shared" si="21"/>
        <v>89.657349038332214</v>
      </c>
      <c r="O110" s="62">
        <f t="shared" si="21"/>
        <v>88.338812965889474</v>
      </c>
      <c r="P110" s="62">
        <f t="shared" si="21"/>
        <v>89.509192347922479</v>
      </c>
      <c r="Q110" s="62">
        <f t="shared" si="21"/>
        <v>70.254845394901949</v>
      </c>
      <c r="R110" s="62">
        <f t="shared" si="21"/>
        <v>88.771008390498025</v>
      </c>
      <c r="S110" s="62">
        <f t="shared" si="21"/>
        <v>91.730857537776274</v>
      </c>
      <c r="T110" s="62">
        <f t="shared" si="21"/>
        <v>94.864605973376996</v>
      </c>
      <c r="U110" s="62">
        <f t="shared" si="21"/>
        <v>92.522316200210255</v>
      </c>
      <c r="V110" s="62">
        <f t="shared" si="21"/>
        <v>95.026132481440584</v>
      </c>
    </row>
    <row r="111" spans="3:22" x14ac:dyDescent="0.2">
      <c r="C111" s="87" t="s">
        <v>143</v>
      </c>
      <c r="D111" s="60">
        <f t="shared" ref="D111:V111" si="22">+IFERROR(IF(D72&gt;0,+((D72/D33)*100)," "),"")</f>
        <v>100</v>
      </c>
      <c r="E111" s="60" t="str">
        <f t="shared" si="22"/>
        <v xml:space="preserve"> </v>
      </c>
      <c r="F111" s="60" t="str">
        <f t="shared" si="22"/>
        <v xml:space="preserve"> </v>
      </c>
      <c r="G111" s="60" t="str">
        <f t="shared" si="22"/>
        <v xml:space="preserve"> </v>
      </c>
      <c r="H111" s="60">
        <f t="shared" si="22"/>
        <v>77.524996628189299</v>
      </c>
      <c r="I111" s="60">
        <f t="shared" si="22"/>
        <v>94.852102111364033</v>
      </c>
      <c r="J111" s="60" t="str">
        <f t="shared" si="22"/>
        <v xml:space="preserve"> </v>
      </c>
      <c r="K111" s="60" t="str">
        <f t="shared" si="22"/>
        <v xml:space="preserve"> </v>
      </c>
      <c r="L111" s="60" t="str">
        <f t="shared" si="22"/>
        <v xml:space="preserve"> </v>
      </c>
      <c r="M111" s="60" t="str">
        <f t="shared" si="22"/>
        <v xml:space="preserve"> </v>
      </c>
      <c r="N111" s="60" t="str">
        <f t="shared" si="22"/>
        <v xml:space="preserve"> </v>
      </c>
      <c r="O111" s="60" t="str">
        <f t="shared" si="22"/>
        <v xml:space="preserve"> </v>
      </c>
      <c r="P111" s="60">
        <f t="shared" si="22"/>
        <v>3.8274200654969044</v>
      </c>
      <c r="Q111" s="60">
        <f t="shared" si="22"/>
        <v>51.996364033455656</v>
      </c>
      <c r="R111" s="60">
        <f t="shared" si="22"/>
        <v>86.584385409221269</v>
      </c>
      <c r="S111" s="60">
        <f t="shared" si="22"/>
        <v>7.8725314294348729</v>
      </c>
      <c r="T111" s="60">
        <f t="shared" si="22"/>
        <v>99.390022218662821</v>
      </c>
      <c r="U111" s="60">
        <f t="shared" si="22"/>
        <v>98.890843258294211</v>
      </c>
      <c r="V111" s="60">
        <f t="shared" si="22"/>
        <v>36.679400332138478</v>
      </c>
    </row>
    <row r="112" spans="3:22" x14ac:dyDescent="0.2">
      <c r="C112" s="88" t="s">
        <v>144</v>
      </c>
      <c r="D112" s="62" t="str">
        <f t="shared" ref="D112:V112" si="23">+IFERROR(IF(D73&gt;0,+((D73/D34)*100)," "),"")</f>
        <v xml:space="preserve"> </v>
      </c>
      <c r="E112" s="62" t="str">
        <f t="shared" si="23"/>
        <v xml:space="preserve"> </v>
      </c>
      <c r="F112" s="62" t="str">
        <f t="shared" si="23"/>
        <v xml:space="preserve"> </v>
      </c>
      <c r="G112" s="62" t="str">
        <f t="shared" si="23"/>
        <v xml:space="preserve"> </v>
      </c>
      <c r="H112" s="62" t="str">
        <f t="shared" si="23"/>
        <v xml:space="preserve"> </v>
      </c>
      <c r="I112" s="62" t="str">
        <f t="shared" si="23"/>
        <v xml:space="preserve"> </v>
      </c>
      <c r="J112" s="62" t="str">
        <f t="shared" si="23"/>
        <v xml:space="preserve"> </v>
      </c>
      <c r="K112" s="62" t="str">
        <f t="shared" si="23"/>
        <v xml:space="preserve"> </v>
      </c>
      <c r="L112" s="62" t="str">
        <f t="shared" si="23"/>
        <v xml:space="preserve"> </v>
      </c>
      <c r="M112" s="62" t="str">
        <f t="shared" si="23"/>
        <v xml:space="preserve"> </v>
      </c>
      <c r="N112" s="62" t="str">
        <f t="shared" si="23"/>
        <v xml:space="preserve"> </v>
      </c>
      <c r="O112" s="62" t="str">
        <f t="shared" si="23"/>
        <v xml:space="preserve"> </v>
      </c>
      <c r="P112" s="62" t="str">
        <f t="shared" si="23"/>
        <v xml:space="preserve"> </v>
      </c>
      <c r="Q112" s="62" t="str">
        <f t="shared" si="23"/>
        <v xml:space="preserve"> </v>
      </c>
      <c r="R112" s="62" t="str">
        <f t="shared" si="23"/>
        <v xml:space="preserve"> </v>
      </c>
      <c r="S112" s="62" t="str">
        <f t="shared" si="23"/>
        <v xml:space="preserve"> </v>
      </c>
      <c r="T112" s="62" t="str">
        <f t="shared" si="23"/>
        <v xml:space="preserve"> </v>
      </c>
      <c r="U112" s="62" t="str">
        <f t="shared" si="23"/>
        <v xml:space="preserve"> </v>
      </c>
      <c r="V112" s="62" t="str">
        <f t="shared" si="23"/>
        <v xml:space="preserve"> </v>
      </c>
    </row>
    <row r="113" spans="2:22" x14ac:dyDescent="0.2">
      <c r="C113" s="87" t="s">
        <v>145</v>
      </c>
      <c r="D113" s="60">
        <f t="shared" ref="D113:V113" si="24">+IFERROR(IF(D74&gt;0,+((D74/D35)*100)," "),"")</f>
        <v>79.201183977330984</v>
      </c>
      <c r="E113" s="60">
        <f t="shared" si="24"/>
        <v>72.92773193515535</v>
      </c>
      <c r="F113" s="60">
        <f t="shared" si="24"/>
        <v>97.227545094660258</v>
      </c>
      <c r="G113" s="60">
        <f t="shared" si="24"/>
        <v>95.541337843621321</v>
      </c>
      <c r="H113" s="60">
        <f t="shared" si="24"/>
        <v>98.460564469750253</v>
      </c>
      <c r="I113" s="60">
        <f t="shared" si="24"/>
        <v>97.511334452534996</v>
      </c>
      <c r="J113" s="60">
        <f t="shared" si="24"/>
        <v>65.105072561999918</v>
      </c>
      <c r="K113" s="60">
        <f t="shared" si="24"/>
        <v>81.630143634875694</v>
      </c>
      <c r="L113" s="60">
        <f t="shared" si="24"/>
        <v>80.39466816914198</v>
      </c>
      <c r="M113" s="60">
        <f t="shared" si="24"/>
        <v>92.611916482612486</v>
      </c>
      <c r="N113" s="60">
        <f t="shared" si="24"/>
        <v>80.144836760024091</v>
      </c>
      <c r="O113" s="60">
        <f t="shared" si="24"/>
        <v>83.700337736478886</v>
      </c>
      <c r="P113" s="60">
        <f t="shared" si="24"/>
        <v>75.311942187456822</v>
      </c>
      <c r="Q113" s="60">
        <f t="shared" si="24"/>
        <v>71.764582196109714</v>
      </c>
      <c r="R113" s="60">
        <f t="shared" si="24"/>
        <v>87.085871571032541</v>
      </c>
      <c r="S113" s="60">
        <f t="shared" si="24"/>
        <v>86.106314676358309</v>
      </c>
      <c r="T113" s="60">
        <f t="shared" si="24"/>
        <v>96.87035433124656</v>
      </c>
      <c r="U113" s="60">
        <f t="shared" si="24"/>
        <v>96.7966567700621</v>
      </c>
      <c r="V113" s="60">
        <f t="shared" si="24"/>
        <v>94.891499511338566</v>
      </c>
    </row>
    <row r="114" spans="2:22" x14ac:dyDescent="0.2">
      <c r="C114" s="88" t="s">
        <v>146</v>
      </c>
      <c r="D114" s="62">
        <f t="shared" ref="D114:V114" si="25">+IFERROR(IF(D75&gt;0,+((D75/D36)*100)," "),"")</f>
        <v>94.913887531198824</v>
      </c>
      <c r="E114" s="62">
        <f t="shared" si="25"/>
        <v>91.643941293819452</v>
      </c>
      <c r="F114" s="62">
        <f t="shared" si="25"/>
        <v>88.291408065889172</v>
      </c>
      <c r="G114" s="62">
        <f t="shared" si="25"/>
        <v>99.129363899798832</v>
      </c>
      <c r="H114" s="62">
        <f t="shared" si="25"/>
        <v>78.630037603959551</v>
      </c>
      <c r="I114" s="62">
        <f t="shared" si="25"/>
        <v>91.111952987042969</v>
      </c>
      <c r="J114" s="62">
        <f t="shared" si="25"/>
        <v>93.238917332846043</v>
      </c>
      <c r="K114" s="62">
        <f t="shared" si="25"/>
        <v>91.828418651133688</v>
      </c>
      <c r="L114" s="62">
        <f t="shared" si="25"/>
        <v>84.171389976158068</v>
      </c>
      <c r="M114" s="62">
        <f t="shared" si="25"/>
        <v>95.453189607137062</v>
      </c>
      <c r="N114" s="62">
        <f t="shared" si="25"/>
        <v>98.535337043677046</v>
      </c>
      <c r="O114" s="62">
        <f t="shared" si="25"/>
        <v>95.297886882770953</v>
      </c>
      <c r="P114" s="62">
        <f t="shared" si="25"/>
        <v>97.305984539146536</v>
      </c>
      <c r="Q114" s="62">
        <f t="shared" si="25"/>
        <v>98.678369267773434</v>
      </c>
      <c r="R114" s="62">
        <f t="shared" si="25"/>
        <v>98.096883458124907</v>
      </c>
      <c r="S114" s="62">
        <f t="shared" si="25"/>
        <v>98.531161084100688</v>
      </c>
      <c r="T114" s="62">
        <f t="shared" si="25"/>
        <v>99.268222019160547</v>
      </c>
      <c r="U114" s="62">
        <f t="shared" si="25"/>
        <v>99.183695217410005</v>
      </c>
      <c r="V114" s="62">
        <f t="shared" si="25"/>
        <v>82.547362394017284</v>
      </c>
    </row>
    <row r="115" spans="2:22" x14ac:dyDescent="0.2">
      <c r="C115" s="90" t="s">
        <v>147</v>
      </c>
      <c r="D115" s="61">
        <f t="shared" ref="D115:V115" si="26">+IFERROR(IF(D76&gt;0,+((D76/D37)*100)," "),"")</f>
        <v>72.263971689592495</v>
      </c>
      <c r="E115" s="61">
        <f t="shared" si="26"/>
        <v>93.98768548133161</v>
      </c>
      <c r="F115" s="61">
        <f t="shared" si="26"/>
        <v>92.059889427413182</v>
      </c>
      <c r="G115" s="61">
        <f t="shared" si="26"/>
        <v>93.18496247279991</v>
      </c>
      <c r="H115" s="61">
        <f t="shared" si="26"/>
        <v>93.624135630000339</v>
      </c>
      <c r="I115" s="61">
        <f t="shared" si="26"/>
        <v>93.629478839954942</v>
      </c>
      <c r="J115" s="61">
        <f t="shared" si="26"/>
        <v>95.326470363461368</v>
      </c>
      <c r="K115" s="61">
        <f t="shared" si="26"/>
        <v>94.375688893452178</v>
      </c>
      <c r="L115" s="61">
        <f t="shared" si="26"/>
        <v>96.766790083635883</v>
      </c>
      <c r="M115" s="61">
        <f t="shared" si="26"/>
        <v>96.980258427375972</v>
      </c>
      <c r="N115" s="61">
        <f t="shared" si="26"/>
        <v>97.151608406289995</v>
      </c>
      <c r="O115" s="61">
        <f t="shared" si="26"/>
        <v>84.650999155263577</v>
      </c>
      <c r="P115" s="61">
        <f t="shared" si="26"/>
        <v>90.934622675310308</v>
      </c>
      <c r="Q115" s="61">
        <f t="shared" si="26"/>
        <v>94.111073887614722</v>
      </c>
      <c r="R115" s="61">
        <f t="shared" si="26"/>
        <v>93.368147529942263</v>
      </c>
      <c r="S115" s="61">
        <f t="shared" si="26"/>
        <v>96.102491347365643</v>
      </c>
      <c r="T115" s="61">
        <f t="shared" si="26"/>
        <v>97.079899832959441</v>
      </c>
      <c r="U115" s="61">
        <f t="shared" si="26"/>
        <v>96.65193137185129</v>
      </c>
      <c r="V115" s="61">
        <f t="shared" si="26"/>
        <v>93.826779958701906</v>
      </c>
    </row>
    <row r="116" spans="2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 t="str">
        <f t="shared" si="27"/>
        <v xml:space="preserve"> </v>
      </c>
    </row>
    <row r="117" spans="2:22" x14ac:dyDescent="0.2">
      <c r="C117" s="87" t="s">
        <v>149</v>
      </c>
      <c r="D117" s="60">
        <f t="shared" ref="D117:V117" si="28">+IFERROR(IF(D78&gt;0,+((D78/D39)*100)," "),"")</f>
        <v>55.624971948334789</v>
      </c>
      <c r="E117" s="60">
        <f t="shared" si="28"/>
        <v>61.753952839798508</v>
      </c>
      <c r="F117" s="60">
        <f t="shared" si="28"/>
        <v>65.858060336333963</v>
      </c>
      <c r="G117" s="60">
        <f t="shared" si="28"/>
        <v>66.282255369553241</v>
      </c>
      <c r="H117" s="60">
        <f t="shared" si="28"/>
        <v>69.478617459653663</v>
      </c>
      <c r="I117" s="60">
        <f t="shared" si="28"/>
        <v>55.97883974356197</v>
      </c>
      <c r="J117" s="60">
        <f t="shared" si="28"/>
        <v>67.739905151592012</v>
      </c>
      <c r="K117" s="60">
        <f t="shared" si="28"/>
        <v>77.68918902695664</v>
      </c>
      <c r="L117" s="60">
        <f t="shared" si="28"/>
        <v>80.359668216558333</v>
      </c>
      <c r="M117" s="60">
        <f t="shared" si="28"/>
        <v>77.145807686036889</v>
      </c>
      <c r="N117" s="60">
        <f t="shared" si="28"/>
        <v>83.476492668875295</v>
      </c>
      <c r="O117" s="60">
        <f t="shared" si="28"/>
        <v>86.035997059606544</v>
      </c>
      <c r="P117" s="60">
        <f t="shared" si="28"/>
        <v>98.2392703690156</v>
      </c>
      <c r="Q117" s="60">
        <f t="shared" si="28"/>
        <v>89.532133668403333</v>
      </c>
      <c r="R117" s="60">
        <f t="shared" si="28"/>
        <v>93.460578685081671</v>
      </c>
      <c r="S117" s="60">
        <f t="shared" si="28"/>
        <v>93.161491792308965</v>
      </c>
      <c r="T117" s="60">
        <f t="shared" si="28"/>
        <v>97.609348848660488</v>
      </c>
      <c r="U117" s="60">
        <f t="shared" si="28"/>
        <v>98.312465128029118</v>
      </c>
      <c r="V117" s="60">
        <f t="shared" si="28"/>
        <v>90.329515225802098</v>
      </c>
    </row>
    <row r="118" spans="2:22" x14ac:dyDescent="0.2">
      <c r="C118" s="89" t="s">
        <v>150</v>
      </c>
      <c r="D118" s="63">
        <f t="shared" ref="D118:V118" si="29">+IFERROR(IF(D79&gt;0,+((D79/D40)*100)," "),"")</f>
        <v>84.724174224364617</v>
      </c>
      <c r="E118" s="63">
        <f t="shared" si="29"/>
        <v>95.017891252436755</v>
      </c>
      <c r="F118" s="63">
        <f t="shared" si="29"/>
        <v>85.046270021087977</v>
      </c>
      <c r="G118" s="63">
        <f t="shared" si="29"/>
        <v>97.708799865054331</v>
      </c>
      <c r="H118" s="63">
        <f t="shared" si="29"/>
        <v>95.914406185702191</v>
      </c>
      <c r="I118" s="63">
        <f t="shared" si="29"/>
        <v>98.89750006255926</v>
      </c>
      <c r="J118" s="63">
        <f t="shared" si="29"/>
        <v>97.163896146655603</v>
      </c>
      <c r="K118" s="63">
        <f t="shared" si="29"/>
        <v>92.29727399211059</v>
      </c>
      <c r="L118" s="63">
        <f t="shared" si="29"/>
        <v>93.524981512196007</v>
      </c>
      <c r="M118" s="63">
        <f t="shared" si="29"/>
        <v>85.441324180196759</v>
      </c>
      <c r="N118" s="63">
        <f t="shared" si="29"/>
        <v>78.231746554408659</v>
      </c>
      <c r="O118" s="63">
        <f t="shared" si="29"/>
        <v>83.318565227976222</v>
      </c>
      <c r="P118" s="63">
        <f t="shared" si="29"/>
        <v>89.474799739367398</v>
      </c>
      <c r="Q118" s="63">
        <f t="shared" si="29"/>
        <v>94.258560690596582</v>
      </c>
      <c r="R118" s="63">
        <f t="shared" si="29"/>
        <v>96.69192120656615</v>
      </c>
      <c r="S118" s="63">
        <f t="shared" si="29"/>
        <v>97.066402361970688</v>
      </c>
      <c r="T118" s="63">
        <f t="shared" si="29"/>
        <v>98.087194171286299</v>
      </c>
      <c r="U118" s="63">
        <f t="shared" si="29"/>
        <v>96.081484399289423</v>
      </c>
      <c r="V118" s="63">
        <f t="shared" si="29"/>
        <v>97.263906043383287</v>
      </c>
    </row>
    <row r="119" spans="2:22" x14ac:dyDescent="0.2">
      <c r="C119" s="87" t="s">
        <v>151</v>
      </c>
      <c r="D119" s="60">
        <f t="shared" ref="D119:V119" si="30">+IFERROR(IF(D80&gt;0,+((D80/D41)*100)," "),"")</f>
        <v>73.144804402646614</v>
      </c>
      <c r="E119" s="60">
        <f t="shared" si="30"/>
        <v>58.759203244337989</v>
      </c>
      <c r="F119" s="60">
        <f t="shared" si="30"/>
        <v>44.817697235312046</v>
      </c>
      <c r="G119" s="60">
        <f t="shared" si="30"/>
        <v>76.720543223663597</v>
      </c>
      <c r="H119" s="60">
        <f t="shared" si="30"/>
        <v>62.418182660289212</v>
      </c>
      <c r="I119" s="60">
        <f t="shared" si="30"/>
        <v>99.26019223708488</v>
      </c>
      <c r="J119" s="60">
        <f t="shared" si="30"/>
        <v>54.112047074415479</v>
      </c>
      <c r="K119" s="60">
        <f t="shared" si="30"/>
        <v>56.29212552312972</v>
      </c>
      <c r="L119" s="60" t="str">
        <f t="shared" si="30"/>
        <v xml:space="preserve"> </v>
      </c>
      <c r="M119" s="60" t="str">
        <f t="shared" si="30"/>
        <v xml:space="preserve"> </v>
      </c>
      <c r="N119" s="60" t="str">
        <f t="shared" si="30"/>
        <v xml:space="preserve"> </v>
      </c>
      <c r="O119" s="60" t="str">
        <f t="shared" si="30"/>
        <v xml:space="preserve"> </v>
      </c>
      <c r="P119" s="60" t="str">
        <f t="shared" si="30"/>
        <v xml:space="preserve"> </v>
      </c>
      <c r="Q119" s="60" t="str">
        <f t="shared" si="30"/>
        <v xml:space="preserve"> </v>
      </c>
      <c r="R119" s="60" t="str">
        <f t="shared" si="30"/>
        <v xml:space="preserve"> </v>
      </c>
      <c r="S119" s="60" t="str">
        <f t="shared" si="30"/>
        <v xml:space="preserve"> </v>
      </c>
      <c r="T119" s="60" t="str">
        <f t="shared" si="30"/>
        <v xml:space="preserve"> </v>
      </c>
      <c r="U119" s="60" t="str">
        <f t="shared" si="30"/>
        <v xml:space="preserve"> </v>
      </c>
      <c r="V119" s="60" t="str">
        <f t="shared" si="30"/>
        <v xml:space="preserve"> </v>
      </c>
    </row>
    <row r="120" spans="2:22" x14ac:dyDescent="0.2">
      <c r="C120" s="79" t="s">
        <v>154</v>
      </c>
      <c r="D120" s="45">
        <f t="shared" ref="D120:V120" si="31">+IFERROR(IF(D81&gt;0,+((D81/D42)*100)," "),"")</f>
        <v>79.737084537782081</v>
      </c>
      <c r="E120" s="45">
        <f t="shared" si="31"/>
        <v>87.303415364166952</v>
      </c>
      <c r="F120" s="45">
        <f t="shared" si="31"/>
        <v>87.686020745727788</v>
      </c>
      <c r="G120" s="45">
        <f t="shared" si="31"/>
        <v>92.573118712304208</v>
      </c>
      <c r="H120" s="45">
        <f t="shared" si="31"/>
        <v>94.306340356579341</v>
      </c>
      <c r="I120" s="45">
        <f t="shared" si="31"/>
        <v>94.850072545909413</v>
      </c>
      <c r="J120" s="45">
        <f t="shared" si="31"/>
        <v>91.686559724848166</v>
      </c>
      <c r="K120" s="45">
        <f t="shared" si="31"/>
        <v>90.181200602322136</v>
      </c>
      <c r="L120" s="45">
        <f t="shared" si="31"/>
        <v>92.790878255042387</v>
      </c>
      <c r="M120" s="45">
        <f t="shared" si="31"/>
        <v>90.574457028377992</v>
      </c>
      <c r="N120" s="45">
        <f t="shared" si="31"/>
        <v>90.160913711123385</v>
      </c>
      <c r="O120" s="45">
        <f t="shared" si="31"/>
        <v>86.578622135647393</v>
      </c>
      <c r="P120" s="45">
        <f t="shared" si="31"/>
        <v>90.7316661957354</v>
      </c>
      <c r="Q120" s="45">
        <f t="shared" si="31"/>
        <v>90.818291149844981</v>
      </c>
      <c r="R120" s="45">
        <f t="shared" si="31"/>
        <v>91.716082576362851</v>
      </c>
      <c r="S120" s="45">
        <f t="shared" si="31"/>
        <v>92.496498726682475</v>
      </c>
      <c r="T120" s="45">
        <f t="shared" si="31"/>
        <v>96.13015753368083</v>
      </c>
      <c r="U120" s="45">
        <f t="shared" si="31"/>
        <v>96.957866742588777</v>
      </c>
      <c r="V120" s="45">
        <f t="shared" si="31"/>
        <v>93.745152662185788</v>
      </c>
    </row>
    <row r="121" spans="2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customHeight="1" x14ac:dyDescent="0.2">
      <c r="C126" s="131"/>
      <c r="D126" s="155" t="s">
        <v>174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76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2:22" ht="12" customHeight="1" thickBot="1" x14ac:dyDescent="0.25">
      <c r="B129" s="5"/>
      <c r="C129" s="160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2:22" x14ac:dyDescent="0.2">
      <c r="C130" s="87" t="s">
        <v>123</v>
      </c>
      <c r="D130" s="65">
        <f>36.0782964115*Deflactores!$A$5</f>
        <v>134.34522043756755</v>
      </c>
      <c r="E130" s="56">
        <f>27.4221110945*Deflactores!$B$5</f>
        <v>94.85711066622062</v>
      </c>
      <c r="F130" s="56">
        <f>32.078543537*Deflactores!$C$5</f>
        <v>103.71295054549223</v>
      </c>
      <c r="G130" s="56">
        <f>24.938279186*Deflactores!$D$5</f>
        <v>75.71299914363108</v>
      </c>
      <c r="H130" s="56">
        <f>26.277223574*Deflactores!$E$5</f>
        <v>75.621172057074503</v>
      </c>
      <c r="I130" s="56">
        <f>36.916069471*Deflactores!$F$5</f>
        <v>101.31868696646644</v>
      </c>
      <c r="J130" s="56">
        <f>44.272919982*Deflactores!$G$5</f>
        <v>116.30211940171669</v>
      </c>
      <c r="K130" s="56">
        <f>57.179207367*Deflactores!$H$5</f>
        <v>142.11350936090415</v>
      </c>
      <c r="L130" s="56">
        <f>57.796574213*Deflactores!$I$5</f>
        <v>133.40957035163024</v>
      </c>
      <c r="M130" s="56">
        <f>52.813152939*Deflactores!$J$5</f>
        <v>119.51409141109714</v>
      </c>
      <c r="N130" s="56">
        <f>68.065005406*Deflactores!$K$5</f>
        <v>149.29399048602525</v>
      </c>
      <c r="O130" s="56">
        <f>34.80725519603*Deflactores!$L$5</f>
        <v>73.603373702896675</v>
      </c>
      <c r="P130" s="56">
        <f>40.70644893371*Deflactores!$M$5</f>
        <v>84.027528917078158</v>
      </c>
      <c r="Q130" s="56">
        <f>55.56886178308*Deflactores!$N$5</f>
        <v>112.52402175694748</v>
      </c>
      <c r="R130" s="56">
        <f>91.28188839065*Deflactores!$O$5</f>
        <v>178.31470369926478</v>
      </c>
      <c r="S130" s="56">
        <f>59.5471569709599*Deflactores!$P$5</f>
        <v>108.94676243437362</v>
      </c>
      <c r="T130" s="56">
        <f>44.65430959024*Deflactores!$Q$5</f>
        <v>77.256726174346639</v>
      </c>
      <c r="U130" s="56">
        <f>48.99467717458*Deflactores!$R$5</f>
        <v>81.435321157267978</v>
      </c>
      <c r="V130" s="56">
        <f>57.8872975155799*Deflactores!$S$5</f>
        <v>93.250606329900265</v>
      </c>
    </row>
    <row r="131" spans="2:22" x14ac:dyDescent="0.2">
      <c r="C131" s="88" t="s">
        <v>124</v>
      </c>
      <c r="D131" s="57">
        <f>3.01430505282999*Deflactores!$A$5</f>
        <v>11.224406833672946</v>
      </c>
      <c r="E131" s="57">
        <f>0.843573121*Deflactores!$B$5</f>
        <v>2.9180433489599333</v>
      </c>
      <c r="F131" s="57">
        <f>3.90794659439*Deflactores!$C$5</f>
        <v>12.634759162644301</v>
      </c>
      <c r="G131" s="57">
        <f>3.73701674104*Deflactores!$D$5</f>
        <v>11.345640298747458</v>
      </c>
      <c r="H131" s="57">
        <f>5.99710552096*Deflactores!$E$5</f>
        <v>17.258602194703371</v>
      </c>
      <c r="I131" s="57">
        <f>6.67297877471999*Deflactores!$F$5</f>
        <v>18.314448349948211</v>
      </c>
      <c r="J131" s="57">
        <f>9.79567275493*Deflactores!$G$5</f>
        <v>25.732603650881821</v>
      </c>
      <c r="K131" s="57">
        <f>20.15385024482*Deflactores!$H$5</f>
        <v>50.090487736954415</v>
      </c>
      <c r="L131" s="57">
        <f>15.57408557358*Deflactores!$I$5</f>
        <v>35.949052228142143</v>
      </c>
      <c r="M131" s="57">
        <f>19.37375549537*Deflactores!$J$5</f>
        <v>43.842047982332367</v>
      </c>
      <c r="N131" s="57">
        <f>21.96021879805*Deflactores!$K$5</f>
        <v>48.167610900066194</v>
      </c>
      <c r="O131" s="57">
        <f>33.69185588369*Deflactores!$L$5</f>
        <v>71.244751859497825</v>
      </c>
      <c r="P131" s="57">
        <f>38.28457298398*Deflactores!$M$5</f>
        <v>79.028216603421953</v>
      </c>
      <c r="Q131" s="57">
        <f>52.0172820175*Deflactores!$N$5</f>
        <v>105.33225957233236</v>
      </c>
      <c r="R131" s="57">
        <f>57.39246795338*Deflactores!$O$5</f>
        <v>112.1133786571046</v>
      </c>
      <c r="S131" s="57">
        <f>55.2304452641*Deflactores!$P$5</f>
        <v>101.04895859708382</v>
      </c>
      <c r="T131" s="57">
        <f>75.09693070441*Deflactores!$Q$5</f>
        <v>129.92571299842834</v>
      </c>
      <c r="U131" s="57">
        <f>90.25037649969*Deflactores!$R$5</f>
        <v>150.00748690777775</v>
      </c>
      <c r="V131" s="57">
        <f>109.84327202329*Deflactores!$S$5</f>
        <v>176.94644865179887</v>
      </c>
    </row>
    <row r="132" spans="2:22" x14ac:dyDescent="0.2">
      <c r="C132" s="87" t="s">
        <v>125</v>
      </c>
      <c r="D132" s="56">
        <f>2.9726059746*Deflactores!$A$5</f>
        <v>11.069131435052247</v>
      </c>
      <c r="E132" s="56">
        <f>2.71827533403*Deflactores!$B$5</f>
        <v>9.4029137032071013</v>
      </c>
      <c r="F132" s="56">
        <f>9.12567162721*Deflactores!$C$5</f>
        <v>29.504155295441596</v>
      </c>
      <c r="G132" s="56">
        <f>3.68046191409*Deflactores!$D$5</f>
        <v>11.173938974349847</v>
      </c>
      <c r="H132" s="56">
        <f>2.93473955981999*Deflactores!$E$5</f>
        <v>8.4456580647065653</v>
      </c>
      <c r="I132" s="56">
        <f>11.75271450062*Deflactores!$F$5</f>
        <v>32.256131775621363</v>
      </c>
      <c r="J132" s="56">
        <f>1.812115571*Deflactores!$G$5</f>
        <v>4.7603113052818209</v>
      </c>
      <c r="K132" s="56">
        <f>39.993139754*Deflactores!$H$5</f>
        <v>99.399164530605205</v>
      </c>
      <c r="L132" s="56">
        <f>50.68640857765*Deflactores!$I$5</f>
        <v>116.9974532762273</v>
      </c>
      <c r="M132" s="56">
        <f>45.56367135178*Deflactores!$J$5</f>
        <v>103.10879922756098</v>
      </c>
      <c r="N132" s="56">
        <f>0*Deflactores!$K$5</f>
        <v>0</v>
      </c>
      <c r="O132" s="56">
        <f>0*Deflactores!$L$5</f>
        <v>0</v>
      </c>
      <c r="P132" s="56">
        <f>0*Deflactores!$M$5</f>
        <v>0</v>
      </c>
      <c r="Q132" s="56">
        <f>0*Deflactores!$N$5</f>
        <v>0</v>
      </c>
      <c r="R132" s="56">
        <f>0*Deflactores!$O$5</f>
        <v>0</v>
      </c>
      <c r="S132" s="56">
        <f>0*Deflactores!$P$5</f>
        <v>0</v>
      </c>
      <c r="T132" s="56">
        <f>0*Deflactores!$Q$5</f>
        <v>0</v>
      </c>
      <c r="U132" s="56">
        <f>0*Deflactores!$R$5</f>
        <v>0</v>
      </c>
      <c r="V132" s="56">
        <f>0*Deflactores!$S$5</f>
        <v>0</v>
      </c>
    </row>
    <row r="133" spans="2:22" x14ac:dyDescent="0.2">
      <c r="C133" s="88" t="s">
        <v>126</v>
      </c>
      <c r="D133" s="57">
        <f>35.54998987118*Deflactores!$A$5</f>
        <v>132.37795851897886</v>
      </c>
      <c r="E133" s="57">
        <f>34.008442604*Deflactores!$B$5</f>
        <v>117.64019890942902</v>
      </c>
      <c r="F133" s="57">
        <f>35.925501113*Deflactores!$C$5</f>
        <v>116.15052647128526</v>
      </c>
      <c r="G133" s="57">
        <f>35.98085837*Deflactores!$D$5</f>
        <v>109.23843937412728</v>
      </c>
      <c r="H133" s="57">
        <f>37.864586136*Deflactores!$E$5</f>
        <v>108.96753894096825</v>
      </c>
      <c r="I133" s="57">
        <f>44.839221325*Deflactores!$F$5</f>
        <v>123.06432115739317</v>
      </c>
      <c r="J133" s="57">
        <f>48.544131391*Deflactores!$G$5</f>
        <v>127.52231765115351</v>
      </c>
      <c r="K133" s="57">
        <f>56.85635927*Deflactores!$H$5</f>
        <v>141.31110096512705</v>
      </c>
      <c r="L133" s="57">
        <f>86.3571043233*Deflactores!$I$5</f>
        <v>199.33472427144326</v>
      </c>
      <c r="M133" s="57">
        <f>96.48951958085*Deflactores!$J$5</f>
        <v>218.35199418444162</v>
      </c>
      <c r="N133" s="57">
        <f>104.81890052757*Deflactores!$K$5</f>
        <v>229.91009616138518</v>
      </c>
      <c r="O133" s="57">
        <f>101.984471675269*Deflactores!$L$5</f>
        <v>215.65622277114977</v>
      </c>
      <c r="P133" s="57">
        <f>130.5168955956*Deflactores!$M$5</f>
        <v>269.41707041766796</v>
      </c>
      <c r="Q133" s="57">
        <f>188.02859389081*Deflactores!$N$5</f>
        <v>380.74801086424264</v>
      </c>
      <c r="R133" s="57">
        <f>212.51842263379*Deflactores!$O$5</f>
        <v>415.14434276823084</v>
      </c>
      <c r="S133" s="57">
        <f>246.53510463342*Deflactores!$P$5</f>
        <v>451.05766324544112</v>
      </c>
      <c r="T133" s="57">
        <f>255.549310463069*Deflactores!$Q$5</f>
        <v>442.12760836870228</v>
      </c>
      <c r="U133" s="57">
        <f>288.471607529229*Deflactores!$R$5</f>
        <v>479.47612595117602</v>
      </c>
      <c r="V133" s="57">
        <f>304.9645054727*Deflactores!$S$5</f>
        <v>491.26710461433396</v>
      </c>
    </row>
    <row r="134" spans="2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0*Deflactores!$D$5</f>
        <v>0</v>
      </c>
      <c r="H134" s="56">
        <f>0*Deflactores!$E$5</f>
        <v>0</v>
      </c>
      <c r="I134" s="56">
        <f>0*Deflactores!$F$5</f>
        <v>0</v>
      </c>
      <c r="J134" s="56">
        <f>0*Deflactores!$G$5</f>
        <v>0</v>
      </c>
      <c r="K134" s="56">
        <f>0*Deflactores!$H$5</f>
        <v>0</v>
      </c>
      <c r="L134" s="56">
        <f>0*Deflactores!$I$5</f>
        <v>0</v>
      </c>
      <c r="M134" s="56">
        <f>0*Deflactores!$J$5</f>
        <v>0</v>
      </c>
      <c r="N134" s="56">
        <f>0*Deflactores!$K$5</f>
        <v>0</v>
      </c>
      <c r="O134" s="56">
        <f>0*Deflactores!$L$5</f>
        <v>0</v>
      </c>
      <c r="P134" s="56">
        <f>0*Deflactores!$M$5</f>
        <v>0</v>
      </c>
      <c r="Q134" s="56">
        <f>0*Deflactores!$N$5</f>
        <v>0</v>
      </c>
      <c r="R134" s="56">
        <f>0*Deflactores!$O$5</f>
        <v>0</v>
      </c>
      <c r="S134" s="56">
        <f>0*Deflactores!$P$5</f>
        <v>0</v>
      </c>
      <c r="T134" s="56">
        <f>0*Deflactores!$Q$5</f>
        <v>0</v>
      </c>
      <c r="U134" s="56">
        <f>0*Deflactores!$R$5</f>
        <v>0</v>
      </c>
      <c r="V134" s="56">
        <f>0*Deflactores!$S$5</f>
        <v>0</v>
      </c>
    </row>
    <row r="135" spans="2:22" x14ac:dyDescent="0.2">
      <c r="C135" s="88" t="s">
        <v>128</v>
      </c>
      <c r="D135" s="57">
        <f>0.658158847*Deflactores!$A$5</f>
        <v>2.4507946377137189</v>
      </c>
      <c r="E135" s="57">
        <f>0.676649763309999*Deflactores!$B$5</f>
        <v>2.3406309331684545</v>
      </c>
      <c r="F135" s="57">
        <f>0.663397225*Deflactores!$C$5</f>
        <v>2.1448256685682514</v>
      </c>
      <c r="G135" s="57">
        <f>0.630729769*Deflactores!$D$5</f>
        <v>1.9149052789082697</v>
      </c>
      <c r="H135" s="57">
        <f>0.6419189876*Deflactores!$E$5</f>
        <v>1.847328583680097</v>
      </c>
      <c r="I135" s="57">
        <f>0.673179717*Deflactores!$F$5</f>
        <v>1.8475879473701153</v>
      </c>
      <c r="J135" s="57">
        <f>1.264644912*Deflactores!$G$5</f>
        <v>3.3221410201991657</v>
      </c>
      <c r="K135" s="57">
        <f>4.288647367*Deflactores!$H$5</f>
        <v>10.659027219875723</v>
      </c>
      <c r="L135" s="57">
        <f>3.907885293*Deflactores!$I$5</f>
        <v>9.020418684353773</v>
      </c>
      <c r="M135" s="57">
        <f>4.673120078*Deflactores!$J$5</f>
        <v>10.575087248099081</v>
      </c>
      <c r="N135" s="57">
        <f>6.840475001*Deflactores!$K$5</f>
        <v>15.003918733681083</v>
      </c>
      <c r="O135" s="57">
        <f>8.381727319*Deflactores!$L$5</f>
        <v>17.723988997744915</v>
      </c>
      <c r="P135" s="57">
        <f>10.16730904082*Deflactores!$M$5</f>
        <v>20.987678287232715</v>
      </c>
      <c r="Q135" s="57">
        <f>9.63012635866*Deflactores!$N$5</f>
        <v>19.50049925683307</v>
      </c>
      <c r="R135" s="57">
        <f>10.82690950786*Deflactores!$O$5</f>
        <v>21.149838099433531</v>
      </c>
      <c r="S135" s="57">
        <f>15.96355034472*Deflactores!$P$5</f>
        <v>29.206719774439261</v>
      </c>
      <c r="T135" s="57">
        <f>18.32975209895*Deflactores!$Q$5</f>
        <v>31.712429365647363</v>
      </c>
      <c r="U135" s="57">
        <f>12.39376019511*Deflactores!$R$5</f>
        <v>20.599989632314564</v>
      </c>
      <c r="V135" s="57">
        <f>13.3189786783*Deflactores!$S$5</f>
        <v>21.455533264654715</v>
      </c>
    </row>
    <row r="136" spans="2:22" x14ac:dyDescent="0.2">
      <c r="C136" s="87" t="s">
        <v>129</v>
      </c>
      <c r="D136" s="56">
        <f>556.59638037792*Deflactores!$A$5</f>
        <v>2072.6051630527904</v>
      </c>
      <c r="E136" s="56">
        <f>636.20256653244*Deflactores!$B$5</f>
        <v>2200.7181377003899</v>
      </c>
      <c r="F136" s="56">
        <f>690.91043785703*Deflactores!$C$5</f>
        <v>2233.7784753282435</v>
      </c>
      <c r="G136" s="56">
        <f>810.55008323114*Deflactores!$D$5</f>
        <v>2460.8425184365246</v>
      </c>
      <c r="H136" s="56">
        <f>842.52109419924*Deflactores!$E$5</f>
        <v>2424.6257389686966</v>
      </c>
      <c r="I136" s="56">
        <f>971.70204514726*Deflactores!$F$5</f>
        <v>2666.9029706505094</v>
      </c>
      <c r="J136" s="56">
        <f>821.252163059439*Deflactores!$G$5</f>
        <v>2157.3767252281928</v>
      </c>
      <c r="K136" s="56">
        <f>1059.34154081861*Deflactores!$H$5</f>
        <v>2632.8931601175991</v>
      </c>
      <c r="L136" s="56">
        <f>1098.22153261719*Deflactores!$I$5</f>
        <v>2534.9817841697168</v>
      </c>
      <c r="M136" s="56">
        <f>1312.45585907946*Deflactores!$J$5</f>
        <v>2970.0360759794971</v>
      </c>
      <c r="N136" s="56">
        <f>1558.80891274921*Deflactores!$K$5</f>
        <v>3419.0962242838136</v>
      </c>
      <c r="O136" s="56">
        <f>1599.4350538138*Deflactores!$L$5</f>
        <v>3382.1631529508531</v>
      </c>
      <c r="P136" s="56">
        <f>1649.08043681589*Deflactores!$M$5</f>
        <v>3404.0835720352757</v>
      </c>
      <c r="Q136" s="56">
        <f>1745.41617854403*Deflactores!$N$5</f>
        <v>3534.3759391022504</v>
      </c>
      <c r="R136" s="56">
        <f>1777.41723996674*Deflactores!$O$5</f>
        <v>3472.0976316600654</v>
      </c>
      <c r="S136" s="56">
        <f>1910.77883003005*Deflactores!$P$5</f>
        <v>3495.9379733517189</v>
      </c>
      <c r="T136" s="56">
        <f>2038.47910384387*Deflactores!$Q$5</f>
        <v>3526.7866278289707</v>
      </c>
      <c r="U136" s="56">
        <f>2091.98708053787*Deflactores!$R$5</f>
        <v>3477.1458775698584</v>
      </c>
      <c r="V136" s="56">
        <f>1901.49706848499*Deflactores!$S$5</f>
        <v>3063.1202730276032</v>
      </c>
    </row>
    <row r="137" spans="2:22" x14ac:dyDescent="0.2">
      <c r="C137" s="88" t="s">
        <v>130</v>
      </c>
      <c r="D137" s="57">
        <f>8.003812074*Deflactores!$A$5</f>
        <v>29.803898863684982</v>
      </c>
      <c r="E137" s="57">
        <f>11.5333761944*Deflactores!$B$5</f>
        <v>39.895642543975441</v>
      </c>
      <c r="F137" s="57">
        <f>9.08916651889*Deflactores!$C$5</f>
        <v>29.386130844316405</v>
      </c>
      <c r="G137" s="57">
        <f>10.15135930982*Deflactores!$D$5</f>
        <v>30.819682986088655</v>
      </c>
      <c r="H137" s="57">
        <f>9.15765030277*Deflactores!$E$5</f>
        <v>26.354087494597294</v>
      </c>
      <c r="I137" s="57">
        <f>11.08485742065*Deflactores!$F$5</f>
        <v>30.423152170981297</v>
      </c>
      <c r="J137" s="57">
        <f>20.21282159313*Deflactores!$G$5</f>
        <v>53.097785086810688</v>
      </c>
      <c r="K137" s="57">
        <f>16.35162070586*Deflactores!$H$5</f>
        <v>40.640406001663507</v>
      </c>
      <c r="L137" s="57">
        <f>16.6961400174*Deflactores!$I$5</f>
        <v>38.539046588525771</v>
      </c>
      <c r="M137" s="57">
        <f>11.46276526847*Deflactores!$J$5</f>
        <v>25.939787721104249</v>
      </c>
      <c r="N137" s="57">
        <f>3.07543908342*Deflactores!$K$5</f>
        <v>6.7456774670289184</v>
      </c>
      <c r="O137" s="57">
        <f>4.99140356097*Deflactores!$L$5</f>
        <v>10.554815067461762</v>
      </c>
      <c r="P137" s="57">
        <f>0*Deflactores!$M$5</f>
        <v>0</v>
      </c>
      <c r="Q137" s="57">
        <f>0*Deflactores!$N$5</f>
        <v>0</v>
      </c>
      <c r="R137" s="57">
        <f>0*Deflactores!$O$5</f>
        <v>0</v>
      </c>
      <c r="S137" s="57">
        <f>0*Deflactores!$P$5</f>
        <v>0</v>
      </c>
      <c r="T137" s="57">
        <f>0*Deflactores!$Q$5</f>
        <v>0</v>
      </c>
      <c r="U137" s="57">
        <f>0*Deflactores!$R$5</f>
        <v>0</v>
      </c>
      <c r="V137" s="57">
        <f>0*Deflactores!$S$5</f>
        <v>0</v>
      </c>
    </row>
    <row r="138" spans="2:22" x14ac:dyDescent="0.2">
      <c r="C138" s="87" t="s">
        <v>131</v>
      </c>
      <c r="D138" s="56">
        <f>133.77226962981*Deflactores!$A$5</f>
        <v>498.12953601994519</v>
      </c>
      <c r="E138" s="56">
        <f>143.69438863288*Deflactores!$B$5</f>
        <v>497.05999941769039</v>
      </c>
      <c r="F138" s="56">
        <f>183.447162367529*Deflactores!$C$5</f>
        <v>593.10194231198955</v>
      </c>
      <c r="G138" s="56">
        <f>177.02687958488*Deflactores!$D$5</f>
        <v>537.45632898095425</v>
      </c>
      <c r="H138" s="56">
        <f>171.16000064222*Deflactores!$E$5</f>
        <v>492.568015087449</v>
      </c>
      <c r="I138" s="56">
        <f>133.167161664749*Deflactores!$F$5</f>
        <v>365.48641716915824</v>
      </c>
      <c r="J138" s="56">
        <f>126.47902064543*Deflactores!$G$5</f>
        <v>332.25226994057613</v>
      </c>
      <c r="K138" s="56">
        <f>55.01111400286*Deflactores!$H$5</f>
        <v>136.72491845892799</v>
      </c>
      <c r="L138" s="56">
        <f>40.8528410141999*Deflactores!$I$5</f>
        <v>94.299014112189013</v>
      </c>
      <c r="M138" s="56">
        <f>55.67070529862*Deflactores!$J$5</f>
        <v>125.98062020012966</v>
      </c>
      <c r="N138" s="56">
        <f>9.80864318278*Deflactores!$K$5</f>
        <v>21.514307877828919</v>
      </c>
      <c r="O138" s="56">
        <f>7.92043280209*Deflactores!$L$5</f>
        <v>16.748536250206911</v>
      </c>
      <c r="P138" s="56">
        <f>14.38062393685*Deflactores!$M$5</f>
        <v>29.684935074221389</v>
      </c>
      <c r="Q138" s="56">
        <f>19.9965977884399*Deflactores!$N$5</f>
        <v>40.492058545213254</v>
      </c>
      <c r="R138" s="56">
        <f>16.65115017989*Deflactores!$O$5</f>
        <v>32.527207345583072</v>
      </c>
      <c r="S138" s="56">
        <f>18.79913989039*Deflactores!$P$5</f>
        <v>34.394680313750342</v>
      </c>
      <c r="T138" s="56">
        <f>21.08310970104*Deflactores!$Q$5</f>
        <v>36.476032168527013</v>
      </c>
      <c r="U138" s="56">
        <f>22.08615610046*Deflactores!$R$5</f>
        <v>36.709971753904746</v>
      </c>
      <c r="V138" s="56">
        <f>21.15673730832*Deflactores!$S$5</f>
        <v>34.081373058265122</v>
      </c>
    </row>
    <row r="139" spans="2:22" x14ac:dyDescent="0.2">
      <c r="C139" s="88" t="s">
        <v>132</v>
      </c>
      <c r="D139" s="57">
        <f>30.3561566873599*Deflactores!$A$5</f>
        <v>113.03761450612102</v>
      </c>
      <c r="E139" s="57">
        <f>35.03780508942*Deflactores!$B$5</f>
        <v>121.20091496293244</v>
      </c>
      <c r="F139" s="57">
        <f>37.35196350889*Deflactores!$C$5</f>
        <v>120.76241365841095</v>
      </c>
      <c r="G139" s="57">
        <f>28.84549973715*Deflactores!$D$5</f>
        <v>87.575380827499274</v>
      </c>
      <c r="H139" s="57">
        <f>30.7254472171*Deflactores!$E$5</f>
        <v>88.422367910811616</v>
      </c>
      <c r="I139" s="57">
        <f>30.6495868000199*Deflactores!$F$5</f>
        <v>84.119895079356567</v>
      </c>
      <c r="J139" s="57">
        <f>44.48129129078*Deflactores!$G$5</f>
        <v>116.84949745682299</v>
      </c>
      <c r="K139" s="57">
        <f>49.41532151716*Deflactores!$H$5</f>
        <v>122.81710573438222</v>
      </c>
      <c r="L139" s="57">
        <f>57.58150618414*Deflactores!$I$5</f>
        <v>132.91313723743136</v>
      </c>
      <c r="M139" s="57">
        <f>85.53607856642*Deflactores!$J$5</f>
        <v>193.56478725179235</v>
      </c>
      <c r="N139" s="57">
        <f>90.14791020893*Deflactores!$K$5</f>
        <v>197.73070124344207</v>
      </c>
      <c r="O139" s="57">
        <f>87.8887203112599*Deflactores!$L$5</f>
        <v>185.84936642969913</v>
      </c>
      <c r="P139" s="57">
        <f>105.99637096183*Deflactores!$M$5</f>
        <v>218.80103421953692</v>
      </c>
      <c r="Q139" s="57">
        <f>133.40090977254*Deflactores!$N$5</f>
        <v>270.12982436527921</v>
      </c>
      <c r="R139" s="57">
        <f>137.529250540969*Deflactores!$O$5</f>
        <v>268.65666335959349</v>
      </c>
      <c r="S139" s="57">
        <f>162.9451881083*Deflactores!$P$5</f>
        <v>298.12255700665594</v>
      </c>
      <c r="T139" s="57">
        <f>225.25650061051*Deflactores!$Q$5</f>
        <v>389.7178110320927</v>
      </c>
      <c r="U139" s="57">
        <f>284.385186989959*Deflactores!$R$5</f>
        <v>472.68398059601145</v>
      </c>
      <c r="V139" s="57">
        <f>374.98032323102*Deflactores!$S$5</f>
        <v>604.05553556310826</v>
      </c>
    </row>
    <row r="140" spans="2:22" x14ac:dyDescent="0.2">
      <c r="C140" s="87" t="s">
        <v>133</v>
      </c>
      <c r="D140" s="56">
        <f>0.11853800175*Deflactores!$A$5</f>
        <v>0.44140149506217818</v>
      </c>
      <c r="E140" s="56">
        <f>0.119989148*Deflactores!$B$5</f>
        <v>0.41506008969762925</v>
      </c>
      <c r="F140" s="56">
        <f>0.242199602199999*Deflactores!$C$5</f>
        <v>0.78305411017596183</v>
      </c>
      <c r="G140" s="56">
        <f>0.04953657048*Deflactores!$D$5</f>
        <v>0.15039378981835178</v>
      </c>
      <c r="H140" s="56">
        <f>0.64532104635*Deflactores!$E$5</f>
        <v>1.8571191031905592</v>
      </c>
      <c r="I140" s="56">
        <f>2.44357395459999*Deflactores!$F$5</f>
        <v>6.7065564707536645</v>
      </c>
      <c r="J140" s="56">
        <f>3.3276734991*Deflactores!$G$5</f>
        <v>8.7415847154333868</v>
      </c>
      <c r="K140" s="56">
        <f>1.55818601428*Deflactores!$H$5</f>
        <v>3.8727238960330634</v>
      </c>
      <c r="L140" s="56">
        <f>4.793698207*Deflactores!$I$5</f>
        <v>11.065105966910473</v>
      </c>
      <c r="M140" s="56">
        <f>4.27666605815*Deflactores!$J$5</f>
        <v>9.6779273678060687</v>
      </c>
      <c r="N140" s="56">
        <f>3.33058925028*Deflactores!$K$5</f>
        <v>7.3053246213410041</v>
      </c>
      <c r="O140" s="56">
        <f>4.382678886*Deflactores!$L$5</f>
        <v>9.2676067115698721</v>
      </c>
      <c r="P140" s="56">
        <f>4.74091562322999*Deflactores!$M$5</f>
        <v>9.7863467597756451</v>
      </c>
      <c r="Q140" s="56">
        <f>3.1378972714*Deflactores!$N$5</f>
        <v>6.3540768968132921</v>
      </c>
      <c r="R140" s="56">
        <f>3.82235758121*Deflactores!$O$5</f>
        <v>7.4667885551315356</v>
      </c>
      <c r="S140" s="56">
        <f>3.52102841864*Deflactores!$P$5</f>
        <v>6.4420312599865612</v>
      </c>
      <c r="T140" s="56">
        <f>3.63299725733*Deflactores!$Q$5</f>
        <v>6.2854733815667903</v>
      </c>
      <c r="U140" s="56">
        <f>6.697478326*Deflactores!$R$5</f>
        <v>11.132052089622263</v>
      </c>
      <c r="V140" s="56">
        <f>23.27386441725*Deflactores!$S$5</f>
        <v>37.491851609834335</v>
      </c>
    </row>
    <row r="141" spans="2:22" x14ac:dyDescent="0.2">
      <c r="C141" s="88" t="s">
        <v>134</v>
      </c>
      <c r="D141" s="57">
        <f>93.6636713916999*Deflactores!$A$5</f>
        <v>348.776628380349</v>
      </c>
      <c r="E141" s="57">
        <f>107.1596920598*Deflactores!$B$5</f>
        <v>370.68111691493061</v>
      </c>
      <c r="F141" s="57">
        <f>113.26609364092*Deflactores!$C$5</f>
        <v>366.19994155010284</v>
      </c>
      <c r="G141" s="57">
        <f>103.72541785944*Deflactores!$D$5</f>
        <v>314.9119638524748</v>
      </c>
      <c r="H141" s="57">
        <f>114.48055405573*Deflactores!$E$5</f>
        <v>329.45465684599179</v>
      </c>
      <c r="I141" s="57">
        <f>111.316461314529*Deflactores!$F$5</f>
        <v>305.51566999844039</v>
      </c>
      <c r="J141" s="57">
        <f>112.310495271669*Deflactores!$G$5</f>
        <v>295.032463105261</v>
      </c>
      <c r="K141" s="57">
        <f>136.8902239303*Deflactores!$H$5</f>
        <v>340.22769841966135</v>
      </c>
      <c r="L141" s="57">
        <f>142.72723488812*Deflactores!$I$5</f>
        <v>329.4516905747231</v>
      </c>
      <c r="M141" s="57">
        <f>148.78678932361*Deflactores!$J$5</f>
        <v>336.6986621784198</v>
      </c>
      <c r="N141" s="57">
        <f>157.132179459709*Deflactores!$K$5</f>
        <v>344.65420174988014</v>
      </c>
      <c r="O141" s="57">
        <f>166.11831411185*Deflactores!$L$5</f>
        <v>351.27355729745182</v>
      </c>
      <c r="P141" s="57">
        <f>164.35133285488*Deflactores!$M$5</f>
        <v>339.25917725010254</v>
      </c>
      <c r="Q141" s="57">
        <f>172.54753732197*Deflactores!$N$5</f>
        <v>349.39968573617426</v>
      </c>
      <c r="R141" s="57">
        <f>162.58637162415*Deflactores!$O$5</f>
        <v>317.60452366658598</v>
      </c>
      <c r="S141" s="57">
        <f>165.07668286391*Deflactores!$P$5</f>
        <v>302.02231418369138</v>
      </c>
      <c r="T141" s="57">
        <f>163.26882290659*Deflactores!$Q$5</f>
        <v>282.47250623396155</v>
      </c>
      <c r="U141" s="57">
        <f>178.65605136182*Deflactores!$R$5</f>
        <v>296.94884747373368</v>
      </c>
      <c r="V141" s="57">
        <f>197.88619846367*Deflactores!$S$5</f>
        <v>318.77473613429146</v>
      </c>
    </row>
    <row r="142" spans="2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2:22" x14ac:dyDescent="0.2">
      <c r="C143" s="88" t="s">
        <v>136</v>
      </c>
      <c r="D143" s="57">
        <f>901.32341700808*Deflactores!$A$5</f>
        <v>3356.2697019390039</v>
      </c>
      <c r="E143" s="57">
        <f>891.986346202829*Deflactores!$B$5</f>
        <v>3085.5118069844684</v>
      </c>
      <c r="F143" s="57">
        <f>934.72685526918*Deflactores!$C$5</f>
        <v>3022.0599012626531</v>
      </c>
      <c r="G143" s="57">
        <f>979.46658026688*Deflactores!$D$5</f>
        <v>2973.6756012657443</v>
      </c>
      <c r="H143" s="57">
        <f>1092.98232639632*Deflactores!$E$5</f>
        <v>3145.4085827217418</v>
      </c>
      <c r="I143" s="57">
        <f>1179.46220864576*Deflactores!$F$5</f>
        <v>3237.115002192561</v>
      </c>
      <c r="J143" s="57">
        <f>1431.29513193231*Deflactores!$G$5</f>
        <v>3759.9204525196424</v>
      </c>
      <c r="K143" s="57">
        <f>2078.75354845038*Deflactores!$H$5</f>
        <v>5166.5452438085349</v>
      </c>
      <c r="L143" s="57">
        <f>2714.01349685237*Deflactores!$I$5</f>
        <v>6264.6511402082333</v>
      </c>
      <c r="M143" s="57">
        <f>3498.63557385607*Deflactores!$J$5</f>
        <v>7917.2749309420033</v>
      </c>
      <c r="N143" s="57">
        <f>2889.20134620635*Deflactores!$K$5</f>
        <v>6337.1830461166628</v>
      </c>
      <c r="O143" s="57">
        <f>2807.98124158884*Deflactores!$L$5</f>
        <v>5937.7532503327093</v>
      </c>
      <c r="P143" s="57">
        <f>2997.57794489134*Deflactores!$M$5</f>
        <v>6187.6944327847186</v>
      </c>
      <c r="Q143" s="57">
        <f>3467.92659821965*Deflactores!$N$5</f>
        <v>7022.3689215168197</v>
      </c>
      <c r="R143" s="57">
        <f>1437.87025202444*Deflactores!$O$5</f>
        <v>2808.8092004677196</v>
      </c>
      <c r="S143" s="57">
        <f>1497.04875825498*Deflactores!$P$5</f>
        <v>2738.9824084770271</v>
      </c>
      <c r="T143" s="57">
        <f>2577.24542774426*Deflactores!$Q$5</f>
        <v>4458.9099265537434</v>
      </c>
      <c r="U143" s="57">
        <f>2787.17300009169*Deflactores!$R$5</f>
        <v>4632.6323893219651</v>
      </c>
      <c r="V143" s="57">
        <f>2796.67821903097*Deflactores!$S$5</f>
        <v>4505.1669507299684</v>
      </c>
    </row>
    <row r="144" spans="2:22" x14ac:dyDescent="0.2">
      <c r="C144" s="87" t="s">
        <v>137</v>
      </c>
      <c r="D144" s="56">
        <f>13.67201399619*Deflactores!$A$5</f>
        <v>50.910655902205569</v>
      </c>
      <c r="E144" s="56">
        <f>15.42458104093*Deflactores!$B$5</f>
        <v>53.355891737782464</v>
      </c>
      <c r="F144" s="56">
        <f>19.9267932076499*Deflactores!$C$5</f>
        <v>64.425197986046726</v>
      </c>
      <c r="G144" s="56">
        <f>18.67031775892*Deflactores!$D$5</f>
        <v>56.683371853740304</v>
      </c>
      <c r="H144" s="56">
        <f>18.4757552390599*Deflactores!$E$5</f>
        <v>53.169934863276907</v>
      </c>
      <c r="I144" s="56">
        <f>34.83812018793*Deflactores!$F$5</f>
        <v>95.615612507010468</v>
      </c>
      <c r="J144" s="56">
        <f>37.5877591474999*Deflactores!$G$5</f>
        <v>98.740630936311277</v>
      </c>
      <c r="K144" s="56">
        <f>33.93519668246*Deflactores!$H$5</f>
        <v>84.342720255688832</v>
      </c>
      <c r="L144" s="56">
        <f>45.4504154350999*Deflactores!$I$5</f>
        <v>104.91141521906903</v>
      </c>
      <c r="M144" s="56">
        <f>48.94740988965*Deflactores!$J$5</f>
        <v>110.76606667745817</v>
      </c>
      <c r="N144" s="56">
        <f>40.2304947892899*Deflactores!$K$5</f>
        <v>88.24168999171026</v>
      </c>
      <c r="O144" s="56">
        <f>40.95006622929*Deflactores!$L$5</f>
        <v>86.592953418992238</v>
      </c>
      <c r="P144" s="56">
        <f>43.3005003758099*Deflactores!$M$5</f>
        <v>89.38225128351209</v>
      </c>
      <c r="Q144" s="56">
        <f>44.31270973847*Deflactores!$N$5</f>
        <v>89.73090602764772</v>
      </c>
      <c r="R144" s="56">
        <f>56.4729049477499*Deflactores!$O$5</f>
        <v>110.31705730822976</v>
      </c>
      <c r="S144" s="56">
        <f>42.06114742019*Deflactores!$P$5</f>
        <v>76.954569601691901</v>
      </c>
      <c r="T144" s="56">
        <f>36.5221451364099*Deflactores!$Q$5</f>
        <v>63.187212880345875</v>
      </c>
      <c r="U144" s="56">
        <f>58.01645741084*Deflactores!$R$5</f>
        <v>96.430655616401992</v>
      </c>
      <c r="V144" s="56">
        <f>42.06935256679*Deflactores!$S$5</f>
        <v>67.769490080335359</v>
      </c>
    </row>
    <row r="145" spans="2:22" x14ac:dyDescent="0.2">
      <c r="C145" s="88" t="s">
        <v>138</v>
      </c>
      <c r="D145" s="57">
        <f>13.03954966675*Deflactores!$A$5</f>
        <v>48.555540272897993</v>
      </c>
      <c r="E145" s="57">
        <f>13.73692237782*Deflactores!$B$5</f>
        <v>47.518032499966907</v>
      </c>
      <c r="F145" s="57">
        <f>16.1450406656999*Deflactores!$C$5</f>
        <v>52.198436072552745</v>
      </c>
      <c r="G145" s="57">
        <f>12.38040221494*Deflactores!$D$5</f>
        <v>37.587091527300721</v>
      </c>
      <c r="H145" s="57">
        <f>30.58647834268*Deflactores!$E$5</f>
        <v>88.022440226918448</v>
      </c>
      <c r="I145" s="57">
        <f>15.5630341960399*Deflactores!$F$5</f>
        <v>42.713815759710826</v>
      </c>
      <c r="J145" s="57">
        <f>20.37365158718*Deflactores!$G$5</f>
        <v>53.520275159274526</v>
      </c>
      <c r="K145" s="57">
        <f>58.45875639672*Deflactores!$H$5</f>
        <v>145.29370739767853</v>
      </c>
      <c r="L145" s="57">
        <f>78.30200309656*Deflactores!$I$5</f>
        <v>180.74144935106639</v>
      </c>
      <c r="M145" s="57">
        <f>60.9409775589799*Deflactores!$J$5</f>
        <v>137.90703938993897</v>
      </c>
      <c r="N145" s="57">
        <f>52.52067671349*Deflactores!$K$5</f>
        <v>115.19901251476563</v>
      </c>
      <c r="O145" s="57">
        <f>45.22033941254*Deflactores!$L$5</f>
        <v>95.622867186971746</v>
      </c>
      <c r="P145" s="57">
        <f>25.71966475119*Deflactores!$M$5</f>
        <v>53.091338847502968</v>
      </c>
      <c r="Q145" s="57">
        <f>23.67323709319*Deflactores!$N$5</f>
        <v>47.937059717544592</v>
      </c>
      <c r="R145" s="57">
        <f>43.65698847451*Deflactores!$O$5</f>
        <v>85.281791398958987</v>
      </c>
      <c r="S145" s="57">
        <f>0*Deflactores!$P$5</f>
        <v>0</v>
      </c>
      <c r="T145" s="57">
        <f>0*Deflactores!$Q$5</f>
        <v>0</v>
      </c>
      <c r="U145" s="57">
        <f>0*Deflactores!$R$5</f>
        <v>0</v>
      </c>
      <c r="V145" s="57">
        <f>0*Deflactores!$S$5</f>
        <v>0</v>
      </c>
    </row>
    <row r="146" spans="2:22" x14ac:dyDescent="0.2">
      <c r="C146" s="87" t="s">
        <v>139</v>
      </c>
      <c r="D146" s="56">
        <f>166.45901459623*Deflactores!$A$5</f>
        <v>619.84559233851655</v>
      </c>
      <c r="E146" s="56">
        <f>160.44560606399*Deflactores!$B$5</f>
        <v>555.00492131596911</v>
      </c>
      <c r="F146" s="56">
        <f>163.31371043048*Deflactores!$C$5</f>
        <v>528.00859720270319</v>
      </c>
      <c r="G146" s="56">
        <f>150.312133346879*Deflactores!$D$5</f>
        <v>456.34994854651035</v>
      </c>
      <c r="H146" s="56">
        <f>160.07426432001*Deflactores!$E$5</f>
        <v>460.66523923137737</v>
      </c>
      <c r="I146" s="56">
        <f>196.713499057769*Deflactores!$F$5</f>
        <v>539.89370262642149</v>
      </c>
      <c r="J146" s="56">
        <f>241.24275470966*Deflactores!$G$5</f>
        <v>633.72923390752305</v>
      </c>
      <c r="K146" s="56">
        <f>281.160945892529*Deflactores!$H$5</f>
        <v>698.79892632227973</v>
      </c>
      <c r="L146" s="56">
        <f>415.75519276534*Deflactores!$I$5</f>
        <v>959.67144062679552</v>
      </c>
      <c r="M146" s="56">
        <f>598.30109317231*Deflactores!$J$5</f>
        <v>1353.9318817671167</v>
      </c>
      <c r="N146" s="56">
        <f>638.71870752993*Deflactores!$K$5</f>
        <v>1400.967561471962</v>
      </c>
      <c r="O146" s="56">
        <f>667.320886219739*Deflactores!$L$5</f>
        <v>1411.1158231684346</v>
      </c>
      <c r="P146" s="56">
        <f>672.12269688958*Deflactores!$M$5</f>
        <v>1387.4167565116181</v>
      </c>
      <c r="Q146" s="56">
        <f>945.54476834288*Deflactores!$N$5</f>
        <v>1914.6784128945114</v>
      </c>
      <c r="R146" s="56">
        <f>831.260867221519*Deflactores!$O$5</f>
        <v>1623.8274410039685</v>
      </c>
      <c r="S146" s="56">
        <f>874.1238693766*Deflactores!$P$5</f>
        <v>1599.2865214645149</v>
      </c>
      <c r="T146" s="56">
        <f>952.46332188079*Deflactores!$Q$5</f>
        <v>1647.8633019943929</v>
      </c>
      <c r="U146" s="56">
        <f>967.04360617821*Deflactores!$R$5</f>
        <v>1607.3482097166241</v>
      </c>
      <c r="V146" s="56">
        <f>436.04519127923*Deflactores!$S$5</f>
        <v>702.42488800037393</v>
      </c>
    </row>
    <row r="147" spans="2:22" x14ac:dyDescent="0.2">
      <c r="C147" s="88" t="s">
        <v>140</v>
      </c>
      <c r="D147" s="57">
        <f>20.37296039788*Deflactores!$A$5</f>
        <v>75.863056958160513</v>
      </c>
      <c r="E147" s="57">
        <f>22.59223798817*Deflactores!$B$5</f>
        <v>78.149870068583439</v>
      </c>
      <c r="F147" s="57">
        <f>11.9988093355599*Deflactores!$C$5</f>
        <v>38.793279931439621</v>
      </c>
      <c r="G147" s="57">
        <f>10.49189812641*Deflactores!$D$5</f>
        <v>31.853564070527156</v>
      </c>
      <c r="H147" s="57">
        <f>2065.27263932761*Deflactores!$E$5</f>
        <v>5943.4870340674888</v>
      </c>
      <c r="I147" s="57">
        <f>2065.44412407837*Deflactores!$F$5</f>
        <v>5668.7531921191576</v>
      </c>
      <c r="J147" s="57">
        <f>228.36661570437*Deflactores!$G$5</f>
        <v>599.90444311813792</v>
      </c>
      <c r="K147" s="57">
        <f>153.05443534343*Deflactores!$H$5</f>
        <v>380.40231635774148</v>
      </c>
      <c r="L147" s="57">
        <f>256.403517510099*Deflactores!$I$5</f>
        <v>591.84620496027605</v>
      </c>
      <c r="M147" s="57">
        <f>292.80246057224*Deflactores!$J$5</f>
        <v>662.60047148943158</v>
      </c>
      <c r="N147" s="57">
        <f>1078.62094264524*Deflactores!$K$5</f>
        <v>2365.8504658711295</v>
      </c>
      <c r="O147" s="57">
        <f>1069.77878228189*Deflactores!$L$5</f>
        <v>2262.1527336261906</v>
      </c>
      <c r="P147" s="57">
        <f>525.87651132241*Deflactores!$M$5</f>
        <v>1085.5307922809927</v>
      </c>
      <c r="Q147" s="57">
        <f>614.974736035829*Deflactores!$N$5</f>
        <v>1245.2914880243054</v>
      </c>
      <c r="R147" s="57">
        <f>593.17825806511*Deflactores!$O$5</f>
        <v>1158.7447103971217</v>
      </c>
      <c r="S147" s="57">
        <f>763.086688728749*Deflactores!$P$5</f>
        <v>1396.1342307964042</v>
      </c>
      <c r="T147" s="57">
        <f>625.601415107889*Deflactores!$Q$5</f>
        <v>1082.3572834241681</v>
      </c>
      <c r="U147" s="57">
        <f>658.149499571629*Deflactores!$R$5</f>
        <v>1093.9273194133514</v>
      </c>
      <c r="V147" s="57">
        <f>606.75419577219*Deflactores!$S$5</f>
        <v>977.41990172782937</v>
      </c>
    </row>
    <row r="148" spans="2:22" x14ac:dyDescent="0.2">
      <c r="C148" s="87" t="s">
        <v>141</v>
      </c>
      <c r="D148" s="56">
        <f>3.68286305779999*Deflactores!$A$5</f>
        <v>13.713924950841182</v>
      </c>
      <c r="E148" s="56">
        <f>4.65984997451*Deflactores!$B$5</f>
        <v>16.119105607763927</v>
      </c>
      <c r="F148" s="56">
        <f>8.73294708119*Deflactores!$C$5</f>
        <v>28.234439874216388</v>
      </c>
      <c r="G148" s="56">
        <f>7.00293782235*Deflactores!$D$5</f>
        <v>21.261026929401833</v>
      </c>
      <c r="H148" s="56">
        <f>11.5302862065499*Deflactores!$E$5</f>
        <v>33.182111292593248</v>
      </c>
      <c r="I148" s="56">
        <f>7.84926038442999*Deflactores!$F$5</f>
        <v>21.542833980012158</v>
      </c>
      <c r="J148" s="56">
        <f>19.31458441802*Deflactores!$G$5</f>
        <v>50.738173675745493</v>
      </c>
      <c r="K148" s="56">
        <f>18.06589686218*Deflactores!$H$5</f>
        <v>44.90107717579663</v>
      </c>
      <c r="L148" s="56">
        <f>22.09185945905*Deflactores!$I$5</f>
        <v>50.993774610910066</v>
      </c>
      <c r="M148" s="56">
        <f>23.9101794073799*Deflactores!$J$5</f>
        <v>54.107797174122695</v>
      </c>
      <c r="N148" s="56">
        <f>22.76976506834*Deflactores!$K$5</f>
        <v>49.943272158796049</v>
      </c>
      <c r="O148" s="56">
        <f>18.68488726618*Deflactores!$L$5</f>
        <v>39.51103677390801</v>
      </c>
      <c r="P148" s="56">
        <f>15.38319837346*Deflactores!$M$5</f>
        <v>31.754480678677339</v>
      </c>
      <c r="Q148" s="56">
        <f>17.84824835976*Deflactores!$N$5</f>
        <v>36.141763972004817</v>
      </c>
      <c r="R148" s="56">
        <f>20.0610059437199*Deflactores!$O$5</f>
        <v>39.188193778975474</v>
      </c>
      <c r="S148" s="56">
        <f>25.75848466228*Deflactores!$P$5</f>
        <v>47.127413833366738</v>
      </c>
      <c r="T148" s="56">
        <f>30.65121074293*Deflactores!$Q$5</f>
        <v>53.029869166229517</v>
      </c>
      <c r="U148" s="56">
        <f>18.02254502016*Deflactores!$R$5</f>
        <v>29.955738590916262</v>
      </c>
      <c r="V148" s="56">
        <f>17.11967456132*Deflactores!$S$5</f>
        <v>27.578071555059136</v>
      </c>
    </row>
    <row r="149" spans="2:22" x14ac:dyDescent="0.2">
      <c r="C149" s="88" t="s">
        <v>142</v>
      </c>
      <c r="D149" s="57">
        <f>18.82872674717*Deflactores!$A$5</f>
        <v>70.112774077685685</v>
      </c>
      <c r="E149" s="57">
        <f>21.89360732676*Deflactores!$B$5</f>
        <v>75.733203979827238</v>
      </c>
      <c r="F149" s="57">
        <f>21.39256919966*Deflactores!$C$5</f>
        <v>69.164189729695266</v>
      </c>
      <c r="G149" s="57">
        <f>19.25445616625*Deflactores!$D$5</f>
        <v>58.456825042072836</v>
      </c>
      <c r="H149" s="57">
        <f>27.661259528*Deflactores!$E$5</f>
        <v>79.604181172016524</v>
      </c>
      <c r="I149" s="57">
        <f>23.46002513673*Deflactores!$F$5</f>
        <v>64.387649528101107</v>
      </c>
      <c r="J149" s="57">
        <f>33.00027547099*Deflactores!$G$5</f>
        <v>86.689605738158548</v>
      </c>
      <c r="K149" s="57">
        <f>40.48951647056*Deflactores!$H$5</f>
        <v>100.63286189025236</v>
      </c>
      <c r="L149" s="57">
        <f>45.09969238761*Deflactores!$I$5</f>
        <v>104.10185493430879</v>
      </c>
      <c r="M149" s="57">
        <f>45.3761708171899*Deflactores!$J$5</f>
        <v>102.68449287992607</v>
      </c>
      <c r="N149" s="57">
        <f>71.91968717427*Deflactores!$K$5</f>
        <v>157.74886123504052</v>
      </c>
      <c r="O149" s="57">
        <f>65.09025266524*Deflactores!$L$5</f>
        <v>137.63975827321357</v>
      </c>
      <c r="P149" s="57">
        <f>74.92590487371*Deflactores!$M$5</f>
        <v>154.66440338892292</v>
      </c>
      <c r="Q149" s="57">
        <f>81.94404748972*Deflactores!$N$5</f>
        <v>165.93238527324249</v>
      </c>
      <c r="R149" s="57">
        <f>107.251974855959*Deflactores!$O$5</f>
        <v>209.51148639427424</v>
      </c>
      <c r="S149" s="57">
        <f>114.719496404589*Deflactores!$P$5</f>
        <v>209.88941130265795</v>
      </c>
      <c r="T149" s="57">
        <f>106.63016156759*Deflactores!$Q$5</f>
        <v>184.48157120212605</v>
      </c>
      <c r="U149" s="57">
        <f>112.86249010434*Deflactores!$R$5</f>
        <v>187.59166624378713</v>
      </c>
      <c r="V149" s="57">
        <f>104.60219981059*Deflactores!$S$5</f>
        <v>168.50360915801306</v>
      </c>
    </row>
    <row r="150" spans="2:22" x14ac:dyDescent="0.2">
      <c r="C150" s="87" t="s">
        <v>143</v>
      </c>
      <c r="D150" s="56">
        <f>0.0585*Deflactores!$A$5</f>
        <v>0.21783720899561584</v>
      </c>
      <c r="E150" s="56">
        <f>0*Deflactores!$B$5</f>
        <v>0</v>
      </c>
      <c r="F150" s="56">
        <f>0*Deflactores!$C$5</f>
        <v>0</v>
      </c>
      <c r="G150" s="56">
        <f>0*Deflactores!$D$5</f>
        <v>0</v>
      </c>
      <c r="H150" s="56">
        <f>30.49931686711*Deflactores!$E$5</f>
        <v>87.771605015113607</v>
      </c>
      <c r="I150" s="56">
        <f>4.23428594992999*Deflactores!$F$5</f>
        <v>11.621288475049626</v>
      </c>
      <c r="J150" s="56">
        <f>0*Deflactores!$G$5</f>
        <v>0</v>
      </c>
      <c r="K150" s="56">
        <f>0*Deflactores!$H$5</f>
        <v>0</v>
      </c>
      <c r="L150" s="56">
        <f>0*Deflactores!$I$5</f>
        <v>0</v>
      </c>
      <c r="M150" s="56">
        <f>0*Deflactores!$J$5</f>
        <v>0</v>
      </c>
      <c r="N150" s="56">
        <f>0*Deflactores!$K$5</f>
        <v>0</v>
      </c>
      <c r="O150" s="56">
        <f>0*Deflactores!$L$5</f>
        <v>0</v>
      </c>
      <c r="P150" s="56">
        <f>0.117682621*Deflactores!$M$5</f>
        <v>0.24292415816517163</v>
      </c>
      <c r="Q150" s="56">
        <f>3.523321884*Deflactores!$N$5</f>
        <v>7.1345414609996851</v>
      </c>
      <c r="R150" s="56">
        <f>11.10531429688*Deflactores!$O$5</f>
        <v>21.693688235948045</v>
      </c>
      <c r="S150" s="56">
        <f>0.221295048*Deflactores!$P$5</f>
        <v>0.40487875910040555</v>
      </c>
      <c r="T150" s="56">
        <f>11.68452236617*Deflactores!$Q$5</f>
        <v>20.215471993738486</v>
      </c>
      <c r="U150" s="56">
        <f>19.22252670155*Deflactores!$R$5</f>
        <v>31.950259205035827</v>
      </c>
      <c r="V150" s="56">
        <f>55.42405192524*Deflactores!$S$5</f>
        <v>89.282565763196885</v>
      </c>
    </row>
    <row r="151" spans="2:22" x14ac:dyDescent="0.2">
      <c r="C151" s="88" t="s">
        <v>144</v>
      </c>
      <c r="D151" s="57">
        <f>0*Deflactores!$A$5</f>
        <v>0</v>
      </c>
      <c r="E151" s="57">
        <f>0*Deflactores!$B$5</f>
        <v>0</v>
      </c>
      <c r="F151" s="57">
        <f>0*Deflactores!$C$5</f>
        <v>0</v>
      </c>
      <c r="G151" s="57">
        <f>0*Deflactores!$D$5</f>
        <v>0</v>
      </c>
      <c r="H151" s="57">
        <f>0*Deflactores!$E$5</f>
        <v>0</v>
      </c>
      <c r="I151" s="57">
        <f>0*Deflactores!$F$5</f>
        <v>0</v>
      </c>
      <c r="J151" s="57">
        <f>0*Deflactores!$G$5</f>
        <v>0</v>
      </c>
      <c r="K151" s="57">
        <f>0*Deflactores!$H$5</f>
        <v>0</v>
      </c>
      <c r="L151" s="57">
        <f>0*Deflactores!$I$5</f>
        <v>0</v>
      </c>
      <c r="M151" s="57">
        <f>0*Deflactores!$J$5</f>
        <v>0</v>
      </c>
      <c r="N151" s="57">
        <f>0*Deflactores!$K$5</f>
        <v>0</v>
      </c>
      <c r="O151" s="57">
        <f>0*Deflactores!$L$5</f>
        <v>0</v>
      </c>
      <c r="P151" s="57">
        <f>0*Deflactores!$M$5</f>
        <v>0</v>
      </c>
      <c r="Q151" s="57">
        <f>0*Deflactores!$N$5</f>
        <v>0</v>
      </c>
      <c r="R151" s="57">
        <f>0*Deflactores!$O$5</f>
        <v>0</v>
      </c>
      <c r="S151" s="57">
        <f>0*Deflactores!$P$5</f>
        <v>0</v>
      </c>
      <c r="T151" s="57">
        <f>0*Deflactores!$Q$5</f>
        <v>0</v>
      </c>
      <c r="U151" s="57">
        <f>0*Deflactores!$R$5</f>
        <v>0</v>
      </c>
      <c r="V151" s="57">
        <f>0*Deflactores!$S$5</f>
        <v>0</v>
      </c>
    </row>
    <row r="152" spans="2:22" x14ac:dyDescent="0.2">
      <c r="C152" s="87" t="s">
        <v>145</v>
      </c>
      <c r="D152" s="56">
        <f>14.6897341561699*Deflactores!$A$5</f>
        <v>54.700353666113138</v>
      </c>
      <c r="E152" s="56">
        <f>9.45664079304*Deflactores!$B$5</f>
        <v>32.711909712013643</v>
      </c>
      <c r="F152" s="56">
        <f>25.488321384*Deflactores!$C$5</f>
        <v>82.406142041248742</v>
      </c>
      <c r="G152" s="56">
        <f>15.144749513*Deflactores!$D$5</f>
        <v>45.97969243812107</v>
      </c>
      <c r="H152" s="56">
        <f>8.6644369565*Deflactores!$E$5</f>
        <v>24.934707276816862</v>
      </c>
      <c r="I152" s="56">
        <f>9.976157833*Deflactores!$F$5</f>
        <v>27.380250039994547</v>
      </c>
      <c r="J152" s="56">
        <f>21.19432236332*Deflactores!$G$5</f>
        <v>55.676124618378175</v>
      </c>
      <c r="K152" s="56">
        <f>23.3919494700099*Deflactores!$H$5</f>
        <v>58.138476957877849</v>
      </c>
      <c r="L152" s="56">
        <f>20.775799047*Deflactores!$I$5</f>
        <v>47.955963866603206</v>
      </c>
      <c r="M152" s="56">
        <f>29.39676236142*Deflactores!$J$5</f>
        <v>66.523718970367028</v>
      </c>
      <c r="N152" s="56">
        <f>22.7979757*Deflactores!$K$5</f>
        <v>50.005149444334045</v>
      </c>
      <c r="O152" s="56">
        <f>23.61773152181*Deflactores!$L$5</f>
        <v>49.942022415278927</v>
      </c>
      <c r="P152" s="56">
        <f>32.07514104687*Deflactores!$M$5</f>
        <v>66.210512398768188</v>
      </c>
      <c r="Q152" s="56">
        <f>34.99694127865*Deflactores!$N$5</f>
        <v>70.866964978298228</v>
      </c>
      <c r="R152" s="56">
        <f>50.69225076328*Deflactores!$O$5</f>
        <v>99.024832133391598</v>
      </c>
      <c r="S152" s="56">
        <f>63.75810940135*Deflactores!$P$5</f>
        <v>116.65107037102109</v>
      </c>
      <c r="T152" s="56">
        <f>81.3113750532399*Deflactores!$Q$5</f>
        <v>140.67736563372523</v>
      </c>
      <c r="U152" s="56">
        <f>87.39763254785*Deflactores!$R$5</f>
        <v>145.26586734225324</v>
      </c>
      <c r="V152" s="56">
        <f>80.98064973459*Deflactores!$S$5</f>
        <v>130.45167096818383</v>
      </c>
    </row>
    <row r="153" spans="2:22" x14ac:dyDescent="0.2">
      <c r="C153" s="88" t="s">
        <v>146</v>
      </c>
      <c r="D153" s="57">
        <f>52.80543624187*Deflactores!$A$5</f>
        <v>196.6322880465795</v>
      </c>
      <c r="E153" s="57">
        <f>52.5174562643899*Deflactores!$B$5</f>
        <v>181.66559619032375</v>
      </c>
      <c r="F153" s="57">
        <f>49.98641337938*Deflactores!$C$5</f>
        <v>161.61077926691308</v>
      </c>
      <c r="G153" s="57">
        <f>35.11699548035*Deflactores!$D$5</f>
        <v>106.6157383554859</v>
      </c>
      <c r="H153" s="57">
        <f>37.9345570397699*Deflactores!$E$5</f>
        <v>109.16890274708238</v>
      </c>
      <c r="I153" s="57">
        <f>40.9034073972399*Deflactores!$F$5</f>
        <v>112.26220963741554</v>
      </c>
      <c r="J153" s="57">
        <f>43.29796159702*Deflactores!$G$5</f>
        <v>113.74096629621226</v>
      </c>
      <c r="K153" s="57">
        <f>49.6385735070799*Deflactores!$H$5</f>
        <v>123.37197743023634</v>
      </c>
      <c r="L153" s="57">
        <f>48.5847546822*Deflactores!$I$5</f>
        <v>112.1462878388691</v>
      </c>
      <c r="M153" s="57">
        <f>70.88672660622*Deflactores!$J$5</f>
        <v>160.41387896750786</v>
      </c>
      <c r="N153" s="57">
        <f>104.329960344739*Deflactores!$K$5</f>
        <v>228.83765327287892</v>
      </c>
      <c r="O153" s="57">
        <f>112.11168355651*Deflactores!$L$5</f>
        <v>237.07121101039519</v>
      </c>
      <c r="P153" s="57">
        <f>224.876160975518*Deflactores!$M$5</f>
        <v>464.19642621992017</v>
      </c>
      <c r="Q153" s="57">
        <f>216.127477756183*Deflactores!$N$5</f>
        <v>437.64677247205913</v>
      </c>
      <c r="R153" s="57">
        <f>177.067780833297*Deflactores!$O$5</f>
        <v>345.89324816389114</v>
      </c>
      <c r="S153" s="57">
        <f>234.319669805244*Deflactores!$P$5</f>
        <v>428.70845055495306</v>
      </c>
      <c r="T153" s="57">
        <f>306.150904110669*Deflactores!$Q$5</f>
        <v>529.67377133239177</v>
      </c>
      <c r="U153" s="57">
        <f>295.789435570549*Deflactores!$R$5</f>
        <v>491.63927736036101</v>
      </c>
      <c r="V153" s="57">
        <f>221.2623374725*Deflactores!$S$5</f>
        <v>356.43134181084326</v>
      </c>
    </row>
    <row r="154" spans="2:22" x14ac:dyDescent="0.2">
      <c r="C154" s="90" t="s">
        <v>147</v>
      </c>
      <c r="D154" s="58">
        <f>505.87651100788*Deflactores!$A$5</f>
        <v>1883.7389274255813</v>
      </c>
      <c r="E154" s="58">
        <f>627.570115876439*Deflactores!$B$5</f>
        <v>2170.8572227483969</v>
      </c>
      <c r="F154" s="58">
        <f>584.13617059439*Deflactores!$C$5</f>
        <v>1888.5672194815265</v>
      </c>
      <c r="G154" s="58">
        <f>570.14983301681*Deflactores!$D$5</f>
        <v>1730.983661582268</v>
      </c>
      <c r="H154" s="58">
        <f>703.11075966658*Deflactores!$E$5</f>
        <v>2023.4276114519162</v>
      </c>
      <c r="I154" s="58">
        <f>748.778834744779*Deflactores!$F$5</f>
        <v>2055.0749159310944</v>
      </c>
      <c r="J154" s="58">
        <f>907.29235722222*Deflactores!$G$5</f>
        <v>2383.3987933216245</v>
      </c>
      <c r="K154" s="58">
        <f>1109.13814417736*Deflactores!$H$5</f>
        <v>2756.6579057906774</v>
      </c>
      <c r="L154" s="58">
        <f>1335.15928395929*Deflactores!$I$5</f>
        <v>3081.8959228890503</v>
      </c>
      <c r="M154" s="58">
        <f>1510.87871108286*Deflactores!$J$5</f>
        <v>3419.0591990597527</v>
      </c>
      <c r="N154" s="58">
        <f>1941.32541049065*Deflactores!$K$5</f>
        <v>4258.1090772751413</v>
      </c>
      <c r="O154" s="58">
        <f>1877.07059778376*Deflactores!$L$5</f>
        <v>3969.2508902901277</v>
      </c>
      <c r="P154" s="58">
        <f>2359.30304236864*Deflactores!$M$5</f>
        <v>4870.1473552660773</v>
      </c>
      <c r="Q154" s="58">
        <f>2499.79049544307*Deflactores!$N$5</f>
        <v>5061.9442448737473</v>
      </c>
      <c r="R154" s="58">
        <f>1236.91960060659*Deflactores!$O$5</f>
        <v>2416.2619329046338</v>
      </c>
      <c r="S154" s="58">
        <f>1788.9598716186*Deflactores!$P$5</f>
        <v>3273.0594717210283</v>
      </c>
      <c r="T154" s="58">
        <f>2045.78558848011*Deflactores!$Q$5</f>
        <v>3539.4276268281451</v>
      </c>
      <c r="U154" s="58">
        <f>2157.35286269986*Deflactores!$R$5</f>
        <v>3585.7920360921448</v>
      </c>
      <c r="V154" s="58">
        <f>1862.53577629238*Deflactores!$S$5</f>
        <v>3000.3575551899039</v>
      </c>
    </row>
    <row r="155" spans="2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0*Deflactores!$S$5</f>
        <v>0</v>
      </c>
    </row>
    <row r="156" spans="2:22" x14ac:dyDescent="0.2">
      <c r="C156" s="87" t="s">
        <v>149</v>
      </c>
      <c r="D156" s="56">
        <f>162.744166460379*Deflactores!$A$5</f>
        <v>606.01256413755334</v>
      </c>
      <c r="E156" s="56">
        <f>142.97264803984*Deflactores!$B$5</f>
        <v>494.56339268050783</v>
      </c>
      <c r="F156" s="56">
        <f>110.311292706939*Deflactores!$C$5</f>
        <v>356.64679201934933</v>
      </c>
      <c r="G156" s="56">
        <f>110.77473220121*Deflactores!$D$5</f>
        <v>336.31379060807723</v>
      </c>
      <c r="H156" s="56">
        <f>193.63342363922*Deflactores!$E$5</f>
        <v>557.24252616665945</v>
      </c>
      <c r="I156" s="56">
        <f>55.2194709734199*Deflactores!$F$5</f>
        <v>151.55362892587647</v>
      </c>
      <c r="J156" s="56">
        <f>257.14176034593*Deflactores!$G$5</f>
        <v>675.49490133198526</v>
      </c>
      <c r="K156" s="56">
        <f>390.095259084*Deflactores!$H$5</f>
        <v>969.54485391263654</v>
      </c>
      <c r="L156" s="56">
        <f>531.026338973*Deflactores!$I$5</f>
        <v>1225.7473162112153</v>
      </c>
      <c r="M156" s="56">
        <f>736.78384344888*Deflactores!$J$5</f>
        <v>1667.3129081665513</v>
      </c>
      <c r="N156" s="56">
        <f>873.36213722735*Deflactores!$K$5</f>
        <v>1915.6351759369854</v>
      </c>
      <c r="O156" s="56">
        <f>992.46887960147*Deflactores!$L$5</f>
        <v>2098.6733203293174</v>
      </c>
      <c r="P156" s="56">
        <f>1263.5330538589*Deflactores!$M$5</f>
        <v>2608.2245688812604</v>
      </c>
      <c r="Q156" s="56">
        <f>1264.70378100869*Deflactores!$N$5</f>
        <v>2560.9586232994784</v>
      </c>
      <c r="R156" s="56">
        <f>1792.88704701338*Deflactores!$O$5</f>
        <v>3502.3171429830691</v>
      </c>
      <c r="S156" s="56">
        <f>1395.70400485788*Deflactores!$P$5</f>
        <v>2553.5632661708942</v>
      </c>
      <c r="T156" s="56">
        <f>1151.81004911144*Deflactores!$Q$5</f>
        <v>1992.7544370434643</v>
      </c>
      <c r="U156" s="56">
        <f>1133.53981922845*Deflactores!$R$5</f>
        <v>1884.0858751757175</v>
      </c>
      <c r="V156" s="56">
        <f>1154.35771481728*Deflactores!$S$5</f>
        <v>1859.5540204539311</v>
      </c>
    </row>
    <row r="157" spans="2:22" x14ac:dyDescent="0.2">
      <c r="C157" s="88" t="s">
        <v>150</v>
      </c>
      <c r="D157" s="57">
        <f>430.9178647299*Deflactores!$A$5</f>
        <v>1604.6144437454996</v>
      </c>
      <c r="E157" s="57">
        <f>641.44979975068*Deflactores!$B$5</f>
        <v>2218.8690882365759</v>
      </c>
      <c r="F157" s="57">
        <f>540.11181696091*Deflactores!$C$5</f>
        <v>1746.2323405329239</v>
      </c>
      <c r="G157" s="57">
        <f>550.45207101995*Deflactores!$D$5</f>
        <v>1671.1809532207003</v>
      </c>
      <c r="H157" s="57">
        <f>501.64732944723*Deflactores!$E$5</f>
        <v>1443.6517201016572</v>
      </c>
      <c r="I157" s="57">
        <f>471.164968922989*Deflactores!$F$5</f>
        <v>1293.1446028774651</v>
      </c>
      <c r="J157" s="57">
        <f>593.06808596589*Deflactores!$G$5</f>
        <v>1557.9517993255392</v>
      </c>
      <c r="K157" s="57">
        <f>716.683832383239*Deflactores!$H$5</f>
        <v>1781.2498495910479</v>
      </c>
      <c r="L157" s="57">
        <f>690.369946836379*Deflactores!$I$5</f>
        <v>1593.553930232822</v>
      </c>
      <c r="M157" s="57">
        <f>735.63740477629*Deflactores!$J$5</f>
        <v>1664.718562464991</v>
      </c>
      <c r="N157" s="57">
        <f>806.51250116723*Deflactores!$K$5</f>
        <v>1769.0069802816297</v>
      </c>
      <c r="O157" s="57">
        <f>576.328194459379*Deflactores!$L$5</f>
        <v>1218.7028030049216</v>
      </c>
      <c r="P157" s="57">
        <f>908.292986285011*Deflactores!$M$5</f>
        <v>1874.9268769312682</v>
      </c>
      <c r="Q157" s="57">
        <f>991.883205269099*Deflactores!$N$5</f>
        <v>2008.5113099083649</v>
      </c>
      <c r="R157" s="57">
        <f>1204.72184567593*Deflactores!$O$5</f>
        <v>2353.3651936777724</v>
      </c>
      <c r="S157" s="57">
        <f>1377.84162272005*Deflactores!$P$5</f>
        <v>2520.8824665782086</v>
      </c>
      <c r="T157" s="57">
        <f>1462.18578074831*Deflactores!$Q$5</f>
        <v>2529.7376113499618</v>
      </c>
      <c r="U157" s="57">
        <f>1794.54993780037*Deflactores!$R$5</f>
        <v>2982.7679034764692</v>
      </c>
      <c r="V157" s="57">
        <f>1660.52285063432*Deflactores!$S$5</f>
        <v>2674.9350771579816</v>
      </c>
    </row>
    <row r="158" spans="2:22" x14ac:dyDescent="0.2">
      <c r="C158" s="87" t="s">
        <v>151</v>
      </c>
      <c r="D158" s="56">
        <f>25.959703113*Deflactores!$A$5</f>
        <v>96.666483290439658</v>
      </c>
      <c r="E158" s="56">
        <f>17.53717020454*Deflactores!$B$5</f>
        <v>60.6636480003922</v>
      </c>
      <c r="F158" s="56">
        <f>6.47549838309*Deflactores!$C$5</f>
        <v>20.93589575811632</v>
      </c>
      <c r="G158" s="56">
        <f>6.86572750265999*Deflactores!$D$5</f>
        <v>20.844454288615172</v>
      </c>
      <c r="H158" s="56">
        <f>11.78665927104*Deflactores!$E$5</f>
        <v>33.919907337369757</v>
      </c>
      <c r="I158" s="56">
        <f>7.23139535564*Deflactores!$F$5</f>
        <v>19.847060991810441</v>
      </c>
      <c r="J158" s="56">
        <f>10.67626502224*Deflactores!$G$5</f>
        <v>28.045863021588676</v>
      </c>
      <c r="K158" s="56">
        <f>13.86999891267*Deflactores!$H$5</f>
        <v>34.472569856731752</v>
      </c>
      <c r="L158" s="56">
        <f>0*Deflactores!$I$5</f>
        <v>0</v>
      </c>
      <c r="M158" s="56">
        <f>0*Deflactores!$J$5</f>
        <v>0</v>
      </c>
      <c r="N158" s="56">
        <f>0*Deflactores!$K$5</f>
        <v>0</v>
      </c>
      <c r="O158" s="56">
        <f>0*Deflactores!$L$5</f>
        <v>0</v>
      </c>
      <c r="P158" s="56">
        <f>0*Deflactores!$M$5</f>
        <v>0</v>
      </c>
      <c r="Q158" s="56">
        <f>0*Deflactores!$N$5</f>
        <v>0</v>
      </c>
      <c r="R158" s="56">
        <f>0*Deflactores!$O$5</f>
        <v>0</v>
      </c>
      <c r="S158" s="56">
        <f>0*Deflactores!$P$5</f>
        <v>0</v>
      </c>
      <c r="T158" s="56">
        <f>0*Deflactores!$Q$5</f>
        <v>0</v>
      </c>
      <c r="U158" s="56">
        <f>0*Deflactores!$R$5</f>
        <v>0</v>
      </c>
      <c r="V158" s="56">
        <f>0*Deflactores!$S$5</f>
        <v>0</v>
      </c>
    </row>
    <row r="159" spans="2:22" x14ac:dyDescent="0.2">
      <c r="C159" s="79" t="s">
        <v>152</v>
      </c>
      <c r="D159" s="44">
        <f t="shared" ref="D159:V159" si="32">+SUM(D130:D158)</f>
        <v>12032.115898141008</v>
      </c>
      <c r="E159" s="44">
        <f t="shared" si="32"/>
        <v>12527.853458953174</v>
      </c>
      <c r="F159" s="44">
        <f t="shared" si="32"/>
        <v>11667.442386106057</v>
      </c>
      <c r="G159" s="44">
        <f t="shared" si="32"/>
        <v>11188.927911671688</v>
      </c>
      <c r="H159" s="44">
        <f t="shared" si="32"/>
        <v>17659.0787889239</v>
      </c>
      <c r="I159" s="44">
        <f t="shared" si="32"/>
        <v>17076.861603327681</v>
      </c>
      <c r="J159" s="44">
        <f t="shared" si="32"/>
        <v>13338.541081532452</v>
      </c>
      <c r="K159" s="44">
        <f t="shared" si="32"/>
        <v>16065.101789188913</v>
      </c>
      <c r="L159" s="44">
        <f t="shared" si="32"/>
        <v>17954.177698410509</v>
      </c>
      <c r="M159" s="44">
        <f t="shared" si="32"/>
        <v>21474.590828701443</v>
      </c>
      <c r="N159" s="44">
        <f t="shared" si="32"/>
        <v>23176.149999095527</v>
      </c>
      <c r="O159" s="44">
        <f t="shared" si="32"/>
        <v>21878.114041868994</v>
      </c>
      <c r="P159" s="44">
        <f t="shared" si="32"/>
        <v>23328.558679195721</v>
      </c>
      <c r="Q159" s="44">
        <f t="shared" si="32"/>
        <v>25487.999770515111</v>
      </c>
      <c r="R159" s="44">
        <f t="shared" si="32"/>
        <v>19599.310996658944</v>
      </c>
      <c r="S159" s="44">
        <f t="shared" si="32"/>
        <v>19788.82381979801</v>
      </c>
      <c r="T159" s="44">
        <f t="shared" si="32"/>
        <v>21165.076376954676</v>
      </c>
      <c r="U159" s="44">
        <f t="shared" si="32"/>
        <v>21795.526850686696</v>
      </c>
      <c r="V159" s="44">
        <f t="shared" si="32"/>
        <v>19400.31860484941</v>
      </c>
    </row>
    <row r="160" spans="2:22" x14ac:dyDescent="0.2">
      <c r="B160" s="9"/>
      <c r="C160" s="1" t="s">
        <v>52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customHeight="1" x14ac:dyDescent="0.2">
      <c r="D163" s="155" t="s">
        <v>175</v>
      </c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</row>
    <row r="164" spans="3:22" x14ac:dyDescent="0.2">
      <c r="H164" s="27"/>
      <c r="I164" s="27"/>
      <c r="J164" s="27"/>
      <c r="L164" s="177"/>
      <c r="M164" s="156"/>
      <c r="N164" s="156"/>
      <c r="O164" s="156"/>
      <c r="P164" s="156"/>
      <c r="Q164" s="156"/>
      <c r="R164" s="28"/>
      <c r="S164" s="28"/>
      <c r="T164" s="28"/>
      <c r="U164" s="28"/>
      <c r="V164" s="28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76" t="s">
        <v>120</v>
      </c>
      <c r="D166" s="153">
        <v>2000</v>
      </c>
      <c r="E166" s="153">
        <v>2001</v>
      </c>
      <c r="F166" s="153">
        <v>2002</v>
      </c>
      <c r="G166" s="153">
        <v>2003</v>
      </c>
      <c r="H166" s="153">
        <v>2004</v>
      </c>
      <c r="I166" s="153">
        <v>2005</v>
      </c>
      <c r="J166" s="153">
        <v>2006</v>
      </c>
      <c r="K166" s="153">
        <v>2007</v>
      </c>
      <c r="L166" s="153">
        <v>2008</v>
      </c>
      <c r="M166" s="153">
        <v>2009</v>
      </c>
      <c r="N166" s="153">
        <v>2010</v>
      </c>
      <c r="O166" s="153">
        <v>2011</v>
      </c>
      <c r="P166" s="153">
        <v>2012</v>
      </c>
      <c r="Q166" s="153">
        <v>2013</v>
      </c>
      <c r="R166" s="153">
        <v>2014</v>
      </c>
      <c r="S166" s="153">
        <v>2015</v>
      </c>
      <c r="T166" s="153">
        <v>2016</v>
      </c>
      <c r="U166" s="153">
        <v>2017</v>
      </c>
      <c r="V166" s="153">
        <v>2018</v>
      </c>
    </row>
    <row r="167" spans="3:22" ht="12" customHeight="1" thickBot="1" x14ac:dyDescent="0.25">
      <c r="C167" s="160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3:22" x14ac:dyDescent="0.2">
      <c r="C168" s="87" t="s">
        <v>123</v>
      </c>
      <c r="D168" s="60">
        <f t="shared" ref="D168:V168" si="33">+IFERROR(IF(D130&gt;0,+((D130/D13)*100)," "),"")</f>
        <v>76.546817262243295</v>
      </c>
      <c r="E168" s="60">
        <f t="shared" si="33"/>
        <v>65.729853998818456</v>
      </c>
      <c r="F168" s="60">
        <f t="shared" si="33"/>
        <v>81.908291593020593</v>
      </c>
      <c r="G168" s="60">
        <f t="shared" si="33"/>
        <v>72.088751743820154</v>
      </c>
      <c r="H168" s="60">
        <f t="shared" si="33"/>
        <v>49.15948247330725</v>
      </c>
      <c r="I168" s="60">
        <f t="shared" si="33"/>
        <v>79.981777879607236</v>
      </c>
      <c r="J168" s="60">
        <f t="shared" si="33"/>
        <v>66.711238219189227</v>
      </c>
      <c r="K168" s="60">
        <f t="shared" si="33"/>
        <v>91.225170976974823</v>
      </c>
      <c r="L168" s="60">
        <f t="shared" si="33"/>
        <v>89.237489491006599</v>
      </c>
      <c r="M168" s="60">
        <f t="shared" si="33"/>
        <v>74.517804951660167</v>
      </c>
      <c r="N168" s="60">
        <f t="shared" si="33"/>
        <v>78.954102580818187</v>
      </c>
      <c r="O168" s="60">
        <f t="shared" si="33"/>
        <v>57.399126719149528</v>
      </c>
      <c r="P168" s="60">
        <f t="shared" si="33"/>
        <v>79.646052147475004</v>
      </c>
      <c r="Q168" s="60">
        <f t="shared" si="33"/>
        <v>74.673681443844657</v>
      </c>
      <c r="R168" s="60">
        <f t="shared" si="33"/>
        <v>88.784731691523987</v>
      </c>
      <c r="S168" s="60">
        <f t="shared" si="33"/>
        <v>73.11075375372576</v>
      </c>
      <c r="T168" s="60">
        <f t="shared" si="33"/>
        <v>91.129198717063147</v>
      </c>
      <c r="U168" s="60">
        <f t="shared" si="33"/>
        <v>92.068413217427789</v>
      </c>
      <c r="V168" s="60">
        <f t="shared" si="33"/>
        <v>83.883571174786937</v>
      </c>
    </row>
    <row r="169" spans="3:22" x14ac:dyDescent="0.2">
      <c r="C169" s="88" t="s">
        <v>124</v>
      </c>
      <c r="D169" s="62">
        <f t="shared" ref="D169:V169" si="34">+IFERROR(IF(D131&gt;0,+((D131/D14)*100)," "),"")</f>
        <v>52.805652345356577</v>
      </c>
      <c r="E169" s="62">
        <f t="shared" si="34"/>
        <v>27.388737694805197</v>
      </c>
      <c r="F169" s="62">
        <f t="shared" si="34"/>
        <v>44.7953529847547</v>
      </c>
      <c r="G169" s="62">
        <f t="shared" si="34"/>
        <v>34.200627380197311</v>
      </c>
      <c r="H169" s="62">
        <f t="shared" si="34"/>
        <v>39.993768103980628</v>
      </c>
      <c r="I169" s="62">
        <f t="shared" si="34"/>
        <v>55.892275523243065</v>
      </c>
      <c r="J169" s="62">
        <f t="shared" si="34"/>
        <v>67.003467295810566</v>
      </c>
      <c r="K169" s="62">
        <f t="shared" si="34"/>
        <v>83.229462059282071</v>
      </c>
      <c r="L169" s="62">
        <f t="shared" si="34"/>
        <v>69.936169444429481</v>
      </c>
      <c r="M169" s="62">
        <f t="shared" si="34"/>
        <v>77.414510890154247</v>
      </c>
      <c r="N169" s="62">
        <f t="shared" si="34"/>
        <v>73.970017508926162</v>
      </c>
      <c r="O169" s="62">
        <f t="shared" si="34"/>
        <v>78.309445620328205</v>
      </c>
      <c r="P169" s="62">
        <f t="shared" si="34"/>
        <v>85.609510250402494</v>
      </c>
      <c r="Q169" s="62">
        <f t="shared" si="34"/>
        <v>76.913496210829109</v>
      </c>
      <c r="R169" s="62">
        <f t="shared" si="34"/>
        <v>82.900509591331172</v>
      </c>
      <c r="S169" s="62">
        <f t="shared" si="34"/>
        <v>75.295467869562614</v>
      </c>
      <c r="T169" s="62">
        <f t="shared" si="34"/>
        <v>87.155843468026575</v>
      </c>
      <c r="U169" s="62">
        <f t="shared" si="34"/>
        <v>94.100157235439269</v>
      </c>
      <c r="V169" s="62">
        <f t="shared" si="34"/>
        <v>96.280864445867394</v>
      </c>
    </row>
    <row r="170" spans="3:22" x14ac:dyDescent="0.2">
      <c r="C170" s="87" t="s">
        <v>125</v>
      </c>
      <c r="D170" s="60">
        <f t="shared" ref="D170:V170" si="35">+IFERROR(IF(D132&gt;0,+((D132/D15)*100)," "),"")</f>
        <v>45.595400582183657</v>
      </c>
      <c r="E170" s="60">
        <f t="shared" si="35"/>
        <v>32.792224905276449</v>
      </c>
      <c r="F170" s="60">
        <f t="shared" si="35"/>
        <v>40.327333593281942</v>
      </c>
      <c r="G170" s="60">
        <f t="shared" si="35"/>
        <v>13.181369607600413</v>
      </c>
      <c r="H170" s="60">
        <f t="shared" si="35"/>
        <v>10.332093624802461</v>
      </c>
      <c r="I170" s="60">
        <f t="shared" si="35"/>
        <v>28.011295056740593</v>
      </c>
      <c r="J170" s="60">
        <f t="shared" si="35"/>
        <v>3.790227333530634</v>
      </c>
      <c r="K170" s="60">
        <f t="shared" si="35"/>
        <v>69.770461270397689</v>
      </c>
      <c r="L170" s="60">
        <f t="shared" si="35"/>
        <v>79.336557471832322</v>
      </c>
      <c r="M170" s="60">
        <f t="shared" si="35"/>
        <v>91.058639659267442</v>
      </c>
      <c r="N170" s="60" t="str">
        <f t="shared" si="35"/>
        <v xml:space="preserve"> </v>
      </c>
      <c r="O170" s="60" t="str">
        <f t="shared" si="35"/>
        <v xml:space="preserve"> </v>
      </c>
      <c r="P170" s="60" t="str">
        <f t="shared" si="35"/>
        <v xml:space="preserve"> </v>
      </c>
      <c r="Q170" s="60" t="str">
        <f t="shared" si="35"/>
        <v xml:space="preserve"> </v>
      </c>
      <c r="R170" s="60" t="str">
        <f t="shared" si="35"/>
        <v xml:space="preserve"> </v>
      </c>
      <c r="S170" s="60" t="str">
        <f t="shared" si="35"/>
        <v xml:space="preserve"> </v>
      </c>
      <c r="T170" s="60" t="str">
        <f t="shared" si="35"/>
        <v xml:space="preserve"> </v>
      </c>
      <c r="U170" s="60" t="str">
        <f t="shared" si="35"/>
        <v xml:space="preserve"> </v>
      </c>
      <c r="V170" s="60" t="str">
        <f t="shared" si="35"/>
        <v xml:space="preserve"> </v>
      </c>
    </row>
    <row r="171" spans="3:22" x14ac:dyDescent="0.2">
      <c r="C171" s="88" t="s">
        <v>126</v>
      </c>
      <c r="D171" s="62">
        <f t="shared" ref="D171:V171" si="36">+IFERROR(IF(D133&gt;0,+((D133/D16)*100)," "),"")</f>
        <v>94.776764159428566</v>
      </c>
      <c r="E171" s="62">
        <f t="shared" si="36"/>
        <v>84.49404532934237</v>
      </c>
      <c r="F171" s="62">
        <f t="shared" si="36"/>
        <v>75.689729473616197</v>
      </c>
      <c r="G171" s="62">
        <f t="shared" si="36"/>
        <v>87.4350422852566</v>
      </c>
      <c r="H171" s="62">
        <f t="shared" si="36"/>
        <v>82.544545190171718</v>
      </c>
      <c r="I171" s="62">
        <f t="shared" si="36"/>
        <v>84.933866973146081</v>
      </c>
      <c r="J171" s="62">
        <f t="shared" si="36"/>
        <v>85.834061182771919</v>
      </c>
      <c r="K171" s="62">
        <f t="shared" si="36"/>
        <v>93.04169864244021</v>
      </c>
      <c r="L171" s="62">
        <f t="shared" si="36"/>
        <v>89.857508990972505</v>
      </c>
      <c r="M171" s="62">
        <f t="shared" si="36"/>
        <v>91.922746457223397</v>
      </c>
      <c r="N171" s="62">
        <f t="shared" si="36"/>
        <v>87.876767423598025</v>
      </c>
      <c r="O171" s="62">
        <f t="shared" si="36"/>
        <v>80.059505512305876</v>
      </c>
      <c r="P171" s="62">
        <f t="shared" si="36"/>
        <v>84.627264054003831</v>
      </c>
      <c r="Q171" s="62">
        <f t="shared" si="36"/>
        <v>91.753581951793777</v>
      </c>
      <c r="R171" s="62">
        <f t="shared" si="36"/>
        <v>93.984033195378004</v>
      </c>
      <c r="S171" s="62">
        <f t="shared" si="36"/>
        <v>94.743773611361021</v>
      </c>
      <c r="T171" s="62">
        <f t="shared" si="36"/>
        <v>95.220642793681861</v>
      </c>
      <c r="U171" s="62">
        <f t="shared" si="36"/>
        <v>94.452225927406303</v>
      </c>
      <c r="V171" s="62">
        <f t="shared" si="36"/>
        <v>95.07479895184467</v>
      </c>
    </row>
    <row r="172" spans="3:22" x14ac:dyDescent="0.2">
      <c r="C172" s="87" t="s">
        <v>127</v>
      </c>
      <c r="D172" s="60" t="str">
        <f t="shared" ref="D172:V172" si="37">+IFERROR(IF(D134&gt;0,+((D134/D17)*100)," "),"")</f>
        <v xml:space="preserve"> </v>
      </c>
      <c r="E172" s="60" t="str">
        <f t="shared" si="37"/>
        <v xml:space="preserve"> </v>
      </c>
      <c r="F172" s="60" t="str">
        <f t="shared" si="37"/>
        <v xml:space="preserve"> </v>
      </c>
      <c r="G172" s="60" t="str">
        <f t="shared" si="37"/>
        <v xml:space="preserve"> </v>
      </c>
      <c r="H172" s="60" t="str">
        <f t="shared" si="37"/>
        <v xml:space="preserve"> </v>
      </c>
      <c r="I172" s="60" t="str">
        <f t="shared" si="37"/>
        <v xml:space="preserve"> </v>
      </c>
      <c r="J172" s="60" t="str">
        <f t="shared" si="37"/>
        <v xml:space="preserve"> </v>
      </c>
      <c r="K172" s="60" t="str">
        <f t="shared" si="37"/>
        <v xml:space="preserve"> </v>
      </c>
      <c r="L172" s="60" t="str">
        <f t="shared" si="37"/>
        <v xml:space="preserve"> </v>
      </c>
      <c r="M172" s="60" t="str">
        <f t="shared" si="37"/>
        <v xml:space="preserve"> </v>
      </c>
      <c r="N172" s="60" t="str">
        <f t="shared" si="37"/>
        <v xml:space="preserve"> </v>
      </c>
      <c r="O172" s="60" t="str">
        <f t="shared" si="37"/>
        <v xml:space="preserve"> </v>
      </c>
      <c r="P172" s="60" t="str">
        <f t="shared" si="37"/>
        <v xml:space="preserve"> </v>
      </c>
      <c r="Q172" s="60" t="str">
        <f t="shared" si="37"/>
        <v xml:space="preserve"> </v>
      </c>
      <c r="R172" s="60" t="str">
        <f t="shared" si="37"/>
        <v xml:space="preserve"> </v>
      </c>
      <c r="S172" s="60" t="str">
        <f t="shared" si="37"/>
        <v xml:space="preserve"> </v>
      </c>
      <c r="T172" s="60" t="str">
        <f t="shared" si="37"/>
        <v xml:space="preserve"> </v>
      </c>
      <c r="U172" s="60" t="str">
        <f t="shared" si="37"/>
        <v xml:space="preserve"> </v>
      </c>
      <c r="V172" s="60" t="str">
        <f t="shared" si="37"/>
        <v xml:space="preserve"> </v>
      </c>
    </row>
    <row r="173" spans="3:22" x14ac:dyDescent="0.2">
      <c r="C173" s="88" t="s">
        <v>128</v>
      </c>
      <c r="D173" s="62">
        <f t="shared" ref="D173:V173" si="38">+IFERROR(IF(D135&gt;0,+((D135/D18)*100)," "),"")</f>
        <v>86.980122753860371</v>
      </c>
      <c r="E173" s="62">
        <f t="shared" si="38"/>
        <v>82.936437427160044</v>
      </c>
      <c r="F173" s="62">
        <f t="shared" si="38"/>
        <v>76.506146972867214</v>
      </c>
      <c r="G173" s="62">
        <f t="shared" si="38"/>
        <v>58.474197341268422</v>
      </c>
      <c r="H173" s="62">
        <f t="shared" si="38"/>
        <v>50.917583069526017</v>
      </c>
      <c r="I173" s="62">
        <f t="shared" si="38"/>
        <v>61.992870082068272</v>
      </c>
      <c r="J173" s="62">
        <f t="shared" si="38"/>
        <v>13.913047759488146</v>
      </c>
      <c r="K173" s="62">
        <f t="shared" si="38"/>
        <v>53.033683525394096</v>
      </c>
      <c r="L173" s="62">
        <f t="shared" si="38"/>
        <v>76.843135812306201</v>
      </c>
      <c r="M173" s="62">
        <f t="shared" si="38"/>
        <v>32.500349977281616</v>
      </c>
      <c r="N173" s="62">
        <f t="shared" si="38"/>
        <v>78.932204678323544</v>
      </c>
      <c r="O173" s="62">
        <f t="shared" si="38"/>
        <v>79.599611298103483</v>
      </c>
      <c r="P173" s="62">
        <f t="shared" si="38"/>
        <v>93.249270588717721</v>
      </c>
      <c r="Q173" s="62">
        <f t="shared" si="38"/>
        <v>87.052403001709862</v>
      </c>
      <c r="R173" s="62">
        <f t="shared" si="38"/>
        <v>93.892491355914387</v>
      </c>
      <c r="S173" s="62">
        <f t="shared" si="38"/>
        <v>92.189311435525525</v>
      </c>
      <c r="T173" s="62">
        <f t="shared" si="38"/>
        <v>93.842882903310183</v>
      </c>
      <c r="U173" s="62">
        <f t="shared" si="38"/>
        <v>97.416771765538044</v>
      </c>
      <c r="V173" s="62">
        <f t="shared" si="38"/>
        <v>95.280080977138866</v>
      </c>
    </row>
    <row r="174" spans="3:22" x14ac:dyDescent="0.2">
      <c r="C174" s="87" t="s">
        <v>129</v>
      </c>
      <c r="D174" s="60">
        <f t="shared" ref="D174:V174" si="39">+IFERROR(IF(D136&gt;0,+((D136/D19)*100)," "),"")</f>
        <v>81.313926568971254</v>
      </c>
      <c r="E174" s="60">
        <f t="shared" si="39"/>
        <v>78.647084860725542</v>
      </c>
      <c r="F174" s="60">
        <f t="shared" si="39"/>
        <v>77.003953604184545</v>
      </c>
      <c r="G174" s="60">
        <f t="shared" si="39"/>
        <v>79.862400762921354</v>
      </c>
      <c r="H174" s="60">
        <f t="shared" si="39"/>
        <v>83.733525684291607</v>
      </c>
      <c r="I174" s="60">
        <f t="shared" si="39"/>
        <v>82.120903376261452</v>
      </c>
      <c r="J174" s="60">
        <f t="shared" si="39"/>
        <v>73.820352580039767</v>
      </c>
      <c r="K174" s="60">
        <f t="shared" si="39"/>
        <v>91.278710368239047</v>
      </c>
      <c r="L174" s="60">
        <f t="shared" si="39"/>
        <v>90.28509135938387</v>
      </c>
      <c r="M174" s="60">
        <f t="shared" si="39"/>
        <v>87.197085042037941</v>
      </c>
      <c r="N174" s="60">
        <f t="shared" si="39"/>
        <v>89.173190641728993</v>
      </c>
      <c r="O174" s="60">
        <f t="shared" si="39"/>
        <v>82.516141978766512</v>
      </c>
      <c r="P174" s="60">
        <f t="shared" si="39"/>
        <v>80.131153002448556</v>
      </c>
      <c r="Q174" s="60">
        <f t="shared" si="39"/>
        <v>82.483990568456747</v>
      </c>
      <c r="R174" s="60">
        <f t="shared" si="39"/>
        <v>89.82202365494598</v>
      </c>
      <c r="S174" s="60">
        <f t="shared" si="39"/>
        <v>86.136902256494182</v>
      </c>
      <c r="T174" s="60">
        <f t="shared" si="39"/>
        <v>90.812003307821897</v>
      </c>
      <c r="U174" s="60">
        <f t="shared" si="39"/>
        <v>95.083003954696395</v>
      </c>
      <c r="V174" s="60">
        <f t="shared" si="39"/>
        <v>92.113904547022841</v>
      </c>
    </row>
    <row r="175" spans="3:22" x14ac:dyDescent="0.2">
      <c r="C175" s="88" t="s">
        <v>130</v>
      </c>
      <c r="D175" s="62">
        <f t="shared" ref="D175:V175" si="40">+IFERROR(IF(D137&gt;0,+((D137/D20)*100)," "),"")</f>
        <v>88.355910844540716</v>
      </c>
      <c r="E175" s="62">
        <f t="shared" si="40"/>
        <v>83.787633967574308</v>
      </c>
      <c r="F175" s="62">
        <f t="shared" si="40"/>
        <v>54.120044364052198</v>
      </c>
      <c r="G175" s="62">
        <f t="shared" si="40"/>
        <v>73.242615530182107</v>
      </c>
      <c r="H175" s="62">
        <f t="shared" si="40"/>
        <v>60.525216289007709</v>
      </c>
      <c r="I175" s="62">
        <f t="shared" si="40"/>
        <v>80.93423048305867</v>
      </c>
      <c r="J175" s="62">
        <f t="shared" si="40"/>
        <v>86.937988847727055</v>
      </c>
      <c r="K175" s="62">
        <f t="shared" si="40"/>
        <v>87.953497306294423</v>
      </c>
      <c r="L175" s="62">
        <f t="shared" si="40"/>
        <v>87.545800096558835</v>
      </c>
      <c r="M175" s="62">
        <f t="shared" si="40"/>
        <v>61.030383411965971</v>
      </c>
      <c r="N175" s="62">
        <f t="shared" si="40"/>
        <v>82.51276404228858</v>
      </c>
      <c r="O175" s="62">
        <f t="shared" si="40"/>
        <v>77.64724321941749</v>
      </c>
      <c r="P175" s="62" t="str">
        <f t="shared" si="40"/>
        <v xml:space="preserve"> </v>
      </c>
      <c r="Q175" s="62" t="str">
        <f t="shared" si="40"/>
        <v xml:space="preserve"> </v>
      </c>
      <c r="R175" s="62" t="str">
        <f t="shared" si="40"/>
        <v xml:space="preserve"> </v>
      </c>
      <c r="S175" s="62" t="str">
        <f t="shared" si="40"/>
        <v xml:space="preserve"> </v>
      </c>
      <c r="T175" s="62" t="str">
        <f t="shared" si="40"/>
        <v xml:space="preserve"> </v>
      </c>
      <c r="U175" s="62" t="str">
        <f t="shared" si="40"/>
        <v xml:space="preserve"> </v>
      </c>
      <c r="V175" s="62" t="str">
        <f t="shared" si="40"/>
        <v xml:space="preserve"> </v>
      </c>
    </row>
    <row r="176" spans="3:22" x14ac:dyDescent="0.2">
      <c r="C176" s="87" t="s">
        <v>131</v>
      </c>
      <c r="D176" s="60">
        <f t="shared" ref="D176:V176" si="41">+IFERROR(IF(D138&gt;0,+((D138/D21)*100)," "),"")</f>
        <v>89.968525222766488</v>
      </c>
      <c r="E176" s="60">
        <f t="shared" si="41"/>
        <v>88.524041895215831</v>
      </c>
      <c r="F176" s="60">
        <f t="shared" si="41"/>
        <v>86.230178822009591</v>
      </c>
      <c r="G176" s="60">
        <f t="shared" si="41"/>
        <v>82.943907222361418</v>
      </c>
      <c r="H176" s="60">
        <f t="shared" si="41"/>
        <v>73.957931194677755</v>
      </c>
      <c r="I176" s="60">
        <f t="shared" si="41"/>
        <v>64.870429861059137</v>
      </c>
      <c r="J176" s="60">
        <f t="shared" si="41"/>
        <v>49.480113466853012</v>
      </c>
      <c r="K176" s="60">
        <f t="shared" si="41"/>
        <v>79.880638398994037</v>
      </c>
      <c r="L176" s="60">
        <f t="shared" si="41"/>
        <v>82.019088006723493</v>
      </c>
      <c r="M176" s="60">
        <f t="shared" si="41"/>
        <v>87.806515777351578</v>
      </c>
      <c r="N176" s="60">
        <f t="shared" si="41"/>
        <v>74.94272337776539</v>
      </c>
      <c r="O176" s="60">
        <f t="shared" si="41"/>
        <v>67.955512911322671</v>
      </c>
      <c r="P176" s="60">
        <f t="shared" si="41"/>
        <v>84.360419858793591</v>
      </c>
      <c r="Q176" s="60">
        <f t="shared" si="41"/>
        <v>72.145900579164248</v>
      </c>
      <c r="R176" s="60">
        <f t="shared" si="41"/>
        <v>82.288977188711087</v>
      </c>
      <c r="S176" s="60">
        <f t="shared" si="41"/>
        <v>85.815163232089617</v>
      </c>
      <c r="T176" s="60">
        <f t="shared" si="41"/>
        <v>81.441296834082138</v>
      </c>
      <c r="U176" s="60">
        <f t="shared" si="41"/>
        <v>76.198244257419432</v>
      </c>
      <c r="V176" s="60">
        <f t="shared" si="41"/>
        <v>87.269850300096635</v>
      </c>
    </row>
    <row r="177" spans="3:22" x14ac:dyDescent="0.2">
      <c r="C177" s="88" t="s">
        <v>132</v>
      </c>
      <c r="D177" s="62">
        <f t="shared" ref="D177:V177" si="42">+IFERROR(IF(D139&gt;0,+((D139/D22)*100)," "),"")</f>
        <v>86.361039478620242</v>
      </c>
      <c r="E177" s="62">
        <f t="shared" si="42"/>
        <v>75.518038008458547</v>
      </c>
      <c r="F177" s="62">
        <f t="shared" si="42"/>
        <v>77.542054421446039</v>
      </c>
      <c r="G177" s="62">
        <f t="shared" si="42"/>
        <v>85.207130974338284</v>
      </c>
      <c r="H177" s="62">
        <f t="shared" si="42"/>
        <v>75.472824448221232</v>
      </c>
      <c r="I177" s="62">
        <f t="shared" si="42"/>
        <v>87.997963721889633</v>
      </c>
      <c r="J177" s="62">
        <f t="shared" si="42"/>
        <v>70.309328022108858</v>
      </c>
      <c r="K177" s="62">
        <f t="shared" si="42"/>
        <v>45.021531378507177</v>
      </c>
      <c r="L177" s="62">
        <f t="shared" si="42"/>
        <v>56.653587275795445</v>
      </c>
      <c r="M177" s="62">
        <f t="shared" si="42"/>
        <v>56.576309725498128</v>
      </c>
      <c r="N177" s="62">
        <f t="shared" si="42"/>
        <v>64.09003141865702</v>
      </c>
      <c r="O177" s="62">
        <f t="shared" si="42"/>
        <v>59.174585735854293</v>
      </c>
      <c r="P177" s="62">
        <f t="shared" si="42"/>
        <v>67.468494133655469</v>
      </c>
      <c r="Q177" s="62">
        <f t="shared" si="42"/>
        <v>67.788228180114146</v>
      </c>
      <c r="R177" s="62">
        <f t="shared" si="42"/>
        <v>66.194138889767416</v>
      </c>
      <c r="S177" s="62">
        <f t="shared" si="42"/>
        <v>70.188225034317938</v>
      </c>
      <c r="T177" s="62">
        <f t="shared" si="42"/>
        <v>87.49715084496539</v>
      </c>
      <c r="U177" s="62">
        <f t="shared" si="42"/>
        <v>87.716538257088757</v>
      </c>
      <c r="V177" s="62">
        <f t="shared" si="42"/>
        <v>90.552219750911689</v>
      </c>
    </row>
    <row r="178" spans="3:22" x14ac:dyDescent="0.2">
      <c r="C178" s="87" t="s">
        <v>133</v>
      </c>
      <c r="D178" s="60">
        <f t="shared" ref="D178:V178" si="43">+IFERROR(IF(D140&gt;0,+((D140/D23)*100)," "),"")</f>
        <v>52.553481328482718</v>
      </c>
      <c r="E178" s="60">
        <f t="shared" si="43"/>
        <v>35.800962077352047</v>
      </c>
      <c r="F178" s="60">
        <f t="shared" si="43"/>
        <v>80.564981052894552</v>
      </c>
      <c r="G178" s="60">
        <f t="shared" si="43"/>
        <v>22.884744871018402</v>
      </c>
      <c r="H178" s="60">
        <f t="shared" si="43"/>
        <v>48.843643551123613</v>
      </c>
      <c r="I178" s="60">
        <f t="shared" si="43"/>
        <v>86.087517775362642</v>
      </c>
      <c r="J178" s="60">
        <f t="shared" si="43"/>
        <v>54.196636793159605</v>
      </c>
      <c r="K178" s="60">
        <f t="shared" si="43"/>
        <v>77.42066483314548</v>
      </c>
      <c r="L178" s="60">
        <f t="shared" si="43"/>
        <v>91.152276231222672</v>
      </c>
      <c r="M178" s="60">
        <f t="shared" si="43"/>
        <v>89.260221023435719</v>
      </c>
      <c r="N178" s="60">
        <f t="shared" si="43"/>
        <v>79.718697144821988</v>
      </c>
      <c r="O178" s="60">
        <f t="shared" si="43"/>
        <v>66.458407584809549</v>
      </c>
      <c r="P178" s="60">
        <f t="shared" si="43"/>
        <v>76.300217875777946</v>
      </c>
      <c r="Q178" s="60">
        <f t="shared" si="43"/>
        <v>50.570463680902499</v>
      </c>
      <c r="R178" s="60">
        <f t="shared" si="43"/>
        <v>80.916270528254216</v>
      </c>
      <c r="S178" s="60">
        <f t="shared" si="43"/>
        <v>43.623928022171164</v>
      </c>
      <c r="T178" s="60">
        <f t="shared" si="43"/>
        <v>35.733116605761985</v>
      </c>
      <c r="U178" s="60">
        <f t="shared" si="43"/>
        <v>74.619952577628297</v>
      </c>
      <c r="V178" s="60">
        <f t="shared" si="43"/>
        <v>75.618508081259336</v>
      </c>
    </row>
    <row r="179" spans="3:22" x14ac:dyDescent="0.2">
      <c r="C179" s="88" t="s">
        <v>134</v>
      </c>
      <c r="D179" s="62">
        <f t="shared" ref="D179:V179" si="44">+IFERROR(IF(D141&gt;0,+((D141/D24)*100)," "),"")</f>
        <v>70.727147919464699</v>
      </c>
      <c r="E179" s="62">
        <f t="shared" si="44"/>
        <v>86.829810345978032</v>
      </c>
      <c r="F179" s="62">
        <f t="shared" si="44"/>
        <v>84.459364733187741</v>
      </c>
      <c r="G179" s="62">
        <f t="shared" si="44"/>
        <v>86.157490926866672</v>
      </c>
      <c r="H179" s="62">
        <f t="shared" si="44"/>
        <v>86.478310809965365</v>
      </c>
      <c r="I179" s="62">
        <f t="shared" si="44"/>
        <v>79.052801947778093</v>
      </c>
      <c r="J179" s="62">
        <f t="shared" si="44"/>
        <v>87.735998537691813</v>
      </c>
      <c r="K179" s="62">
        <f t="shared" si="44"/>
        <v>83.899703924042015</v>
      </c>
      <c r="L179" s="62">
        <f t="shared" si="44"/>
        <v>88.160880745647418</v>
      </c>
      <c r="M179" s="62">
        <f t="shared" si="44"/>
        <v>86.181901926810937</v>
      </c>
      <c r="N179" s="62">
        <f t="shared" si="44"/>
        <v>88.534874536846942</v>
      </c>
      <c r="O179" s="62">
        <f t="shared" si="44"/>
        <v>89.66416585208664</v>
      </c>
      <c r="P179" s="62">
        <f t="shared" si="44"/>
        <v>88.316027820535353</v>
      </c>
      <c r="Q179" s="62">
        <f t="shared" si="44"/>
        <v>78.702185762368913</v>
      </c>
      <c r="R179" s="62">
        <f t="shared" si="44"/>
        <v>72.357870648530053</v>
      </c>
      <c r="S179" s="62">
        <f t="shared" si="44"/>
        <v>70.552654421857113</v>
      </c>
      <c r="T179" s="62">
        <f t="shared" si="44"/>
        <v>76.049025178539935</v>
      </c>
      <c r="U179" s="62">
        <f t="shared" si="44"/>
        <v>76.947263702723205</v>
      </c>
      <c r="V179" s="62">
        <f t="shared" si="44"/>
        <v>78.552886277073313</v>
      </c>
    </row>
    <row r="180" spans="3:22" x14ac:dyDescent="0.2">
      <c r="C180" s="87" t="s">
        <v>135</v>
      </c>
      <c r="D180" s="60" t="str">
        <f t="shared" ref="D180:V180" si="45">+IFERROR(IF(D142&gt;0,+((D142/D25)*100)," "),"")</f>
        <v xml:space="preserve"> </v>
      </c>
      <c r="E180" s="60" t="str">
        <f t="shared" si="45"/>
        <v xml:space="preserve"> </v>
      </c>
      <c r="F180" s="60" t="str">
        <f t="shared" si="45"/>
        <v xml:space="preserve"> </v>
      </c>
      <c r="G180" s="60" t="str">
        <f t="shared" si="45"/>
        <v xml:space="preserve"> </v>
      </c>
      <c r="H180" s="60" t="str">
        <f t="shared" si="45"/>
        <v xml:space="preserve"> </v>
      </c>
      <c r="I180" s="60" t="str">
        <f t="shared" si="45"/>
        <v xml:space="preserve"> </v>
      </c>
      <c r="J180" s="60" t="str">
        <f t="shared" si="45"/>
        <v xml:space="preserve"> </v>
      </c>
      <c r="K180" s="60" t="str">
        <f t="shared" si="45"/>
        <v xml:space="preserve"> </v>
      </c>
      <c r="L180" s="60" t="str">
        <f t="shared" si="45"/>
        <v xml:space="preserve"> </v>
      </c>
      <c r="M180" s="60" t="str">
        <f t="shared" si="45"/>
        <v xml:space="preserve"> </v>
      </c>
      <c r="N180" s="60" t="str">
        <f t="shared" si="45"/>
        <v xml:space="preserve"> </v>
      </c>
      <c r="O180" s="60" t="str">
        <f t="shared" si="45"/>
        <v xml:space="preserve"> </v>
      </c>
      <c r="P180" s="60" t="str">
        <f t="shared" si="45"/>
        <v xml:space="preserve"> </v>
      </c>
      <c r="Q180" s="60" t="str">
        <f t="shared" si="45"/>
        <v xml:space="preserve"> </v>
      </c>
      <c r="R180" s="60" t="str">
        <f t="shared" si="45"/>
        <v xml:space="preserve"> </v>
      </c>
      <c r="S180" s="60" t="str">
        <f t="shared" si="45"/>
        <v xml:space="preserve"> </v>
      </c>
      <c r="T180" s="60" t="str">
        <f t="shared" si="45"/>
        <v xml:space="preserve"> </v>
      </c>
      <c r="U180" s="60" t="str">
        <f t="shared" si="45"/>
        <v xml:space="preserve"> </v>
      </c>
      <c r="V180" s="60" t="str">
        <f t="shared" si="45"/>
        <v xml:space="preserve"> </v>
      </c>
    </row>
    <row r="181" spans="3:22" x14ac:dyDescent="0.2">
      <c r="C181" s="88" t="s">
        <v>136</v>
      </c>
      <c r="D181" s="62">
        <f t="shared" ref="D181:V181" si="46">+IFERROR(IF(D143&gt;0,+((D143/D26)*100)," "),"")</f>
        <v>81.205094898589465</v>
      </c>
      <c r="E181" s="62">
        <f t="shared" si="46"/>
        <v>77.291588332212285</v>
      </c>
      <c r="F181" s="62">
        <f t="shared" si="46"/>
        <v>81.999967347989681</v>
      </c>
      <c r="G181" s="62">
        <f t="shared" si="46"/>
        <v>84.415919348368007</v>
      </c>
      <c r="H181" s="62">
        <f t="shared" si="46"/>
        <v>90.769744518475861</v>
      </c>
      <c r="I181" s="62">
        <f t="shared" si="46"/>
        <v>89.792574096764881</v>
      </c>
      <c r="J181" s="62">
        <f t="shared" si="46"/>
        <v>83.157991746368211</v>
      </c>
      <c r="K181" s="62">
        <f t="shared" si="46"/>
        <v>88.750264323742911</v>
      </c>
      <c r="L181" s="62">
        <f t="shared" si="46"/>
        <v>93.880453229062553</v>
      </c>
      <c r="M181" s="62">
        <f t="shared" si="46"/>
        <v>94.462353824745151</v>
      </c>
      <c r="N181" s="62">
        <f t="shared" si="46"/>
        <v>92.143236303380789</v>
      </c>
      <c r="O181" s="62">
        <f t="shared" si="46"/>
        <v>81.898989894215219</v>
      </c>
      <c r="P181" s="62">
        <f t="shared" si="46"/>
        <v>91.840733176487902</v>
      </c>
      <c r="Q181" s="62">
        <f t="shared" si="46"/>
        <v>92.624895269548986</v>
      </c>
      <c r="R181" s="62">
        <f t="shared" si="46"/>
        <v>92.012663585482173</v>
      </c>
      <c r="S181" s="62">
        <f t="shared" si="46"/>
        <v>89.93985793951471</v>
      </c>
      <c r="T181" s="62">
        <f t="shared" si="46"/>
        <v>95.589315715390271</v>
      </c>
      <c r="U181" s="62">
        <f t="shared" si="46"/>
        <v>96.689770377712094</v>
      </c>
      <c r="V181" s="62">
        <f t="shared" si="46"/>
        <v>93.622587383706104</v>
      </c>
    </row>
    <row r="182" spans="3:22" x14ac:dyDescent="0.2">
      <c r="C182" s="87" t="s">
        <v>137</v>
      </c>
      <c r="D182" s="60">
        <f t="shared" ref="D182:V182" si="47">+IFERROR(IF(D144&gt;0,+((D144/D27)*100)," "),"")</f>
        <v>77.197482359018593</v>
      </c>
      <c r="E182" s="60">
        <f t="shared" si="47"/>
        <v>68.38047529846375</v>
      </c>
      <c r="F182" s="60">
        <f t="shared" si="47"/>
        <v>79.26508502443896</v>
      </c>
      <c r="G182" s="60">
        <f t="shared" si="47"/>
        <v>64.341451467998795</v>
      </c>
      <c r="H182" s="60">
        <f t="shared" si="47"/>
        <v>53.565779421491122</v>
      </c>
      <c r="I182" s="60">
        <f t="shared" si="47"/>
        <v>42.149564407414367</v>
      </c>
      <c r="J182" s="60">
        <f t="shared" si="47"/>
        <v>66.912099557642122</v>
      </c>
      <c r="K182" s="60">
        <f t="shared" si="47"/>
        <v>91.571882216177528</v>
      </c>
      <c r="L182" s="60">
        <f t="shared" si="47"/>
        <v>74.833874245985982</v>
      </c>
      <c r="M182" s="60">
        <f t="shared" si="47"/>
        <v>78.182809971611135</v>
      </c>
      <c r="N182" s="60">
        <f t="shared" si="47"/>
        <v>56.849146488660132</v>
      </c>
      <c r="O182" s="60">
        <f t="shared" si="47"/>
        <v>67.159746126752296</v>
      </c>
      <c r="P182" s="60">
        <f t="shared" si="47"/>
        <v>74.65741586297645</v>
      </c>
      <c r="Q182" s="60">
        <f t="shared" si="47"/>
        <v>72.465118361400755</v>
      </c>
      <c r="R182" s="60">
        <f t="shared" si="47"/>
        <v>86.321681019946411</v>
      </c>
      <c r="S182" s="60">
        <f t="shared" si="47"/>
        <v>82.958915640436473</v>
      </c>
      <c r="T182" s="60">
        <f t="shared" si="47"/>
        <v>83.780861586809991</v>
      </c>
      <c r="U182" s="60">
        <f t="shared" si="47"/>
        <v>82.53046925648178</v>
      </c>
      <c r="V182" s="60">
        <f t="shared" si="47"/>
        <v>73.953536768442149</v>
      </c>
    </row>
    <row r="183" spans="3:22" x14ac:dyDescent="0.2">
      <c r="C183" s="88" t="s">
        <v>138</v>
      </c>
      <c r="D183" s="62">
        <f t="shared" ref="D183:V183" si="48">+IFERROR(IF(D145&gt;0,+((D145/D28)*100)," "),"")</f>
        <v>87.891156093353601</v>
      </c>
      <c r="E183" s="62">
        <f t="shared" si="48"/>
        <v>78.421866915792748</v>
      </c>
      <c r="F183" s="62">
        <f t="shared" si="48"/>
        <v>81.158114181792129</v>
      </c>
      <c r="G183" s="62">
        <f t="shared" si="48"/>
        <v>39.547368579605561</v>
      </c>
      <c r="H183" s="62">
        <f t="shared" si="48"/>
        <v>51.756929298003008</v>
      </c>
      <c r="I183" s="62">
        <f t="shared" si="48"/>
        <v>39.714991210778258</v>
      </c>
      <c r="J183" s="62">
        <f t="shared" si="48"/>
        <v>30.216043342981401</v>
      </c>
      <c r="K183" s="62">
        <f t="shared" si="48"/>
        <v>78.463916563835497</v>
      </c>
      <c r="L183" s="62">
        <f t="shared" si="48"/>
        <v>76.428603334127175</v>
      </c>
      <c r="M183" s="62">
        <f t="shared" si="48"/>
        <v>54.12402517945565</v>
      </c>
      <c r="N183" s="62">
        <f t="shared" si="48"/>
        <v>47.460293053205163</v>
      </c>
      <c r="O183" s="62">
        <f t="shared" si="48"/>
        <v>53.305786102248518</v>
      </c>
      <c r="P183" s="62">
        <f t="shared" si="48"/>
        <v>84.751262351215857</v>
      </c>
      <c r="Q183" s="62">
        <f t="shared" si="48"/>
        <v>93.339668785257075</v>
      </c>
      <c r="R183" s="62">
        <f t="shared" si="48"/>
        <v>81.171713396320442</v>
      </c>
      <c r="S183" s="62" t="str">
        <f t="shared" si="48"/>
        <v xml:space="preserve"> </v>
      </c>
      <c r="T183" s="62" t="str">
        <f t="shared" si="48"/>
        <v xml:space="preserve"> </v>
      </c>
      <c r="U183" s="62" t="str">
        <f t="shared" si="48"/>
        <v xml:space="preserve"> </v>
      </c>
      <c r="V183" s="62" t="str">
        <f t="shared" si="48"/>
        <v xml:space="preserve"> </v>
      </c>
    </row>
    <row r="184" spans="3:22" x14ac:dyDescent="0.2">
      <c r="C184" s="87" t="s">
        <v>139</v>
      </c>
      <c r="D184" s="60">
        <f t="shared" ref="D184:V184" si="49">+IFERROR(IF(D146&gt;0,+((D146/D29)*100)," "),"")</f>
        <v>81.513672390714561</v>
      </c>
      <c r="E184" s="60">
        <f t="shared" si="49"/>
        <v>68.01069178067803</v>
      </c>
      <c r="F184" s="60">
        <f t="shared" si="49"/>
        <v>82.321951321188294</v>
      </c>
      <c r="G184" s="60">
        <f t="shared" si="49"/>
        <v>73.76014062459204</v>
      </c>
      <c r="H184" s="60">
        <f t="shared" si="49"/>
        <v>55.558290087448157</v>
      </c>
      <c r="I184" s="60">
        <f t="shared" si="49"/>
        <v>82.822231216585422</v>
      </c>
      <c r="J184" s="60">
        <f t="shared" si="49"/>
        <v>75.5567199836306</v>
      </c>
      <c r="K184" s="60">
        <f t="shared" si="49"/>
        <v>73.100402114202353</v>
      </c>
      <c r="L184" s="60">
        <f t="shared" si="49"/>
        <v>86.18263620529379</v>
      </c>
      <c r="M184" s="60">
        <f t="shared" si="49"/>
        <v>73.6722943042232</v>
      </c>
      <c r="N184" s="60">
        <f t="shared" si="49"/>
        <v>71.092967533130633</v>
      </c>
      <c r="O184" s="60">
        <f t="shared" si="49"/>
        <v>77.026096276740205</v>
      </c>
      <c r="P184" s="60">
        <f t="shared" si="49"/>
        <v>78.81673740565958</v>
      </c>
      <c r="Q184" s="60">
        <f t="shared" si="49"/>
        <v>86.019007374230469</v>
      </c>
      <c r="R184" s="60">
        <f t="shared" si="49"/>
        <v>80.79622285152594</v>
      </c>
      <c r="S184" s="60">
        <f t="shared" si="49"/>
        <v>90.860831575307628</v>
      </c>
      <c r="T184" s="60">
        <f t="shared" si="49"/>
        <v>92.877853567874126</v>
      </c>
      <c r="U184" s="60">
        <f t="shared" si="49"/>
        <v>92.526254212335289</v>
      </c>
      <c r="V184" s="60">
        <f t="shared" si="49"/>
        <v>86.65890901189367</v>
      </c>
    </row>
    <row r="185" spans="3:22" x14ac:dyDescent="0.2">
      <c r="C185" s="88" t="s">
        <v>140</v>
      </c>
      <c r="D185" s="62">
        <f t="shared" ref="D185:V185" si="50">+IFERROR(IF(D147&gt;0,+((D147/D30)*100)," "),"")</f>
        <v>60.831065405883514</v>
      </c>
      <c r="E185" s="62">
        <f t="shared" si="50"/>
        <v>50.495720471562734</v>
      </c>
      <c r="F185" s="62">
        <f t="shared" si="50"/>
        <v>47.111630631219221</v>
      </c>
      <c r="G185" s="62">
        <f t="shared" si="50"/>
        <v>60.175545538477635</v>
      </c>
      <c r="H185" s="62">
        <f t="shared" si="50"/>
        <v>89.187741252839174</v>
      </c>
      <c r="I185" s="62">
        <f t="shared" si="50"/>
        <v>90.655400239486596</v>
      </c>
      <c r="J185" s="62">
        <f t="shared" si="50"/>
        <v>63.263225985114765</v>
      </c>
      <c r="K185" s="62">
        <f t="shared" si="50"/>
        <v>70.171164146557956</v>
      </c>
      <c r="L185" s="62">
        <f t="shared" si="50"/>
        <v>79.395861341454633</v>
      </c>
      <c r="M185" s="62">
        <f t="shared" si="50"/>
        <v>70.2159575911015</v>
      </c>
      <c r="N185" s="62">
        <f t="shared" si="50"/>
        <v>86.191481887099016</v>
      </c>
      <c r="O185" s="62">
        <f t="shared" si="50"/>
        <v>87.790831960754943</v>
      </c>
      <c r="P185" s="62">
        <f t="shared" si="50"/>
        <v>75.939061036264675</v>
      </c>
      <c r="Q185" s="62">
        <f t="shared" si="50"/>
        <v>82.91312842971827</v>
      </c>
      <c r="R185" s="62">
        <f t="shared" si="50"/>
        <v>89.985205094672196</v>
      </c>
      <c r="S185" s="62">
        <f t="shared" si="50"/>
        <v>89.083903803079494</v>
      </c>
      <c r="T185" s="62">
        <f t="shared" si="50"/>
        <v>90.65523129789149</v>
      </c>
      <c r="U185" s="62">
        <f t="shared" si="50"/>
        <v>90.886765129851341</v>
      </c>
      <c r="V185" s="62">
        <f t="shared" si="50"/>
        <v>85.322623864322424</v>
      </c>
    </row>
    <row r="186" spans="3:22" x14ac:dyDescent="0.2">
      <c r="C186" s="87" t="s">
        <v>141</v>
      </c>
      <c r="D186" s="60">
        <f t="shared" ref="D186:V186" si="51">+IFERROR(IF(D148&gt;0,+((D148/D31)*100)," "),"")</f>
        <v>40.0998858575878</v>
      </c>
      <c r="E186" s="60">
        <f t="shared" si="51"/>
        <v>55.5900195951453</v>
      </c>
      <c r="F186" s="60">
        <f t="shared" si="51"/>
        <v>80.521333040894575</v>
      </c>
      <c r="G186" s="60">
        <f t="shared" si="51"/>
        <v>58.697548511446954</v>
      </c>
      <c r="H186" s="60">
        <f t="shared" si="51"/>
        <v>80.762605960055865</v>
      </c>
      <c r="I186" s="60">
        <f t="shared" si="51"/>
        <v>53.898699668523811</v>
      </c>
      <c r="J186" s="60">
        <f t="shared" si="51"/>
        <v>77.526295531689414</v>
      </c>
      <c r="K186" s="60">
        <f t="shared" si="51"/>
        <v>83.636831592162508</v>
      </c>
      <c r="L186" s="60">
        <f t="shared" si="51"/>
        <v>76.4503562966744</v>
      </c>
      <c r="M186" s="60">
        <f t="shared" si="51"/>
        <v>80.738393319210118</v>
      </c>
      <c r="N186" s="60">
        <f t="shared" si="51"/>
        <v>64.144854977148654</v>
      </c>
      <c r="O186" s="60">
        <f t="shared" si="51"/>
        <v>60.478906278820219</v>
      </c>
      <c r="P186" s="60">
        <f t="shared" si="51"/>
        <v>49.299034330424973</v>
      </c>
      <c r="Q186" s="60">
        <f t="shared" si="51"/>
        <v>53.790567974925416</v>
      </c>
      <c r="R186" s="60">
        <f t="shared" si="51"/>
        <v>60.341111543403414</v>
      </c>
      <c r="S186" s="60">
        <f t="shared" si="51"/>
        <v>82.172875174356477</v>
      </c>
      <c r="T186" s="60">
        <f t="shared" si="51"/>
        <v>67.005843732003726</v>
      </c>
      <c r="U186" s="60">
        <f t="shared" si="51"/>
        <v>74.166999276867898</v>
      </c>
      <c r="V186" s="60">
        <f t="shared" si="51"/>
        <v>78.447851172249457</v>
      </c>
    </row>
    <row r="187" spans="3:22" x14ac:dyDescent="0.2">
      <c r="C187" s="88" t="s">
        <v>142</v>
      </c>
      <c r="D187" s="62">
        <f t="shared" ref="D187:V187" si="52">+IFERROR(IF(D149&gt;0,+((D149/D32)*100)," "),"")</f>
        <v>90.171024853995547</v>
      </c>
      <c r="E187" s="62">
        <f t="shared" si="52"/>
        <v>90.202373222730643</v>
      </c>
      <c r="F187" s="62">
        <f t="shared" si="52"/>
        <v>77.376910338737289</v>
      </c>
      <c r="G187" s="62">
        <f t="shared" si="52"/>
        <v>66.56349835133949</v>
      </c>
      <c r="H187" s="62">
        <f t="shared" si="52"/>
        <v>71.769827006675442</v>
      </c>
      <c r="I187" s="62">
        <f t="shared" si="52"/>
        <v>72.114098765990363</v>
      </c>
      <c r="J187" s="62">
        <f t="shared" si="52"/>
        <v>65.345448194293255</v>
      </c>
      <c r="K187" s="62">
        <f t="shared" si="52"/>
        <v>73.964869718152642</v>
      </c>
      <c r="L187" s="62">
        <f t="shared" si="52"/>
        <v>82.364414432599105</v>
      </c>
      <c r="M187" s="62">
        <f t="shared" si="52"/>
        <v>74.843415858407397</v>
      </c>
      <c r="N187" s="62">
        <f t="shared" si="52"/>
        <v>88.389455962045432</v>
      </c>
      <c r="O187" s="62">
        <f t="shared" si="52"/>
        <v>84.141460754973338</v>
      </c>
      <c r="P187" s="62">
        <f t="shared" si="52"/>
        <v>88.48864146179271</v>
      </c>
      <c r="Q187" s="62">
        <f t="shared" si="52"/>
        <v>67.937078258736491</v>
      </c>
      <c r="R187" s="62">
        <f t="shared" si="52"/>
        <v>86.555652731362827</v>
      </c>
      <c r="S187" s="62">
        <f t="shared" si="52"/>
        <v>90.346033762244446</v>
      </c>
      <c r="T187" s="62">
        <f t="shared" si="52"/>
        <v>90.168724879848867</v>
      </c>
      <c r="U187" s="62">
        <f t="shared" si="52"/>
        <v>90.412472376312337</v>
      </c>
      <c r="V187" s="62">
        <f t="shared" si="52"/>
        <v>92.649242200131951</v>
      </c>
    </row>
    <row r="188" spans="3:22" x14ac:dyDescent="0.2">
      <c r="C188" s="87" t="s">
        <v>143</v>
      </c>
      <c r="D188" s="60">
        <f t="shared" ref="D188:V188" si="53">+IFERROR(IF(D150&gt;0,+((D150/D33)*100)," "),"")</f>
        <v>100</v>
      </c>
      <c r="E188" s="60" t="str">
        <f t="shared" si="53"/>
        <v xml:space="preserve"> </v>
      </c>
      <c r="F188" s="60" t="str">
        <f t="shared" si="53"/>
        <v xml:space="preserve"> </v>
      </c>
      <c r="G188" s="60" t="str">
        <f t="shared" si="53"/>
        <v xml:space="preserve"> </v>
      </c>
      <c r="H188" s="60">
        <f t="shared" si="53"/>
        <v>45.800545401914924</v>
      </c>
      <c r="I188" s="60">
        <f t="shared" si="53"/>
        <v>47.748295316648296</v>
      </c>
      <c r="J188" s="60" t="str">
        <f t="shared" si="53"/>
        <v xml:space="preserve"> </v>
      </c>
      <c r="K188" s="60" t="str">
        <f t="shared" si="53"/>
        <v xml:space="preserve"> </v>
      </c>
      <c r="L188" s="60" t="str">
        <f t="shared" si="53"/>
        <v xml:space="preserve"> </v>
      </c>
      <c r="M188" s="60" t="str">
        <f t="shared" si="53"/>
        <v xml:space="preserve"> </v>
      </c>
      <c r="N188" s="60" t="str">
        <f t="shared" si="53"/>
        <v xml:space="preserve"> </v>
      </c>
      <c r="O188" s="60" t="str">
        <f t="shared" si="53"/>
        <v xml:space="preserve"> </v>
      </c>
      <c r="P188" s="60">
        <f t="shared" si="53"/>
        <v>0.24506109648653229</v>
      </c>
      <c r="Q188" s="60">
        <f t="shared" si="53"/>
        <v>51.386794107563084</v>
      </c>
      <c r="R188" s="60">
        <f t="shared" si="53"/>
        <v>86.584385409221269</v>
      </c>
      <c r="S188" s="60">
        <f t="shared" si="53"/>
        <v>6.6876714415231175</v>
      </c>
      <c r="T188" s="60">
        <f t="shared" si="53"/>
        <v>98.348445300374493</v>
      </c>
      <c r="U188" s="60">
        <f t="shared" si="53"/>
        <v>93.554999847112668</v>
      </c>
      <c r="V188" s="60">
        <f t="shared" si="53"/>
        <v>36.25714181415178</v>
      </c>
    </row>
    <row r="189" spans="3:22" x14ac:dyDescent="0.2">
      <c r="C189" s="88" t="s">
        <v>144</v>
      </c>
      <c r="D189" s="62" t="str">
        <f t="shared" ref="D189:V189" si="54">+IFERROR(IF(D151&gt;0,+((D151/D34)*100)," "),"")</f>
        <v xml:space="preserve"> </v>
      </c>
      <c r="E189" s="62" t="str">
        <f t="shared" si="54"/>
        <v xml:space="preserve"> </v>
      </c>
      <c r="F189" s="62" t="str">
        <f t="shared" si="54"/>
        <v xml:space="preserve"> </v>
      </c>
      <c r="G189" s="62" t="str">
        <f t="shared" si="54"/>
        <v xml:space="preserve"> </v>
      </c>
      <c r="H189" s="62" t="str">
        <f t="shared" si="54"/>
        <v xml:space="preserve"> </v>
      </c>
      <c r="I189" s="62" t="str">
        <f t="shared" si="54"/>
        <v xml:space="preserve"> </v>
      </c>
      <c r="J189" s="62" t="str">
        <f t="shared" si="54"/>
        <v xml:space="preserve"> </v>
      </c>
      <c r="K189" s="62" t="str">
        <f t="shared" si="54"/>
        <v xml:space="preserve"> </v>
      </c>
      <c r="L189" s="62" t="str">
        <f t="shared" si="54"/>
        <v xml:space="preserve"> </v>
      </c>
      <c r="M189" s="62" t="str">
        <f t="shared" si="54"/>
        <v xml:space="preserve"> </v>
      </c>
      <c r="N189" s="62" t="str">
        <f t="shared" si="54"/>
        <v xml:space="preserve"> </v>
      </c>
      <c r="O189" s="62" t="str">
        <f t="shared" si="54"/>
        <v xml:space="preserve"> </v>
      </c>
      <c r="P189" s="62" t="str">
        <f t="shared" si="54"/>
        <v xml:space="preserve"> </v>
      </c>
      <c r="Q189" s="62" t="str">
        <f t="shared" si="54"/>
        <v xml:space="preserve"> </v>
      </c>
      <c r="R189" s="62" t="str">
        <f t="shared" si="54"/>
        <v xml:space="preserve"> </v>
      </c>
      <c r="S189" s="62" t="str">
        <f t="shared" si="54"/>
        <v xml:space="preserve"> </v>
      </c>
      <c r="T189" s="62" t="str">
        <f t="shared" si="54"/>
        <v xml:space="preserve"> </v>
      </c>
      <c r="U189" s="62" t="str">
        <f t="shared" si="54"/>
        <v xml:space="preserve"> </v>
      </c>
      <c r="V189" s="62" t="str">
        <f t="shared" si="54"/>
        <v xml:space="preserve"> </v>
      </c>
    </row>
    <row r="190" spans="3:22" x14ac:dyDescent="0.2">
      <c r="C190" s="87" t="s">
        <v>145</v>
      </c>
      <c r="D190" s="60">
        <f t="shared" ref="D190:V190" si="55">+IFERROR(IF(D152&gt;0,+((D152/D35)*100)," "),"")</f>
        <v>76.715174852135178</v>
      </c>
      <c r="E190" s="60">
        <f t="shared" si="55"/>
        <v>48.270022872007459</v>
      </c>
      <c r="F190" s="60">
        <f t="shared" si="55"/>
        <v>75.92944434660555</v>
      </c>
      <c r="G190" s="60">
        <f t="shared" si="55"/>
        <v>60.416429043814134</v>
      </c>
      <c r="H190" s="60">
        <f t="shared" si="55"/>
        <v>30.248479157857638</v>
      </c>
      <c r="I190" s="60">
        <f t="shared" si="55"/>
        <v>75.626311995973069</v>
      </c>
      <c r="J190" s="60">
        <f t="shared" si="55"/>
        <v>55.084540254114103</v>
      </c>
      <c r="K190" s="60">
        <f t="shared" si="55"/>
        <v>63.336274025875618</v>
      </c>
      <c r="L190" s="60">
        <f t="shared" si="55"/>
        <v>67.370773224593037</v>
      </c>
      <c r="M190" s="60">
        <f t="shared" si="55"/>
        <v>78.172867587151828</v>
      </c>
      <c r="N190" s="60">
        <f t="shared" si="55"/>
        <v>50.771280707125356</v>
      </c>
      <c r="O190" s="60">
        <f t="shared" si="55"/>
        <v>48.081746637986733</v>
      </c>
      <c r="P190" s="60">
        <f t="shared" si="55"/>
        <v>58.947648449335603</v>
      </c>
      <c r="Q190" s="60">
        <f t="shared" si="55"/>
        <v>65.708381890407608</v>
      </c>
      <c r="R190" s="60">
        <f t="shared" si="55"/>
        <v>81.639310752974637</v>
      </c>
      <c r="S190" s="60">
        <f t="shared" si="55"/>
        <v>80.676574003238699</v>
      </c>
      <c r="T190" s="60">
        <f t="shared" si="55"/>
        <v>90.670507932825927</v>
      </c>
      <c r="U190" s="60">
        <f t="shared" si="55"/>
        <v>94.974449089689344</v>
      </c>
      <c r="V190" s="60">
        <f t="shared" si="55"/>
        <v>81.488823693121248</v>
      </c>
    </row>
    <row r="191" spans="3:22" x14ac:dyDescent="0.2">
      <c r="C191" s="88" t="s">
        <v>146</v>
      </c>
      <c r="D191" s="62">
        <f t="shared" ref="D191:V191" si="56">+IFERROR(IF(D153&gt;0,+((D153/D36)*100)," "),"")</f>
        <v>94.913887531198824</v>
      </c>
      <c r="E191" s="62">
        <f t="shared" si="56"/>
        <v>86.654814939135292</v>
      </c>
      <c r="F191" s="62">
        <f t="shared" si="56"/>
        <v>84.391943518981122</v>
      </c>
      <c r="G191" s="62">
        <f t="shared" si="56"/>
        <v>88.861093253864226</v>
      </c>
      <c r="H191" s="62">
        <f t="shared" si="56"/>
        <v>77.519971710199968</v>
      </c>
      <c r="I191" s="62">
        <f t="shared" si="56"/>
        <v>86.38268405447478</v>
      </c>
      <c r="J191" s="62">
        <f t="shared" si="56"/>
        <v>73.08663329469212</v>
      </c>
      <c r="K191" s="62">
        <f t="shared" si="56"/>
        <v>86.111097966189035</v>
      </c>
      <c r="L191" s="62">
        <f t="shared" si="56"/>
        <v>81.173466129016077</v>
      </c>
      <c r="M191" s="62">
        <f t="shared" si="56"/>
        <v>93.162224205498731</v>
      </c>
      <c r="N191" s="62">
        <f t="shared" si="56"/>
        <v>87.889822144656691</v>
      </c>
      <c r="O191" s="62">
        <f t="shared" si="56"/>
        <v>94.471255044551071</v>
      </c>
      <c r="P191" s="62">
        <f t="shared" si="56"/>
        <v>96.486067350672073</v>
      </c>
      <c r="Q191" s="62">
        <f t="shared" si="56"/>
        <v>97.224211534149191</v>
      </c>
      <c r="R191" s="62">
        <f t="shared" si="56"/>
        <v>97.885928563566083</v>
      </c>
      <c r="S191" s="62">
        <f t="shared" si="56"/>
        <v>98.471946616625388</v>
      </c>
      <c r="T191" s="62">
        <f t="shared" si="56"/>
        <v>99.070835955329898</v>
      </c>
      <c r="U191" s="62">
        <f t="shared" si="56"/>
        <v>95.715623460389892</v>
      </c>
      <c r="V191" s="62">
        <f t="shared" si="56"/>
        <v>82.378909744742003</v>
      </c>
    </row>
    <row r="192" spans="3:22" x14ac:dyDescent="0.2">
      <c r="C192" s="90" t="s">
        <v>147</v>
      </c>
      <c r="D192" s="61">
        <f t="shared" ref="D192:V192" si="57">+IFERROR(IF(D154&gt;0,+((D154/D37)*100)," "),"")</f>
        <v>72.205228217425784</v>
      </c>
      <c r="E192" s="61">
        <f t="shared" si="57"/>
        <v>80.155379077793128</v>
      </c>
      <c r="F192" s="61">
        <f t="shared" si="57"/>
        <v>77.623420979904438</v>
      </c>
      <c r="G192" s="61">
        <f t="shared" si="57"/>
        <v>72.395669644465045</v>
      </c>
      <c r="H192" s="61">
        <f t="shared" si="57"/>
        <v>72.655686998469676</v>
      </c>
      <c r="I192" s="61">
        <f t="shared" si="57"/>
        <v>75.10609669029094</v>
      </c>
      <c r="J192" s="61">
        <f t="shared" si="57"/>
        <v>75.593976971552493</v>
      </c>
      <c r="K192" s="61">
        <f t="shared" si="57"/>
        <v>85.418125989380414</v>
      </c>
      <c r="L192" s="61">
        <f t="shared" si="57"/>
        <v>91.831336486410677</v>
      </c>
      <c r="M192" s="61">
        <f t="shared" si="57"/>
        <v>88.182259000063226</v>
      </c>
      <c r="N192" s="61">
        <f t="shared" si="57"/>
        <v>88.250518385671612</v>
      </c>
      <c r="O192" s="61">
        <f t="shared" si="57"/>
        <v>79.011294732924355</v>
      </c>
      <c r="P192" s="61">
        <f t="shared" si="57"/>
        <v>86.96501426578736</v>
      </c>
      <c r="Q192" s="61">
        <f t="shared" si="57"/>
        <v>90.13665930694485</v>
      </c>
      <c r="R192" s="61">
        <f t="shared" si="57"/>
        <v>88.367233039030154</v>
      </c>
      <c r="S192" s="61">
        <f t="shared" si="57"/>
        <v>91.526425502668189</v>
      </c>
      <c r="T192" s="61">
        <f t="shared" si="57"/>
        <v>90.894955055026102</v>
      </c>
      <c r="U192" s="61">
        <f t="shared" si="57"/>
        <v>91.343934599356245</v>
      </c>
      <c r="V192" s="61">
        <f t="shared" si="57"/>
        <v>86.595850686917188</v>
      </c>
    </row>
    <row r="193" spans="3:22" ht="22.5" customHeight="1" x14ac:dyDescent="0.2">
      <c r="C193" s="89" t="s">
        <v>148</v>
      </c>
      <c r="D193" s="63" t="str">
        <f t="shared" ref="D193:V193" si="58">+IFERROR(IF(D155&gt;0,+((D155/D38)*100)," "),"")</f>
        <v xml:space="preserve"> </v>
      </c>
      <c r="E193" s="63" t="str">
        <f t="shared" si="58"/>
        <v xml:space="preserve"> </v>
      </c>
      <c r="F193" s="63" t="str">
        <f t="shared" si="58"/>
        <v xml:space="preserve"> </v>
      </c>
      <c r="G193" s="63" t="str">
        <f t="shared" si="58"/>
        <v xml:space="preserve"> </v>
      </c>
      <c r="H193" s="63" t="str">
        <f t="shared" si="58"/>
        <v xml:space="preserve"> </v>
      </c>
      <c r="I193" s="63" t="str">
        <f t="shared" si="58"/>
        <v xml:space="preserve"> </v>
      </c>
      <c r="J193" s="63" t="str">
        <f t="shared" si="58"/>
        <v xml:space="preserve"> </v>
      </c>
      <c r="K193" s="63" t="str">
        <f t="shared" si="58"/>
        <v xml:space="preserve"> </v>
      </c>
      <c r="L193" s="63" t="str">
        <f t="shared" si="58"/>
        <v xml:space="preserve"> </v>
      </c>
      <c r="M193" s="63" t="str">
        <f t="shared" si="58"/>
        <v xml:space="preserve"> </v>
      </c>
      <c r="N193" s="63" t="str">
        <f t="shared" si="58"/>
        <v xml:space="preserve"> </v>
      </c>
      <c r="O193" s="63" t="str">
        <f t="shared" si="58"/>
        <v xml:space="preserve"> </v>
      </c>
      <c r="P193" s="63" t="str">
        <f t="shared" si="58"/>
        <v xml:space="preserve"> </v>
      </c>
      <c r="Q193" s="63" t="str">
        <f t="shared" si="58"/>
        <v xml:space="preserve"> </v>
      </c>
      <c r="R193" s="63" t="str">
        <f t="shared" si="58"/>
        <v xml:space="preserve"> </v>
      </c>
      <c r="S193" s="63" t="str">
        <f t="shared" si="58"/>
        <v xml:space="preserve"> </v>
      </c>
      <c r="T193" s="63" t="str">
        <f t="shared" si="58"/>
        <v xml:space="preserve"> </v>
      </c>
      <c r="U193" s="63" t="str">
        <f t="shared" si="58"/>
        <v xml:space="preserve"> </v>
      </c>
      <c r="V193" s="63" t="str">
        <f t="shared" si="58"/>
        <v xml:space="preserve"> </v>
      </c>
    </row>
    <row r="194" spans="3:22" x14ac:dyDescent="0.2">
      <c r="C194" s="87" t="s">
        <v>149</v>
      </c>
      <c r="D194" s="60">
        <f t="shared" ref="D194:V194" si="59">+IFERROR(IF(D156&gt;0,+((D156/D39)*100)," "),"")</f>
        <v>55.445767529798708</v>
      </c>
      <c r="E194" s="60">
        <f t="shared" si="59"/>
        <v>47.698272086654988</v>
      </c>
      <c r="F194" s="60">
        <f t="shared" si="59"/>
        <v>36.072430334624187</v>
      </c>
      <c r="G194" s="60">
        <f t="shared" si="59"/>
        <v>44.117407708246162</v>
      </c>
      <c r="H194" s="60">
        <f t="shared" si="59"/>
        <v>67.430168381822838</v>
      </c>
      <c r="I194" s="60">
        <f t="shared" si="59"/>
        <v>22.389638328630284</v>
      </c>
      <c r="J194" s="60">
        <f t="shared" si="59"/>
        <v>65.890010265894801</v>
      </c>
      <c r="K194" s="60">
        <f t="shared" si="59"/>
        <v>77.68918902695664</v>
      </c>
      <c r="L194" s="60">
        <f t="shared" si="59"/>
        <v>80.015531988851649</v>
      </c>
      <c r="M194" s="60">
        <f t="shared" si="59"/>
        <v>77.127520274604493</v>
      </c>
      <c r="N194" s="60">
        <f t="shared" si="59"/>
        <v>83.476492668875295</v>
      </c>
      <c r="O194" s="60">
        <f t="shared" si="59"/>
        <v>86.035997059606544</v>
      </c>
      <c r="P194" s="60">
        <f t="shared" si="59"/>
        <v>98.2392703690156</v>
      </c>
      <c r="Q194" s="60">
        <f t="shared" si="59"/>
        <v>88.207269262457515</v>
      </c>
      <c r="R194" s="60">
        <f t="shared" si="59"/>
        <v>93.447957862653539</v>
      </c>
      <c r="S194" s="60">
        <f t="shared" si="59"/>
        <v>89.720153075907689</v>
      </c>
      <c r="T194" s="60">
        <f t="shared" si="59"/>
        <v>96.280802966573759</v>
      </c>
      <c r="U194" s="60">
        <f t="shared" si="59"/>
        <v>90.35157872173788</v>
      </c>
      <c r="V194" s="60">
        <f t="shared" si="59"/>
        <v>88.566198421927282</v>
      </c>
    </row>
    <row r="195" spans="3:22" x14ac:dyDescent="0.2">
      <c r="C195" s="89" t="s">
        <v>150</v>
      </c>
      <c r="D195" s="63">
        <f t="shared" ref="D195:V195" si="60">+IFERROR(IF(D157&gt;0,+((D157/D40)*100)," "),"")</f>
        <v>83.316255829677232</v>
      </c>
      <c r="E195" s="63">
        <f t="shared" si="60"/>
        <v>82.128947474508266</v>
      </c>
      <c r="F195" s="63">
        <f t="shared" si="60"/>
        <v>53.963038032080298</v>
      </c>
      <c r="G195" s="63">
        <f t="shared" si="60"/>
        <v>70.706433900557357</v>
      </c>
      <c r="H195" s="63">
        <f t="shared" si="60"/>
        <v>66.361466419378729</v>
      </c>
      <c r="I195" s="63">
        <f t="shared" si="60"/>
        <v>75.210564533580566</v>
      </c>
      <c r="J195" s="63">
        <f t="shared" si="60"/>
        <v>69.412376569369087</v>
      </c>
      <c r="K195" s="63">
        <f t="shared" si="60"/>
        <v>84.274916640716739</v>
      </c>
      <c r="L195" s="63">
        <f t="shared" si="60"/>
        <v>81.16020322986472</v>
      </c>
      <c r="M195" s="63">
        <f t="shared" si="60"/>
        <v>70.014011845351007</v>
      </c>
      <c r="N195" s="63">
        <f t="shared" si="60"/>
        <v>62.93535641534033</v>
      </c>
      <c r="O195" s="63">
        <f t="shared" si="60"/>
        <v>64.856500714075381</v>
      </c>
      <c r="P195" s="63">
        <f t="shared" si="60"/>
        <v>74.903892219122753</v>
      </c>
      <c r="Q195" s="63">
        <f t="shared" si="60"/>
        <v>85.122479125427859</v>
      </c>
      <c r="R195" s="63">
        <f t="shared" si="60"/>
        <v>82.167033387100574</v>
      </c>
      <c r="S195" s="63">
        <f t="shared" si="60"/>
        <v>86.770532115755529</v>
      </c>
      <c r="T195" s="63">
        <f t="shared" si="60"/>
        <v>85.836727246052476</v>
      </c>
      <c r="U195" s="63">
        <f t="shared" si="60"/>
        <v>73.41925640579376</v>
      </c>
      <c r="V195" s="63">
        <f t="shared" si="60"/>
        <v>80.145309552977395</v>
      </c>
    </row>
    <row r="196" spans="3:22" x14ac:dyDescent="0.2">
      <c r="C196" s="87" t="s">
        <v>151</v>
      </c>
      <c r="D196" s="60">
        <f t="shared" ref="D196:V196" si="61">+IFERROR(IF(D158&gt;0,+((D158/D41)*100)," "),"")</f>
        <v>70.698558812525633</v>
      </c>
      <c r="E196" s="60">
        <f t="shared" si="61"/>
        <v>28.204403039503163</v>
      </c>
      <c r="F196" s="60">
        <f t="shared" si="61"/>
        <v>28.011622795795539</v>
      </c>
      <c r="G196" s="60">
        <f t="shared" si="61"/>
        <v>46.777545768732807</v>
      </c>
      <c r="H196" s="60">
        <f t="shared" si="61"/>
        <v>32.086861268811113</v>
      </c>
      <c r="I196" s="60">
        <f t="shared" si="61"/>
        <v>8.1388805353292071</v>
      </c>
      <c r="J196" s="60">
        <f t="shared" si="61"/>
        <v>24.499039710681696</v>
      </c>
      <c r="K196" s="60">
        <f t="shared" si="61"/>
        <v>56.29212552312972</v>
      </c>
      <c r="L196" s="60" t="str">
        <f t="shared" si="61"/>
        <v xml:space="preserve"> </v>
      </c>
      <c r="M196" s="60" t="str">
        <f t="shared" si="61"/>
        <v xml:space="preserve"> </v>
      </c>
      <c r="N196" s="60" t="str">
        <f t="shared" si="61"/>
        <v xml:space="preserve"> </v>
      </c>
      <c r="O196" s="60" t="str">
        <f t="shared" si="61"/>
        <v xml:space="preserve"> </v>
      </c>
      <c r="P196" s="60" t="str">
        <f t="shared" si="61"/>
        <v xml:space="preserve"> </v>
      </c>
      <c r="Q196" s="60" t="str">
        <f t="shared" si="61"/>
        <v xml:space="preserve"> </v>
      </c>
      <c r="R196" s="60" t="str">
        <f t="shared" si="61"/>
        <v xml:space="preserve"> </v>
      </c>
      <c r="S196" s="60" t="str">
        <f t="shared" si="61"/>
        <v xml:space="preserve"> </v>
      </c>
      <c r="T196" s="60" t="str">
        <f t="shared" si="61"/>
        <v xml:space="preserve"> </v>
      </c>
      <c r="U196" s="60" t="str">
        <f t="shared" si="61"/>
        <v xml:space="preserve"> </v>
      </c>
      <c r="V196" s="60" t="str">
        <f t="shared" si="61"/>
        <v xml:space="preserve"> </v>
      </c>
    </row>
    <row r="197" spans="3:22" x14ac:dyDescent="0.2">
      <c r="C197" s="79" t="s">
        <v>154</v>
      </c>
      <c r="D197" s="45">
        <f t="shared" ref="D197:V197" si="62">+IFERROR(IF(D159&gt;0,+((D159/D42)*100)," "),"")</f>
        <v>78.033103359019179</v>
      </c>
      <c r="E197" s="45">
        <f t="shared" si="62"/>
        <v>76.039861273506403</v>
      </c>
      <c r="F197" s="45">
        <f t="shared" si="62"/>
        <v>71.451547506130936</v>
      </c>
      <c r="G197" s="45">
        <f t="shared" si="62"/>
        <v>75.343731880636852</v>
      </c>
      <c r="H197" s="45">
        <f t="shared" si="62"/>
        <v>79.514390464521028</v>
      </c>
      <c r="I197" s="45">
        <f t="shared" si="62"/>
        <v>80.167753837145312</v>
      </c>
      <c r="J197" s="45">
        <f t="shared" si="62"/>
        <v>72.85083261876261</v>
      </c>
      <c r="K197" s="45">
        <f t="shared" si="62"/>
        <v>84.610112868582931</v>
      </c>
      <c r="L197" s="45">
        <f t="shared" si="62"/>
        <v>88.306715395704941</v>
      </c>
      <c r="M197" s="45">
        <f t="shared" si="62"/>
        <v>84.63353654016143</v>
      </c>
      <c r="N197" s="45">
        <f t="shared" si="62"/>
        <v>83.820447920694306</v>
      </c>
      <c r="O197" s="45">
        <f t="shared" si="62"/>
        <v>80.255531137895062</v>
      </c>
      <c r="P197" s="45">
        <f t="shared" si="62"/>
        <v>85.318849208071214</v>
      </c>
      <c r="Q197" s="45">
        <f t="shared" si="62"/>
        <v>87.384563756244219</v>
      </c>
      <c r="R197" s="45">
        <f t="shared" si="62"/>
        <v>87.907247530988485</v>
      </c>
      <c r="S197" s="45">
        <f t="shared" si="62"/>
        <v>88.241165729087015</v>
      </c>
      <c r="T197" s="45">
        <f t="shared" si="62"/>
        <v>91.592124421130606</v>
      </c>
      <c r="U197" s="45">
        <f t="shared" si="62"/>
        <v>89.721166351659363</v>
      </c>
      <c r="V197" s="45">
        <f t="shared" si="62"/>
        <v>87.629926270817023</v>
      </c>
    </row>
    <row r="198" spans="3:22" x14ac:dyDescent="0.2">
      <c r="C198" s="1" t="s">
        <v>52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customHeight="1" x14ac:dyDescent="0.2">
      <c r="D202" s="155" t="s">
        <v>176</v>
      </c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76" t="s">
        <v>120</v>
      </c>
      <c r="D204" s="153">
        <v>2000</v>
      </c>
      <c r="E204" s="153">
        <v>2001</v>
      </c>
      <c r="F204" s="153">
        <v>2002</v>
      </c>
      <c r="G204" s="153">
        <v>2003</v>
      </c>
      <c r="H204" s="153">
        <v>2004</v>
      </c>
      <c r="I204" s="153">
        <v>2005</v>
      </c>
      <c r="J204" s="153">
        <v>2006</v>
      </c>
      <c r="K204" s="153">
        <v>2007</v>
      </c>
      <c r="L204" s="153">
        <v>2008</v>
      </c>
      <c r="M204" s="153">
        <v>2009</v>
      </c>
      <c r="N204" s="153">
        <v>2010</v>
      </c>
      <c r="O204" s="153">
        <v>2011</v>
      </c>
      <c r="P204" s="153">
        <v>2012</v>
      </c>
      <c r="Q204" s="153">
        <v>2013</v>
      </c>
      <c r="R204" s="153">
        <v>2014</v>
      </c>
      <c r="S204" s="153">
        <v>2015</v>
      </c>
      <c r="T204" s="153">
        <v>2016</v>
      </c>
      <c r="U204" s="153">
        <v>2017</v>
      </c>
      <c r="V204" s="153">
        <v>2018</v>
      </c>
    </row>
    <row r="205" spans="3:22" ht="12" customHeight="1" thickBot="1" x14ac:dyDescent="0.25">
      <c r="C205" s="160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</row>
    <row r="206" spans="3:22" x14ac:dyDescent="0.2">
      <c r="C206" s="87" t="s">
        <v>123</v>
      </c>
      <c r="D206" s="65">
        <f>26.5417502175*Deflactores!$A$5</f>
        <v>98.833859645110749</v>
      </c>
      <c r="E206" s="56">
        <f>21.8089510445*Deflactores!$B$5</f>
        <v>75.440365463228176</v>
      </c>
      <c r="F206" s="56">
        <f>30.566076962*Deflactores!$C$5</f>
        <v>98.823003752435469</v>
      </c>
      <c r="G206" s="56">
        <f>23.152252428*Deflactores!$D$5</f>
        <v>70.290594438383025</v>
      </c>
      <c r="H206" s="56">
        <f>24.461808906*Deflactores!$E$5</f>
        <v>70.396731789359151</v>
      </c>
      <c r="I206" s="56">
        <f>36.371327869*Deflactores!$F$5</f>
        <v>99.823606243043088</v>
      </c>
      <c r="J206" s="56">
        <f>43.98609435*Deflactores!$G$5</f>
        <v>115.54864687463018</v>
      </c>
      <c r="K206" s="56">
        <f>52.980566153*Deflactores!$H$5</f>
        <v>131.6781839175292</v>
      </c>
      <c r="L206" s="56">
        <f>54.587411471*Deflactores!$I$5</f>
        <v>126.00198558681591</v>
      </c>
      <c r="M206" s="56">
        <f>47.872926379*Deflactores!$J$5</f>
        <v>108.33455268207405</v>
      </c>
      <c r="N206" s="56">
        <f>67.648790708*Deflactores!$K$5</f>
        <v>148.38106389779233</v>
      </c>
      <c r="O206" s="56">
        <f>32.6527201950299*Deflactores!$L$5</f>
        <v>69.04739696926822</v>
      </c>
      <c r="P206" s="56">
        <f>37.97311301071*Deflactores!$M$5</f>
        <v>78.385291155587481</v>
      </c>
      <c r="Q206" s="56">
        <f>47.04786065128*Deflactores!$N$5</f>
        <v>95.269442735903255</v>
      </c>
      <c r="R206" s="56">
        <f>76.11790334125*Deflactores!$O$5</f>
        <v>148.69260068785505</v>
      </c>
      <c r="S206" s="56">
        <f>52.61255820533*Deflactores!$P$5</f>
        <v>96.259303910279414</v>
      </c>
      <c r="T206" s="56">
        <f>42.9481269291999*Deflactores!$Q$5</f>
        <v>74.304847893012663</v>
      </c>
      <c r="U206" s="56">
        <f>47.11873027415*Deflactores!$R$5</f>
        <v>78.317261255247459</v>
      </c>
      <c r="V206" s="56">
        <f>57.8073773985799*Deflactores!$S$5</f>
        <v>93.121863070358728</v>
      </c>
    </row>
    <row r="207" spans="3:22" x14ac:dyDescent="0.2">
      <c r="C207" s="88" t="s">
        <v>124</v>
      </c>
      <c r="D207" s="57">
        <f>2.496799572*Deflactores!$A$5</f>
        <v>9.2973649604432165</v>
      </c>
      <c r="E207" s="57">
        <f>0.824271081*Deflactores!$B$5</f>
        <v>2.85127475707238</v>
      </c>
      <c r="F207" s="57">
        <f>3.76695074439*Deflactores!$C$5</f>
        <v>12.178906308810612</v>
      </c>
      <c r="G207" s="57">
        <f>3.68292848904*Deflactores!$D$5</f>
        <v>11.181427533832407</v>
      </c>
      <c r="H207" s="57">
        <f>3.39710552096*Deflactores!$E$5</f>
        <v>9.776264998968033</v>
      </c>
      <c r="I207" s="57">
        <f>6.66559877471999*Deflactores!$F$5</f>
        <v>18.294193433308184</v>
      </c>
      <c r="J207" s="57">
        <f>9.69118850493*Deflactores!$G$5</f>
        <v>25.458130231824772</v>
      </c>
      <c r="K207" s="57">
        <f>18.90471837582*Deflactores!$H$5</f>
        <v>46.985888674943169</v>
      </c>
      <c r="L207" s="57">
        <f>15.05275683358*Deflactores!$I$5</f>
        <v>34.745689500118843</v>
      </c>
      <c r="M207" s="57">
        <f>18.53989221336*Deflactores!$J$5</f>
        <v>41.955048116491987</v>
      </c>
      <c r="N207" s="57">
        <f>21.74077173705*Deflactores!$K$5</f>
        <v>47.686275047057762</v>
      </c>
      <c r="O207" s="57">
        <f>31.90379283769*Deflactores!$L$5</f>
        <v>67.463716215121906</v>
      </c>
      <c r="P207" s="57">
        <f>35.84622923058*Deflactores!$M$5</f>
        <v>73.994910932808125</v>
      </c>
      <c r="Q207" s="57">
        <f>50.2976202265*Deflactores!$N$5</f>
        <v>101.85003491312592</v>
      </c>
      <c r="R207" s="57">
        <f>55.70219535876*Deflactores!$O$5</f>
        <v>108.81151382724067</v>
      </c>
      <c r="S207" s="57">
        <f>52.41911868011*Deflactores!$P$5</f>
        <v>95.90538928073903</v>
      </c>
      <c r="T207" s="57">
        <f>72.37366471483*Deflactores!$Q$5</f>
        <v>125.21417189998802</v>
      </c>
      <c r="U207" s="57">
        <f>84.59594920765*Deflactores!$R$5</f>
        <v>140.60911694103766</v>
      </c>
      <c r="V207" s="57">
        <f>108.44225832334*Deflactores!$S$5</f>
        <v>174.68955668060826</v>
      </c>
    </row>
    <row r="208" spans="3:22" x14ac:dyDescent="0.2">
      <c r="C208" s="87" t="s">
        <v>125</v>
      </c>
      <c r="D208" s="56">
        <f>2.9726059746*Deflactores!$A$5</f>
        <v>11.069131435052247</v>
      </c>
      <c r="E208" s="56">
        <f>2.71827533403*Deflactores!$B$5</f>
        <v>9.4029137032071013</v>
      </c>
      <c r="F208" s="56">
        <f>9.12567162721*Deflactores!$C$5</f>
        <v>29.504155295441596</v>
      </c>
      <c r="G208" s="56">
        <f>3.68046191409*Deflactores!$D$5</f>
        <v>11.173938974349847</v>
      </c>
      <c r="H208" s="56">
        <f>2.93473955981999*Deflactores!$E$5</f>
        <v>8.4456580647065653</v>
      </c>
      <c r="I208" s="56">
        <f>11.75271450062*Deflactores!$F$5</f>
        <v>32.256131775621363</v>
      </c>
      <c r="J208" s="56">
        <f>1.812115571*Deflactores!$G$5</f>
        <v>4.7603113052818209</v>
      </c>
      <c r="K208" s="56">
        <f>19.095008462*Deflactores!$H$5</f>
        <v>47.458836678053046</v>
      </c>
      <c r="L208" s="56">
        <f>18.33635359665*Deflactores!$I$5</f>
        <v>42.325087402748174</v>
      </c>
      <c r="M208" s="56">
        <f>45.39422668678*Deflactores!$J$5</f>
        <v>102.72535260385111</v>
      </c>
      <c r="N208" s="56">
        <f>0*Deflactores!$K$5</f>
        <v>0</v>
      </c>
      <c r="O208" s="56">
        <f>0*Deflactores!$L$5</f>
        <v>0</v>
      </c>
      <c r="P208" s="56">
        <f>0*Deflactores!$M$5</f>
        <v>0</v>
      </c>
      <c r="Q208" s="56">
        <f>0*Deflactores!$N$5</f>
        <v>0</v>
      </c>
      <c r="R208" s="56">
        <f>0*Deflactores!$O$5</f>
        <v>0</v>
      </c>
      <c r="S208" s="56">
        <f>0*Deflactores!$P$5</f>
        <v>0</v>
      </c>
      <c r="T208" s="56">
        <f>0*Deflactores!$Q$5</f>
        <v>0</v>
      </c>
      <c r="U208" s="56">
        <f>0*Deflactores!$R$5</f>
        <v>0</v>
      </c>
      <c r="V208" s="56">
        <f>0*Deflactores!$S$5</f>
        <v>0</v>
      </c>
    </row>
    <row r="209" spans="3:22" x14ac:dyDescent="0.2">
      <c r="C209" s="88" t="s">
        <v>126</v>
      </c>
      <c r="D209" s="57">
        <f>35.27666782818*Deflactores!$A$5</f>
        <v>131.36018568130194</v>
      </c>
      <c r="E209" s="57">
        <f>33.423653107*Deflactores!$B$5</f>
        <v>115.6173261319754</v>
      </c>
      <c r="F209" s="57">
        <f>35.925501113*Deflactores!$C$5</f>
        <v>116.15052647128526</v>
      </c>
      <c r="G209" s="57">
        <f>35.98085837*Deflactores!$D$5</f>
        <v>109.23843937412728</v>
      </c>
      <c r="H209" s="57">
        <f>37.316498723*Deflactores!$E$5</f>
        <v>107.39024092681278</v>
      </c>
      <c r="I209" s="57">
        <f>44.5862929*Deflactores!$F$5</f>
        <v>122.37014173134058</v>
      </c>
      <c r="J209" s="57">
        <f>48.157774769*Deflactores!$G$5</f>
        <v>126.50738360113475</v>
      </c>
      <c r="K209" s="57">
        <f>53.745801518*Deflactores!$H$5</f>
        <v>133.58010400727824</v>
      </c>
      <c r="L209" s="57">
        <f>83.7837122791*Deflactores!$I$5</f>
        <v>193.39466412708603</v>
      </c>
      <c r="M209" s="57">
        <f>95.10758455885*Deflactores!$J$5</f>
        <v>215.22472949084781</v>
      </c>
      <c r="N209" s="57">
        <f>104.30704912357*Deflactores!$K$5</f>
        <v>228.7873997304774</v>
      </c>
      <c r="O209" s="57">
        <f>99.0974358172699*Deflactores!$L$5</f>
        <v>209.55130073827979</v>
      </c>
      <c r="P209" s="57">
        <f>125.66452410204*Deflactores!$M$5</f>
        <v>259.4006529538035</v>
      </c>
      <c r="Q209" s="57">
        <f>163.48519836455*Deflactores!$N$5</f>
        <v>331.04892609682435</v>
      </c>
      <c r="R209" s="57">
        <f>197.99990567696*Deflactores!$O$5</f>
        <v>386.78313010104119</v>
      </c>
      <c r="S209" s="57">
        <f>234.183598707919*Deflactores!$P$5</f>
        <v>428.45949651132543</v>
      </c>
      <c r="T209" s="57">
        <f>249.332282452799*Deflactores!$Q$5</f>
        <v>431.37148572309206</v>
      </c>
      <c r="U209" s="57">
        <f>278.80207893522*Deflactores!$R$5</f>
        <v>463.40415217968518</v>
      </c>
      <c r="V209" s="57">
        <f>291.53230449295*Deflactores!$S$5</f>
        <v>469.62918162493111</v>
      </c>
    </row>
    <row r="210" spans="3:22" x14ac:dyDescent="0.2">
      <c r="C210" s="87" t="s">
        <v>127</v>
      </c>
      <c r="D210" s="56">
        <f>0*Deflactores!$A$5</f>
        <v>0</v>
      </c>
      <c r="E210" s="56">
        <f>0*Deflactores!$B$5</f>
        <v>0</v>
      </c>
      <c r="F210" s="56">
        <f>0*Deflactores!$C$5</f>
        <v>0</v>
      </c>
      <c r="G210" s="56">
        <f>0*Deflactores!$D$5</f>
        <v>0</v>
      </c>
      <c r="H210" s="56">
        <f>0*Deflactores!$E$5</f>
        <v>0</v>
      </c>
      <c r="I210" s="56">
        <f>0*Deflactores!$F$5</f>
        <v>0</v>
      </c>
      <c r="J210" s="56">
        <f>0*Deflactores!$G$5</f>
        <v>0</v>
      </c>
      <c r="K210" s="56">
        <f>0*Deflactores!$H$5</f>
        <v>0</v>
      </c>
      <c r="L210" s="56">
        <f>0*Deflactores!$I$5</f>
        <v>0</v>
      </c>
      <c r="M210" s="56">
        <f>0*Deflactores!$J$5</f>
        <v>0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128</v>
      </c>
      <c r="D211" s="57">
        <f>0.606578914*Deflactores!$A$5</f>
        <v>2.2587257719889173</v>
      </c>
      <c r="E211" s="57">
        <f>0.67063176331*Deflactores!$B$5</f>
        <v>2.3198137871062126</v>
      </c>
      <c r="F211" s="57">
        <f>0.643309068*Deflactores!$C$5</f>
        <v>2.0798787662536853</v>
      </c>
      <c r="G211" s="57">
        <f>0.578077358*Deflactores!$D$5</f>
        <v>1.755051749351545</v>
      </c>
      <c r="H211" s="57">
        <f>0.6419189876*Deflactores!$E$5</f>
        <v>1.847328583680097</v>
      </c>
      <c r="I211" s="57">
        <f>0.670604068*Deflactores!$F$5</f>
        <v>1.8405189018702555</v>
      </c>
      <c r="J211" s="57">
        <f>1.225627086*Deflactores!$G$5</f>
        <v>3.2196436954215737</v>
      </c>
      <c r="K211" s="57">
        <f>3.702571179*Deflactores!$H$5</f>
        <v>9.2023903117256101</v>
      </c>
      <c r="L211" s="57">
        <f>3.418602436*Deflactores!$I$5</f>
        <v>7.8910262139241665</v>
      </c>
      <c r="M211" s="57">
        <f>4.663935495*Deflactores!$J$5</f>
        <v>10.554302897399499</v>
      </c>
      <c r="N211" s="57">
        <f>6.837317664*Deflactores!$K$5</f>
        <v>14.996993421074004</v>
      </c>
      <c r="O211" s="57">
        <f>7.808238517*Deflactores!$L$5</f>
        <v>16.511290370108028</v>
      </c>
      <c r="P211" s="57">
        <f>9.86270865781999*Deflactores!$M$5</f>
        <v>20.358912620830147</v>
      </c>
      <c r="Q211" s="57">
        <f>9.39435965266*Deflactores!$N$5</f>
        <v>19.023084080343246</v>
      </c>
      <c r="R211" s="57">
        <f>10.50459942286*Deflactores!$O$5</f>
        <v>20.520221114954641</v>
      </c>
      <c r="S211" s="57">
        <f>12.94254961476*Deflactores!$P$5</f>
        <v>23.679533161625294</v>
      </c>
      <c r="T211" s="57">
        <f>17.9064206837*Deflactores!$Q$5</f>
        <v>30.980020791221296</v>
      </c>
      <c r="U211" s="57">
        <f>11.77709436549*Deflactores!$R$5</f>
        <v>19.575013394531076</v>
      </c>
      <c r="V211" s="57">
        <f>12.80762192809*Deflactores!$S$5</f>
        <v>20.631789040023463</v>
      </c>
    </row>
    <row r="212" spans="3:22" x14ac:dyDescent="0.2">
      <c r="C212" s="87" t="s">
        <v>129</v>
      </c>
      <c r="D212" s="56">
        <f>474.13553687572*Deflactores!$A$5</f>
        <v>1765.5446502332431</v>
      </c>
      <c r="E212" s="56">
        <f>612.42476479783*Deflactores!$B$5</f>
        <v>2118.4672284700014</v>
      </c>
      <c r="F212" s="56">
        <f>650.66571754359*Deflactores!$C$5</f>
        <v>2103.6635066492345</v>
      </c>
      <c r="G212" s="56">
        <f>770.45510413814*Deflactores!$D$5</f>
        <v>2339.113545274799</v>
      </c>
      <c r="H212" s="56">
        <f>797.96288426067*Deflactores!$E$5</f>
        <v>2296.3951421999477</v>
      </c>
      <c r="I212" s="56">
        <f>915.9816753378*Deflactores!$F$5</f>
        <v>2513.9745904822103</v>
      </c>
      <c r="J212" s="56">
        <f>727.516768819469*Deflactores!$G$5</f>
        <v>1911.1398604021042</v>
      </c>
      <c r="K212" s="56">
        <f>960.773261736769*Deflactores!$H$5</f>
        <v>2387.9110294266825</v>
      </c>
      <c r="L212" s="56">
        <f>1054.56385621871*Deflactores!$I$5</f>
        <v>2434.2084783089404</v>
      </c>
      <c r="M212" s="56">
        <f>1255.19747850532*Deflactores!$J$5</f>
        <v>2840.462608970377</v>
      </c>
      <c r="N212" s="56">
        <f>1497.12646454799*Deflactores!$K$5</f>
        <v>3283.8017542403873</v>
      </c>
      <c r="O212" s="56">
        <f>1462.63450759003*Deflactores!$L$5</f>
        <v>3092.8849070862675</v>
      </c>
      <c r="P212" s="56">
        <f>1503.62954120483*Deflactores!$M$5</f>
        <v>3103.8392702816041</v>
      </c>
      <c r="Q212" s="56">
        <f>1577.46920908695*Deflactores!$N$5</f>
        <v>3194.2921612668715</v>
      </c>
      <c r="R212" s="56">
        <f>1590.72970267568*Deflactores!$O$5</f>
        <v>3107.4126598293269</v>
      </c>
      <c r="S212" s="56">
        <f>1764.51633401715*Deflactores!$P$5</f>
        <v>3228.3378692200126</v>
      </c>
      <c r="T212" s="56">
        <f>1897.06790907714*Deflactores!$Q$5</f>
        <v>3282.1301534073327</v>
      </c>
      <c r="U212" s="56">
        <f>1929.24143888866*Deflactores!$R$5</f>
        <v>3206.6421339198182</v>
      </c>
      <c r="V212" s="56">
        <f>1724.91811802751*Deflactores!$S$5</f>
        <v>2778.6693675275546</v>
      </c>
    </row>
    <row r="213" spans="3:22" x14ac:dyDescent="0.2">
      <c r="C213" s="88" t="s">
        <v>130</v>
      </c>
      <c r="D213" s="57">
        <f>6.651560146*Deflactores!$A$5</f>
        <v>24.768500814890782</v>
      </c>
      <c r="E213" s="57">
        <f>10.2798768604*Deflactores!$B$5</f>
        <v>35.559604204858651</v>
      </c>
      <c r="F213" s="57">
        <f>7.90660320089*Deflactores!$C$5</f>
        <v>25.562792332230167</v>
      </c>
      <c r="G213" s="57">
        <f>8.90864600082*Deflactores!$D$5</f>
        <v>27.04678626782124</v>
      </c>
      <c r="H213" s="57">
        <f>7.10627039429999*Deflactores!$E$5</f>
        <v>20.450581267009099</v>
      </c>
      <c r="I213" s="57">
        <f>10.94648306691*Deflactores!$F$5</f>
        <v>30.043374257685741</v>
      </c>
      <c r="J213" s="57">
        <f>19.35543581436*Deflactores!$G$5</f>
        <v>50.845487672129579</v>
      </c>
      <c r="K213" s="57">
        <f>16.10721487436*Deflactores!$H$5</f>
        <v>40.032958434232199</v>
      </c>
      <c r="L213" s="57">
        <f>15.7935125775*Deflactores!$I$5</f>
        <v>36.455546993880837</v>
      </c>
      <c r="M213" s="57">
        <f>10.7932819684699*Deflactores!$J$5</f>
        <v>24.424773300230139</v>
      </c>
      <c r="N213" s="57">
        <f>3.07297644742*Deflactores!$K$5</f>
        <v>6.7402759137143846</v>
      </c>
      <c r="O213" s="57">
        <f>4.22354117697*Deflactores!$L$5</f>
        <v>8.9310943321250882</v>
      </c>
      <c r="P213" s="57">
        <f>0*Deflactores!$M$5</f>
        <v>0</v>
      </c>
      <c r="Q213" s="57">
        <f>0*Deflactores!$N$5</f>
        <v>0</v>
      </c>
      <c r="R213" s="57">
        <f>0*Deflactores!$O$5</f>
        <v>0</v>
      </c>
      <c r="S213" s="57">
        <f>0*Deflactores!$P$5</f>
        <v>0</v>
      </c>
      <c r="T213" s="57">
        <f>0*Deflactores!$Q$5</f>
        <v>0</v>
      </c>
      <c r="U213" s="57">
        <f>0*Deflactores!$R$5</f>
        <v>0</v>
      </c>
      <c r="V213" s="57">
        <f>0*Deflactores!$S$5</f>
        <v>0</v>
      </c>
    </row>
    <row r="214" spans="3:22" x14ac:dyDescent="0.2">
      <c r="C214" s="87" t="s">
        <v>131</v>
      </c>
      <c r="D214" s="56">
        <f>125.23487688117*Deflactores!$A$5</f>
        <v>466.33873587527597</v>
      </c>
      <c r="E214" s="56">
        <f>142.45769166615*Deflactores!$B$5</f>
        <v>492.78208293527871</v>
      </c>
      <c r="F214" s="56">
        <f>179.376252121989*Deflactores!$C$5</f>
        <v>579.94030632674458</v>
      </c>
      <c r="G214" s="56">
        <f>174.68369662049*Deflactores!$D$5</f>
        <v>530.34238946439677</v>
      </c>
      <c r="H214" s="56">
        <f>169.13690492471*Deflactores!$E$5</f>
        <v>486.74590572681126</v>
      </c>
      <c r="I214" s="56">
        <f>132.92345545075*Deflactores!$F$5</f>
        <v>364.81754873430651</v>
      </c>
      <c r="J214" s="56">
        <f>126.0610760988*Deflactores!$G$5</f>
        <v>331.15435643983528</v>
      </c>
      <c r="K214" s="56">
        <f>54.45756218086*Deflactores!$H$5</f>
        <v>135.34911778487137</v>
      </c>
      <c r="L214" s="56">
        <f>39.7915147972999*Deflactores!$I$5</f>
        <v>91.849196341368554</v>
      </c>
      <c r="M214" s="56">
        <f>53.53261497243*Deflactores!$J$5</f>
        <v>121.14220574332573</v>
      </c>
      <c r="N214" s="56">
        <f>9.31569659978*Deflactores!$K$5</f>
        <v>20.433077338970648</v>
      </c>
      <c r="O214" s="56">
        <f>7.21347123324*Deflactores!$L$5</f>
        <v>15.253596294367258</v>
      </c>
      <c r="P214" s="56">
        <f>13.55299791315*Deflactores!$M$5</f>
        <v>27.976523472113112</v>
      </c>
      <c r="Q214" s="56">
        <f>18.8256400759899*Deflactores!$N$5</f>
        <v>38.120930778973694</v>
      </c>
      <c r="R214" s="56">
        <f>15.86661356069*Deflactores!$O$5</f>
        <v>30.994653437460812</v>
      </c>
      <c r="S214" s="56">
        <f>17.20630463105*Deflactores!$P$5</f>
        <v>31.480448074568237</v>
      </c>
      <c r="T214" s="56">
        <f>20.16150673267*Deflactores!$Q$5</f>
        <v>34.881560575030733</v>
      </c>
      <c r="U214" s="56">
        <f>20.2361165518199*Deflactores!$R$5</f>
        <v>33.634973131905049</v>
      </c>
      <c r="V214" s="56">
        <f>20.70710732584*Deflactores!$S$5</f>
        <v>33.357064439797</v>
      </c>
    </row>
    <row r="215" spans="3:22" x14ac:dyDescent="0.2">
      <c r="C215" s="88" t="s">
        <v>132</v>
      </c>
      <c r="D215" s="57">
        <f>30.31686555799*Deflactores!$A$5</f>
        <v>112.89130561791204</v>
      </c>
      <c r="E215" s="57">
        <f>29.35750162059*Deflactores!$B$5</f>
        <v>101.55191081063748</v>
      </c>
      <c r="F215" s="57">
        <f>36.3688841541899*Deflactores!$C$5</f>
        <v>117.58402557546368</v>
      </c>
      <c r="G215" s="57">
        <f>28.80124668546*Deflactores!$D$5</f>
        <v>87.441027881984525</v>
      </c>
      <c r="H215" s="57">
        <f>30.13894684916*Deflactores!$E$5</f>
        <v>86.734524249907793</v>
      </c>
      <c r="I215" s="57">
        <f>30.48914991601*Deflactores!$F$5</f>
        <v>83.679565037133528</v>
      </c>
      <c r="J215" s="57">
        <f>43.90485019714*Deflactores!$G$5</f>
        <v>115.33522369923409</v>
      </c>
      <c r="K215" s="57">
        <f>48.30506859716*Deflactores!$H$5</f>
        <v>120.05767715876939</v>
      </c>
      <c r="L215" s="57">
        <f>56.85998669214*Deflactores!$I$5</f>
        <v>131.24768203115383</v>
      </c>
      <c r="M215" s="57">
        <f>85.14839223142*Deflactores!$J$5</f>
        <v>192.68746829805482</v>
      </c>
      <c r="N215" s="57">
        <f>85.56029830393*Deflactores!$K$5</f>
        <v>187.66821929676067</v>
      </c>
      <c r="O215" s="57">
        <f>70.98791286664*Deflactores!$L$5</f>
        <v>150.11094237927477</v>
      </c>
      <c r="P215" s="57">
        <f>99.7459108247599*Deflactores!$M$5</f>
        <v>205.89863831740354</v>
      </c>
      <c r="Q215" s="57">
        <f>124.43767547773*Deflactores!$N$5</f>
        <v>251.9797464540394</v>
      </c>
      <c r="R215" s="57">
        <f>122.15325334919*Deflactores!$O$5</f>
        <v>238.62040499912729</v>
      </c>
      <c r="S215" s="57">
        <f>154.1676571881*Deflactores!$P$5</f>
        <v>282.06329197088337</v>
      </c>
      <c r="T215" s="57">
        <f>213.263600243039*Deflactores!$Q$5</f>
        <v>368.96881215095362</v>
      </c>
      <c r="U215" s="57">
        <f>271.204926170759*Deflactores!$R$5</f>
        <v>450.7767279178575</v>
      </c>
      <c r="V215" s="57">
        <f>352.71701578116*Deflactores!$S$5</f>
        <v>568.19158945213849</v>
      </c>
    </row>
    <row r="216" spans="3:22" x14ac:dyDescent="0.2">
      <c r="C216" s="87" t="s">
        <v>133</v>
      </c>
      <c r="D216" s="56">
        <f>0.11023688475*Deflactores!$A$5</f>
        <v>0.41049051798822844</v>
      </c>
      <c r="E216" s="56">
        <f>0.109448148*Deflactores!$B$5</f>
        <v>0.37859722219312197</v>
      </c>
      <c r="F216" s="56">
        <f>0.2248409222*Deflactores!$C$5</f>
        <v>0.7269318639056972</v>
      </c>
      <c r="G216" s="56">
        <f>0.0488681294799999*Deflactores!$D$5</f>
        <v>0.14836439266215234</v>
      </c>
      <c r="H216" s="56">
        <f>0.36152117215*Deflactores!$E$5</f>
        <v>1.0403935820860708</v>
      </c>
      <c r="I216" s="56">
        <f>2.40681974259999*Deflactores!$F$5</f>
        <v>6.6056820127279394</v>
      </c>
      <c r="J216" s="56">
        <f>3.2819538641*Deflactores!$G$5</f>
        <v>8.6214821685280842</v>
      </c>
      <c r="K216" s="56">
        <f>1.02671616138*Deflactores!$H$5</f>
        <v>2.5518058666807928</v>
      </c>
      <c r="L216" s="56">
        <f>3.46466294171*Deflactores!$I$5</f>
        <v>7.9973458766485308</v>
      </c>
      <c r="M216" s="56">
        <f>4.01851861143*Deflactores!$J$5</f>
        <v>9.0937498319473367</v>
      </c>
      <c r="N216" s="56">
        <f>2.51832593803*Deflactores!$K$5</f>
        <v>5.5237037944878971</v>
      </c>
      <c r="O216" s="56">
        <f>1.94323838542*Deflactores!$L$5</f>
        <v>4.1091692025229047</v>
      </c>
      <c r="P216" s="56">
        <f>4.01451079377*Deflactores!$M$5</f>
        <v>8.2868791222925964</v>
      </c>
      <c r="Q216" s="56">
        <f>2.57863943945*Deflactores!$N$5</f>
        <v>5.2216092084208254</v>
      </c>
      <c r="R216" s="56">
        <f>3.00032810162*Deflactores!$O$5</f>
        <v>5.860994178290337</v>
      </c>
      <c r="S216" s="56">
        <f>2.12966780916*Deflactores!$P$5</f>
        <v>3.8964146177766259</v>
      </c>
      <c r="T216" s="56">
        <f>3.28768682631*Deflactores!$Q$5</f>
        <v>5.6880494451257571</v>
      </c>
      <c r="U216" s="56">
        <f>3.96800688933*Deflactores!$R$5</f>
        <v>6.5953269624663156</v>
      </c>
      <c r="V216" s="56">
        <f>13.56810301969*Deflactores!$S$5</f>
        <v>21.85684748872783</v>
      </c>
    </row>
    <row r="217" spans="3:22" x14ac:dyDescent="0.2">
      <c r="C217" s="88" t="s">
        <v>134</v>
      </c>
      <c r="D217" s="57">
        <f>87.0741550866899*Deflactores!$A$5</f>
        <v>324.23916102112702</v>
      </c>
      <c r="E217" s="57">
        <f>102.953219710049*Deflactores!$B$5</f>
        <v>356.13031111374062</v>
      </c>
      <c r="F217" s="57">
        <f>110.24013096594*Deflactores!$C$5</f>
        <v>356.41671941282817</v>
      </c>
      <c r="G217" s="57">
        <f>100.29893540694*Deflactores!$D$5</f>
        <v>304.50911042955545</v>
      </c>
      <c r="H217" s="57">
        <f>111.94755756108*Deflactores!$E$5</f>
        <v>322.16514381191996</v>
      </c>
      <c r="I217" s="57">
        <f>109.56348308966*Deflactores!$F$5</f>
        <v>300.70450091761342</v>
      </c>
      <c r="J217" s="57">
        <f>110.06385024825*Deflactores!$G$5</f>
        <v>289.13067081613298</v>
      </c>
      <c r="K217" s="57">
        <f>133.37064846514*Deflactores!$H$5</f>
        <v>331.48012663882031</v>
      </c>
      <c r="L217" s="57">
        <f>139.9227923348*Deflactores!$I$5</f>
        <v>322.97830558246699</v>
      </c>
      <c r="M217" s="57">
        <f>147.53463822554*Deflactores!$J$5</f>
        <v>333.86509340875944</v>
      </c>
      <c r="N217" s="57">
        <f>155.692184244149*Deflactores!$K$5</f>
        <v>341.49571185144572</v>
      </c>
      <c r="O217" s="57">
        <f>162.24903099165*Deflactores!$L$5</f>
        <v>343.09157656227239</v>
      </c>
      <c r="P217" s="57">
        <f>156.9335090039*Deflactores!$M$5</f>
        <v>323.94707254760067</v>
      </c>
      <c r="Q217" s="57">
        <f>166.95695717066*Deflactores!$N$5</f>
        <v>338.07905503771519</v>
      </c>
      <c r="R217" s="57">
        <f>155.58849950747*Deflactores!$O$5</f>
        <v>303.93452280430154</v>
      </c>
      <c r="S217" s="57">
        <f>158.97725963028*Deflactores!$P$5</f>
        <v>290.86288277128898</v>
      </c>
      <c r="T217" s="57">
        <f>159.10115527716*Deflactores!$Q$5</f>
        <v>275.26199598787014</v>
      </c>
      <c r="U217" s="57">
        <f>174.46709120673*Deflactores!$R$5</f>
        <v>289.98626836888059</v>
      </c>
      <c r="V217" s="57">
        <f>195.52604144002*Deflactores!$S$5</f>
        <v>314.97276086623026</v>
      </c>
    </row>
    <row r="218" spans="3:22" x14ac:dyDescent="0.2">
      <c r="C218" s="87" t="s">
        <v>135</v>
      </c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>
        <f>0*Deflactores!$O$5</f>
        <v>0</v>
      </c>
      <c r="S218" s="56"/>
      <c r="T218" s="56"/>
      <c r="U218" s="56"/>
      <c r="V218" s="56"/>
    </row>
    <row r="219" spans="3:22" x14ac:dyDescent="0.2">
      <c r="C219" s="88" t="s">
        <v>136</v>
      </c>
      <c r="D219" s="57">
        <f>798.85244863519*Deflactores!$A$5</f>
        <v>2974.6972275214243</v>
      </c>
      <c r="E219" s="57">
        <f>882.362316395029*Deflactores!$B$5</f>
        <v>3052.2208740804513</v>
      </c>
      <c r="F219" s="57">
        <f>932.285423039039*Deflactores!$C$5</f>
        <v>3014.1665210706024</v>
      </c>
      <c r="G219" s="57">
        <f>970.15000940488*Deflactores!$D$5</f>
        <v>2945.3903488457549</v>
      </c>
      <c r="H219" s="57">
        <f>1045.88323236434*Deflactores!$E$5</f>
        <v>3009.8657738136958</v>
      </c>
      <c r="I219" s="57">
        <f>1177.03987993141*Deflactores!$F$5</f>
        <v>3230.4667547421677</v>
      </c>
      <c r="J219" s="57">
        <f>1420.59833105359*Deflactores!$G$5</f>
        <v>3731.8206431210519</v>
      </c>
      <c r="K219" s="57">
        <f>1699.51674645094*Deflactores!$H$5</f>
        <v>4223.9880575042844</v>
      </c>
      <c r="L219" s="57">
        <f>2480.8461542376*Deflactores!$I$5</f>
        <v>5726.4400883969465</v>
      </c>
      <c r="M219" s="57">
        <f>3255.2027493876*Deflactores!$J$5</f>
        <v>7366.3960074740189</v>
      </c>
      <c r="N219" s="57">
        <f>2671.26445457996*Deflactores!$K$5</f>
        <v>5859.1596032189991</v>
      </c>
      <c r="O219" s="57">
        <f>2310.74413285298*Deflactores!$L$5</f>
        <v>4886.2963478244155</v>
      </c>
      <c r="P219" s="57">
        <f>2890.67423378021*Deflactores!$M$5</f>
        <v>5967.0204385642473</v>
      </c>
      <c r="Q219" s="57">
        <f>3293.81152937081*Deflactores!$N$5</f>
        <v>6669.7950669030688</v>
      </c>
      <c r="R219" s="57">
        <f>1393.6108504016*Deflactores!$O$5</f>
        <v>2722.3506244519772</v>
      </c>
      <c r="S219" s="57">
        <f>1431.96165097325*Deflactores!$P$5</f>
        <v>2619.8998195631452</v>
      </c>
      <c r="T219" s="57">
        <f>2524.38401739299*Deflactores!$Q$5</f>
        <v>4367.4540392682202</v>
      </c>
      <c r="U219" s="57">
        <f>2729.92320691224*Deflactores!$R$5</f>
        <v>4537.476026169631</v>
      </c>
      <c r="V219" s="57">
        <f>2774.84160507504*Deflactores!$S$5</f>
        <v>4469.9903648644013</v>
      </c>
    </row>
    <row r="220" spans="3:22" x14ac:dyDescent="0.2">
      <c r="C220" s="87" t="s">
        <v>137</v>
      </c>
      <c r="D220" s="56">
        <f>12.58808761883*Deflactores!$A$5</f>
        <v>46.874425187661451</v>
      </c>
      <c r="E220" s="56">
        <f>14.96779146352*Deflactores!$B$5</f>
        <v>51.775789485762665</v>
      </c>
      <c r="F220" s="56">
        <f>19.5871792228099*Deflactores!$C$5</f>
        <v>63.327194007978264</v>
      </c>
      <c r="G220" s="56">
        <f>18.1933918117599*Deflactores!$D$5</f>
        <v>55.235417343343308</v>
      </c>
      <c r="H220" s="56">
        <f>18.10217452864*Deflactores!$E$5</f>
        <v>52.094836076667654</v>
      </c>
      <c r="I220" s="56">
        <f>33.12504473146*Deflactores!$F$5</f>
        <v>90.913959313396006</v>
      </c>
      <c r="J220" s="56">
        <f>37.21920102553*Deflactores!$G$5</f>
        <v>97.772452403581937</v>
      </c>
      <c r="K220" s="56">
        <f>32.17908140063*Deflactores!$H$5</f>
        <v>79.978061894103902</v>
      </c>
      <c r="L220" s="56">
        <f>41.5514843398399*Deflactores!$I$5</f>
        <v>95.911665158930504</v>
      </c>
      <c r="M220" s="56">
        <f>43.22674713283*Deflactores!$J$5</f>
        <v>97.820431478583984</v>
      </c>
      <c r="N220" s="56">
        <f>40.16797283385*Deflactores!$K$5</f>
        <v>88.104554143928652</v>
      </c>
      <c r="O220" s="56">
        <f>39.43950736865*Deflactores!$L$5</f>
        <v>83.39872774122064</v>
      </c>
      <c r="P220" s="56">
        <f>41.3949141521999*Deflactores!$M$5</f>
        <v>85.448680419368884</v>
      </c>
      <c r="Q220" s="56">
        <f>41.30955852849*Deflactores!$N$5</f>
        <v>83.649682816520396</v>
      </c>
      <c r="R220" s="56">
        <f>50.3468920202399*Deflactores!$O$5</f>
        <v>98.350190722911591</v>
      </c>
      <c r="S220" s="56">
        <f>38.27439334002*Deflactores!$P$5</f>
        <v>70.026369866297799</v>
      </c>
      <c r="T220" s="56">
        <f>32.83384441309*Deflactores!$Q$5</f>
        <v>56.806058594344996</v>
      </c>
      <c r="U220" s="56">
        <f>53.64547124358*Deflactores!$R$5</f>
        <v>89.165526364984586</v>
      </c>
      <c r="V220" s="56">
        <f>41.12099318535*Deflactores!$S$5</f>
        <v>66.241778628369104</v>
      </c>
    </row>
    <row r="221" spans="3:22" x14ac:dyDescent="0.2">
      <c r="C221" s="88" t="s">
        <v>138</v>
      </c>
      <c r="D221" s="57">
        <f>12.65461948163*Deflactores!$A$5</f>
        <v>47.122170748373094</v>
      </c>
      <c r="E221" s="57">
        <f>13.53850519388*Deflactores!$B$5</f>
        <v>46.831678312639177</v>
      </c>
      <c r="F221" s="57">
        <f>16.1439956109999*Deflactores!$C$5</f>
        <v>52.19505731234522</v>
      </c>
      <c r="G221" s="57">
        <f>12.36261301013*Deflactores!$D$5</f>
        <v>37.533083227910858</v>
      </c>
      <c r="H221" s="57">
        <f>30.17667131179*Deflactores!$E$5</f>
        <v>86.843088538340709</v>
      </c>
      <c r="I221" s="57">
        <f>15.4170139785299*Deflactores!$F$5</f>
        <v>42.313053248406817</v>
      </c>
      <c r="J221" s="57">
        <f>20.1438654542*Deflactores!$G$5</f>
        <v>52.91664173537648</v>
      </c>
      <c r="K221" s="57">
        <f>57.16140875262*Deflactores!$H$5</f>
        <v>142.06927258904636</v>
      </c>
      <c r="L221" s="57">
        <f>67.52834569987*Deflactores!$I$5</f>
        <v>155.87303761595032</v>
      </c>
      <c r="M221" s="57">
        <f>52.4002814698199*Deflactores!$J$5</f>
        <v>118.57977948759549</v>
      </c>
      <c r="N221" s="57">
        <f>48.17451328292*Deflactores!$K$5</f>
        <v>105.66612438842412</v>
      </c>
      <c r="O221" s="57">
        <f>42.19364808919*Deflactores!$L$5</f>
        <v>89.222629900199024</v>
      </c>
      <c r="P221" s="57">
        <f>25.66003040787*Deflactores!$M$5</f>
        <v>52.968239765194603</v>
      </c>
      <c r="Q221" s="57">
        <f>23.6531412231899*Deflactores!$N$5</f>
        <v>47.896366637993253</v>
      </c>
      <c r="R221" s="57">
        <f>43.64793996951*Deflactores!$O$5</f>
        <v>85.264115587070734</v>
      </c>
      <c r="S221" s="57">
        <f>0*Deflactores!$P$5</f>
        <v>0</v>
      </c>
      <c r="T221" s="57">
        <f>0*Deflactores!$Q$5</f>
        <v>0</v>
      </c>
      <c r="U221" s="57">
        <f>0*Deflactores!$R$5</f>
        <v>0</v>
      </c>
      <c r="V221" s="57">
        <f>0*Deflactores!$S$5</f>
        <v>0</v>
      </c>
    </row>
    <row r="222" spans="3:22" x14ac:dyDescent="0.2">
      <c r="C222" s="87" t="s">
        <v>139</v>
      </c>
      <c r="D222" s="56">
        <f>148.36411422558*Deflactores!$A$5</f>
        <v>552.46537705995024</v>
      </c>
      <c r="E222" s="56">
        <f>155.68723221352*Deflactores!$B$5</f>
        <v>538.5450071478067</v>
      </c>
      <c r="F222" s="56">
        <f>159.30626824197*Deflactores!$C$5</f>
        <v>515.05215941956419</v>
      </c>
      <c r="G222" s="56">
        <f>150.29604847595*Deflactores!$D$5</f>
        <v>456.30111463099473</v>
      </c>
      <c r="H222" s="56">
        <f>158.12669927111*Deflactores!$E$5</f>
        <v>455.06049369041637</v>
      </c>
      <c r="I222" s="56">
        <f>185.23328724771*Deflactores!$F$5</f>
        <v>508.38547319246618</v>
      </c>
      <c r="J222" s="56">
        <f>240.34907325372*Deflactores!$G$5</f>
        <v>631.3815900783361</v>
      </c>
      <c r="K222" s="56">
        <f>278.280318333669*Deflactores!$H$5</f>
        <v>691.63939910246745</v>
      </c>
      <c r="L222" s="56">
        <f>283.582573073839*Deflactores!$I$5</f>
        <v>654.58255524911499</v>
      </c>
      <c r="M222" s="56">
        <f>527.183502705519*Deflactores!$J$5</f>
        <v>1192.995566947925</v>
      </c>
      <c r="N222" s="56">
        <f>468.46674617103*Deflactores!$K$5</f>
        <v>1027.5363900832328</v>
      </c>
      <c r="O222" s="56">
        <f>569.78446145005*Deflactores!$L$5</f>
        <v>1204.8654342326618</v>
      </c>
      <c r="P222" s="56">
        <f>633.897571191219*Deflactores!$M$5</f>
        <v>1308.5112528601296</v>
      </c>
      <c r="Q222" s="56">
        <f>892.23821729789*Deflactores!$N$5</f>
        <v>1806.7354513670775</v>
      </c>
      <c r="R222" s="56">
        <f>786.45859181928*Deflactores!$O$5</f>
        <v>1536.30838761614</v>
      </c>
      <c r="S222" s="56">
        <f>732.64473403149*Deflactores!$P$5</f>
        <v>1340.4379964983054</v>
      </c>
      <c r="T222" s="56">
        <f>676.6686157875*Deflactores!$Q$5</f>
        <v>1170.7089962957391</v>
      </c>
      <c r="U222" s="56">
        <f>543.35123093691*Deflactores!$R$5</f>
        <v>903.11814556666604</v>
      </c>
      <c r="V222" s="56">
        <f>430.574300952149*Deflactores!$S$5</f>
        <v>693.6118346698504</v>
      </c>
    </row>
    <row r="223" spans="3:22" x14ac:dyDescent="0.2">
      <c r="C223" s="88" t="s">
        <v>140</v>
      </c>
      <c r="D223" s="57">
        <f>14.81942101338*Deflactores!$A$5</f>
        <v>55.18327029890051</v>
      </c>
      <c r="E223" s="57">
        <f>12.1527822893699*Deflactores!$B$5</f>
        <v>42.038259219088971</v>
      </c>
      <c r="F223" s="57">
        <f>11.65786612908*Deflactores!$C$5</f>
        <v>37.690978454700627</v>
      </c>
      <c r="G223" s="57">
        <f>10.38971315547*Deflactores!$D$5</f>
        <v>31.543328927213199</v>
      </c>
      <c r="H223" s="57">
        <f>1894.48872946783*Deflactores!$E$5</f>
        <v>5452.0013413071265</v>
      </c>
      <c r="I223" s="57">
        <f>2048.78137616004*Deflactores!$F$5</f>
        <v>5623.0211365528239</v>
      </c>
      <c r="J223" s="57">
        <f>227.83305726537*Deflactores!$G$5</f>
        <v>598.50281934212319</v>
      </c>
      <c r="K223" s="57">
        <f>122.453184029429*Deflactores!$H$5</f>
        <v>304.34580184268498</v>
      </c>
      <c r="L223" s="57">
        <f>216.34388593842*Deflactores!$I$5</f>
        <v>499.37812516152195</v>
      </c>
      <c r="M223" s="57">
        <f>287.84657609256*Deflactores!$J$5</f>
        <v>651.38549950297534</v>
      </c>
      <c r="N223" s="57">
        <f>1066.45535217024*Deflactores!$K$5</f>
        <v>2339.1664226128091</v>
      </c>
      <c r="O223" s="57">
        <f>1059.73001009289*Deflactores!$L$5</f>
        <v>2240.9036138516849</v>
      </c>
      <c r="P223" s="57">
        <f>503.68442937013*Deflactores!$M$5</f>
        <v>1039.7212005130618</v>
      </c>
      <c r="Q223" s="57">
        <f>521.24735687612*Deflactores!$N$5</f>
        <v>1055.498476014114</v>
      </c>
      <c r="R223" s="57">
        <f>537.69130093584*Deflactores!$O$5</f>
        <v>1050.3536539222969</v>
      </c>
      <c r="S223" s="57">
        <f>719.75567546264*Deflactores!$P$5</f>
        <v>1316.8563299111327</v>
      </c>
      <c r="T223" s="57">
        <f>606.651940217569*Deflactores!$Q$5</f>
        <v>1049.572667422198</v>
      </c>
      <c r="U223" s="57">
        <f>605.6442060017*Deflactores!$R$5</f>
        <v>1006.656911873199</v>
      </c>
      <c r="V223" s="57">
        <f>589.26211656381*Deflactores!$S$5</f>
        <v>949.24192379211604</v>
      </c>
    </row>
    <row r="224" spans="3:22" x14ac:dyDescent="0.2">
      <c r="C224" s="87" t="s">
        <v>141</v>
      </c>
      <c r="D224" s="56">
        <f>3.65994243305*Deflactores!$A$5</f>
        <v>13.628575123080948</v>
      </c>
      <c r="E224" s="56">
        <f>4.61355744431*Deflactores!$B$5</f>
        <v>15.958972945290633</v>
      </c>
      <c r="F224" s="56">
        <f>8.66981265944*Deflactores!$C$5</f>
        <v>28.030320346372999</v>
      </c>
      <c r="G224" s="56">
        <f>6.99117091622*Deflactores!$D$5</f>
        <v>21.225302421423592</v>
      </c>
      <c r="H224" s="56">
        <f>8.87624118617999*Deflactores!$E$5</f>
        <v>25.544242148335584</v>
      </c>
      <c r="I224" s="56">
        <f>7.6787925419*Deflactores!$F$5</f>
        <v>21.074973283501308</v>
      </c>
      <c r="J224" s="56">
        <f>19.31408241802*Deflactores!$G$5</f>
        <v>50.736854953963338</v>
      </c>
      <c r="K224" s="56">
        <f>17.49389867318*Deflactores!$H$5</f>
        <v>43.479429802038418</v>
      </c>
      <c r="L224" s="56">
        <f>22.07232825805*Deflactores!$I$5</f>
        <v>50.948691504007243</v>
      </c>
      <c r="M224" s="56">
        <f>23.9100649513799*Deflactores!$J$5</f>
        <v>54.107538164688769</v>
      </c>
      <c r="N224" s="56">
        <f>22.76976506834*Deflactores!$K$5</f>
        <v>49.943272158796049</v>
      </c>
      <c r="O224" s="56">
        <f>18.50892103618*Deflactores!$L$5</f>
        <v>39.138938827292066</v>
      </c>
      <c r="P224" s="56">
        <f>13.30867105253*Deflactores!$M$5</f>
        <v>27.47217630148668</v>
      </c>
      <c r="Q224" s="56">
        <f>17.46960236176*Deflactores!$N$5</f>
        <v>35.375025745775638</v>
      </c>
      <c r="R224" s="56">
        <f>18.1311457184199*Deflactores!$O$5</f>
        <v>35.418306232580079</v>
      </c>
      <c r="S224" s="56">
        <f>23.46684912854*Deflactores!$P$5</f>
        <v>42.934665014102393</v>
      </c>
      <c r="T224" s="56">
        <f>29.65594710643*Deflactores!$Q$5</f>
        <v>51.307956747429721</v>
      </c>
      <c r="U224" s="56">
        <f>16.47969322342*Deflactores!$R$5</f>
        <v>27.391324682893266</v>
      </c>
      <c r="V224" s="56">
        <f>16.09895499432*Deflactores!$S$5</f>
        <v>25.933795131722466</v>
      </c>
    </row>
    <row r="225" spans="2:22" x14ac:dyDescent="0.2">
      <c r="C225" s="88" t="s">
        <v>142</v>
      </c>
      <c r="D225" s="57">
        <f>18.71835071217*Deflactores!$A$5</f>
        <v>69.701765404106169</v>
      </c>
      <c r="E225" s="57">
        <f>21.88453990976*Deflactores!$B$5</f>
        <v>75.701838452393488</v>
      </c>
      <c r="F225" s="57">
        <f>21.28723153766*Deflactores!$C$5</f>
        <v>68.823623153878543</v>
      </c>
      <c r="G225" s="57">
        <f>19.25445616625*Deflactores!$D$5</f>
        <v>58.456825042072836</v>
      </c>
      <c r="H225" s="57">
        <f>26.8234267283*Deflactores!$E$5</f>
        <v>77.193047510092526</v>
      </c>
      <c r="I225" s="57">
        <f>23.24097982223*Deflactores!$F$5</f>
        <v>63.7864646249052</v>
      </c>
      <c r="J225" s="57">
        <f>32.53669336433*Deflactores!$G$5</f>
        <v>85.471805296191064</v>
      </c>
      <c r="K225" s="57">
        <f>38.31809409378*Deflactores!$H$5</f>
        <v>95.235997042365398</v>
      </c>
      <c r="L225" s="57">
        <f>44.13795317569*Deflactores!$I$5</f>
        <v>101.88190994968541</v>
      </c>
      <c r="M225" s="57">
        <f>45.30588674619*Deflactores!$J$5</f>
        <v>102.5254427869326</v>
      </c>
      <c r="N225" s="57">
        <f>71.5926447252699*Deflactores!$K$5</f>
        <v>157.03152532977899</v>
      </c>
      <c r="O225" s="57">
        <f>57.49331174759*Deflactores!$L$5</f>
        <v>121.57527751448958</v>
      </c>
      <c r="P225" s="57">
        <f>70.04693666078*Deflactores!$M$5</f>
        <v>144.59308414255221</v>
      </c>
      <c r="Q225" s="57">
        <f>75.79879258009*Deflactores!$N$5</f>
        <v>153.48856736938637</v>
      </c>
      <c r="R225" s="57">
        <f>101.2239093463*Deflactores!$O$5</f>
        <v>197.73595529839582</v>
      </c>
      <c r="S225" s="57">
        <f>106.531425175149*Deflactores!$P$5</f>
        <v>194.90861462978617</v>
      </c>
      <c r="T225" s="57">
        <f>101.31380135633*Deflactores!$Q$5</f>
        <v>175.28370007043856</v>
      </c>
      <c r="U225" s="57">
        <f>106.42314189073*Deflactores!$R$5</f>
        <v>176.88865889565665</v>
      </c>
      <c r="V225" s="57">
        <f>100.8343345373*Deflactores!$S$5</f>
        <v>162.43395767343472</v>
      </c>
    </row>
    <row r="226" spans="2:22" x14ac:dyDescent="0.2">
      <c r="C226" s="87" t="s">
        <v>143</v>
      </c>
      <c r="D226" s="56">
        <f>0.0585*Deflactores!$A$5</f>
        <v>0.21783720899561584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30.27942238435*Deflactores!$E$5</f>
        <v>87.138787835308932</v>
      </c>
      <c r="I226" s="56">
        <f>4.23428594992999*Deflactores!$F$5</f>
        <v>11.621288475049626</v>
      </c>
      <c r="J226" s="56">
        <f>0*Deflactores!$G$5</f>
        <v>0</v>
      </c>
      <c r="K226" s="56">
        <f>0*Deflactores!$H$5</f>
        <v>0</v>
      </c>
      <c r="L226" s="56">
        <f>0*Deflactores!$I$5</f>
        <v>0</v>
      </c>
      <c r="M226" s="56">
        <f>0*Deflactores!$J$5</f>
        <v>0</v>
      </c>
      <c r="N226" s="56">
        <f>0*Deflactores!$K$5</f>
        <v>0</v>
      </c>
      <c r="O226" s="56">
        <f>0*Deflactores!$L$5</f>
        <v>0</v>
      </c>
      <c r="P226" s="56">
        <f>0.036607469*Deflactores!$M$5</f>
        <v>7.5566285946185849E-2</v>
      </c>
      <c r="Q226" s="56">
        <f>3.487363484*Deflactores!$N$5</f>
        <v>7.0617275926908496</v>
      </c>
      <c r="R226" s="56">
        <f>1.10531429688*Deflactores!$O$5</f>
        <v>2.1591774098629046</v>
      </c>
      <c r="S226" s="56">
        <f>0.221295048*Deflactores!$P$5</f>
        <v>0.40487875910040555</v>
      </c>
      <c r="T226" s="56">
        <f>10.87767284817*Deflactores!$Q$5</f>
        <v>18.81953612891316</v>
      </c>
      <c r="U226" s="56">
        <f>18.85724748255*Deflactores!$R$5</f>
        <v>31.343119159896915</v>
      </c>
      <c r="V226" s="56">
        <f>55.41805192524*Deflactores!$S$5</f>
        <v>89.272900367471195</v>
      </c>
    </row>
    <row r="227" spans="2:22" x14ac:dyDescent="0.2">
      <c r="C227" s="88" t="s">
        <v>144</v>
      </c>
      <c r="D227" s="57">
        <f>0*Deflactores!$A$5</f>
        <v>0</v>
      </c>
      <c r="E227" s="57">
        <f>0*Deflactores!$B$5</f>
        <v>0</v>
      </c>
      <c r="F227" s="57">
        <f>0*Deflactores!$C$5</f>
        <v>0</v>
      </c>
      <c r="G227" s="57">
        <f>0*Deflactores!$D$5</f>
        <v>0</v>
      </c>
      <c r="H227" s="57">
        <f>0*Deflactores!$E$5</f>
        <v>0</v>
      </c>
      <c r="I227" s="57">
        <f>0*Deflactores!$F$5</f>
        <v>0</v>
      </c>
      <c r="J227" s="57">
        <f>0*Deflactores!$G$5</f>
        <v>0</v>
      </c>
      <c r="K227" s="57">
        <f>0*Deflactores!$H$5</f>
        <v>0</v>
      </c>
      <c r="L227" s="57">
        <f>0*Deflactores!$I$5</f>
        <v>0</v>
      </c>
      <c r="M227" s="57">
        <f>0*Deflactores!$J$5</f>
        <v>0</v>
      </c>
      <c r="N227" s="57">
        <f>0*Deflactores!$K$5</f>
        <v>0</v>
      </c>
      <c r="O227" s="57">
        <f>0*Deflactores!$L$5</f>
        <v>0</v>
      </c>
      <c r="P227" s="57">
        <f>0*Deflactores!$M$5</f>
        <v>0</v>
      </c>
      <c r="Q227" s="57">
        <f>0*Deflactores!$N$5</f>
        <v>0</v>
      </c>
      <c r="R227" s="57">
        <f>0*Deflactores!$O$5</f>
        <v>0</v>
      </c>
      <c r="S227" s="57">
        <f>0*Deflactores!$P$5</f>
        <v>0</v>
      </c>
      <c r="T227" s="57">
        <f>0*Deflactores!$Q$5</f>
        <v>0</v>
      </c>
      <c r="U227" s="57">
        <f>0*Deflactores!$R$5</f>
        <v>0</v>
      </c>
      <c r="V227" s="57">
        <f>0*Deflactores!$S$5</f>
        <v>0</v>
      </c>
    </row>
    <row r="228" spans="2:22" x14ac:dyDescent="0.2">
      <c r="C228" s="87" t="s">
        <v>145</v>
      </c>
      <c r="D228" s="56">
        <f>13.19807260786*Deflactores!$A$5</f>
        <v>49.145834205430958</v>
      </c>
      <c r="E228" s="56">
        <f>8.42325491804*Deflactores!$B$5</f>
        <v>29.137276162904989</v>
      </c>
      <c r="F228" s="56">
        <f>25.325727618*Deflactores!$C$5</f>
        <v>81.880461092152245</v>
      </c>
      <c r="G228" s="56">
        <f>10.921438592*Deflactores!$D$5</f>
        <v>33.157655530118639</v>
      </c>
      <c r="H228" s="56">
        <f>8.6644369565*Deflactores!$E$5</f>
        <v>24.934707276816862</v>
      </c>
      <c r="I228" s="56">
        <f>8.457745212*Deflactores!$F$5</f>
        <v>23.212862362010977</v>
      </c>
      <c r="J228" s="56">
        <f>17.87972867322*Deflactores!$G$5</f>
        <v>46.968899721738943</v>
      </c>
      <c r="K228" s="56">
        <f>14.77746589901*Deflactores!$H$5</f>
        <v>36.727993182735567</v>
      </c>
      <c r="L228" s="56">
        <f>15.734713613*Deflactores!$I$5</f>
        <v>36.319823645258886</v>
      </c>
      <c r="M228" s="56">
        <f>27.52228395792*Deflactores!$J$5</f>
        <v>62.281847943981226</v>
      </c>
      <c r="N228" s="56">
        <f>20.700269857*Deflactores!$K$5</f>
        <v>45.404035049363102</v>
      </c>
      <c r="O228" s="56">
        <f>20.30316057643*Deflactores!$L$5</f>
        <v>42.933035277867603</v>
      </c>
      <c r="P228" s="56">
        <f>31.30179109476*Deflactores!$M$5</f>
        <v>64.614139166365433</v>
      </c>
      <c r="Q228" s="56">
        <f>29.54546960946*Deflactores!$N$5</f>
        <v>59.828021637945398</v>
      </c>
      <c r="R228" s="56">
        <f>36.56226580494*Deflactores!$O$5</f>
        <v>71.42259771928029</v>
      </c>
      <c r="S228" s="56">
        <f>46.43256338891*Deflactores!$P$5</f>
        <v>84.952459698749351</v>
      </c>
      <c r="T228" s="56">
        <f>65.40106247224*Deflactores!$Q$5</f>
        <v>113.15082511170513</v>
      </c>
      <c r="U228" s="56">
        <f>75.38742508935*Deflactores!$R$5</f>
        <v>125.30339064170651</v>
      </c>
      <c r="V228" s="56">
        <f>77.23268403459*Deflactores!$S$5</f>
        <v>124.41407569204222</v>
      </c>
    </row>
    <row r="229" spans="2:22" x14ac:dyDescent="0.2">
      <c r="C229" s="88" t="s">
        <v>146</v>
      </c>
      <c r="D229" s="57">
        <f>52.32324760134*Deflactores!$A$5</f>
        <v>194.83675594978558</v>
      </c>
      <c r="E229" s="57">
        <f>52.4834509643899*Deflactores!$B$5</f>
        <v>181.54796686214323</v>
      </c>
      <c r="F229" s="57">
        <f>43.02344105333*Deflactores!$C$5</f>
        <v>139.09883436928044</v>
      </c>
      <c r="G229" s="57">
        <f>35.11699548035*Deflactores!$D$5</f>
        <v>106.6157383554859</v>
      </c>
      <c r="H229" s="57">
        <f>37.5551224230799*Deflactores!$E$5</f>
        <v>108.07695746023271</v>
      </c>
      <c r="I229" s="57">
        <f>40.60443884748*Deflactores!$F$5</f>
        <v>111.44166992828595</v>
      </c>
      <c r="J229" s="57">
        <f>41.96966322855*Deflactores!$G$5</f>
        <v>110.25161173108053</v>
      </c>
      <c r="K229" s="57">
        <f>49.0749189884199*Deflactores!$H$5</f>
        <v>121.97106745959319</v>
      </c>
      <c r="L229" s="57">
        <f>47.43972836685*Deflactores!$I$5</f>
        <v>109.503268406451</v>
      </c>
      <c r="M229" s="57">
        <f>69.6277180176999*Deflactores!$J$5</f>
        <v>157.56479196621595</v>
      </c>
      <c r="N229" s="57">
        <f>104.265259607609*Deflactores!$K$5</f>
        <v>228.69573847869196</v>
      </c>
      <c r="O229" s="57">
        <f>108.938097893028*Deflactores!$L$5</f>
        <v>230.36035115511814</v>
      </c>
      <c r="P229" s="57">
        <f>215.896394363238*Deflactores!$M$5</f>
        <v>445.66011026883479</v>
      </c>
      <c r="Q229" s="57">
        <f>203.875713733393*Deflactores!$N$5</f>
        <v>412.8375948638689</v>
      </c>
      <c r="R229" s="57">
        <f>175.239371134067*Deflactores!$O$5</f>
        <v>342.32153925747838</v>
      </c>
      <c r="S229" s="57">
        <f>228.232417334454*Deflactores!$P$5</f>
        <v>417.57128662390869</v>
      </c>
      <c r="T229" s="57">
        <f>293.920438327549*Deflactores!$Q$5</f>
        <v>508.51375890219754</v>
      </c>
      <c r="U229" s="57">
        <f>265.64739755085*Deflactores!$R$5</f>
        <v>441.5394157422848</v>
      </c>
      <c r="V229" s="57">
        <f>208.28281572499*Deflactores!$S$5</f>
        <v>335.5226394741747</v>
      </c>
    </row>
    <row r="230" spans="2:22" x14ac:dyDescent="0.2">
      <c r="C230" s="90" t="s">
        <v>147</v>
      </c>
      <c r="D230" s="58">
        <f>499.25647124695*Deflactores!$A$5</f>
        <v>1859.0877994775301</v>
      </c>
      <c r="E230" s="58">
        <f>620.70701460627*Deflactores!$B$5</f>
        <v>2147.1167472447269</v>
      </c>
      <c r="F230" s="58">
        <f>579.03204114729*Deflactores!$C$5</f>
        <v>1872.0650885691834</v>
      </c>
      <c r="G230" s="58">
        <f>564.45576160723*Deflactores!$D$5</f>
        <v>1713.6963732115719</v>
      </c>
      <c r="H230" s="58">
        <f>696.24576498816*Deflactores!$E$5</f>
        <v>2003.6713787477365</v>
      </c>
      <c r="I230" s="58">
        <f>744.95558499834*Deflactores!$F$5</f>
        <v>2044.5817445343298</v>
      </c>
      <c r="J230" s="58">
        <f>901.479830882889*Deflactores!$G$5</f>
        <v>2368.1296596702337</v>
      </c>
      <c r="K230" s="58">
        <f>1030.41551293217*Deflactores!$H$5</f>
        <v>2561.000254914688</v>
      </c>
      <c r="L230" s="58">
        <f>1302.54552413503*Deflactores!$I$5</f>
        <v>3006.6148574461249</v>
      </c>
      <c r="M230" s="58">
        <f>1429.16812798872*Deflactores!$J$5</f>
        <v>3234.1513578549966</v>
      </c>
      <c r="N230" s="58">
        <f>1921.02270197129*Deflactores!$K$5</f>
        <v>4213.5770544764964</v>
      </c>
      <c r="O230" s="58">
        <f>1525.4581723887*Deflactores!$L$5</f>
        <v>3225.7317417912755</v>
      </c>
      <c r="P230" s="58">
        <f>2152.96595988887*Deflactores!$M$5</f>
        <v>4444.2198764784007</v>
      </c>
      <c r="Q230" s="58">
        <f>2375.70889424204*Deflactores!$N$5</f>
        <v>4810.6855300977522</v>
      </c>
      <c r="R230" s="58">
        <f>1135.57525320569*Deflactores!$O$5</f>
        <v>2218.2907077580926</v>
      </c>
      <c r="S230" s="58">
        <f>1630.59133960431*Deflactores!$P$5</f>
        <v>2983.3103096769751</v>
      </c>
      <c r="T230" s="58">
        <f>1908.17350631299*Deflactores!$Q$5</f>
        <v>3301.3440230769279</v>
      </c>
      <c r="U230" s="58">
        <f>2050.58480385542*Deflactores!$R$5</f>
        <v>3408.3300817995641</v>
      </c>
      <c r="V230" s="58">
        <f>1851.05280431146*Deflactores!$S$5</f>
        <v>2981.8596438061181</v>
      </c>
    </row>
    <row r="231" spans="2:22" ht="22.5" customHeight="1" x14ac:dyDescent="0.2">
      <c r="C231" s="89" t="s">
        <v>148</v>
      </c>
      <c r="D231" s="59">
        <f>0*Deflactores!$A$5</f>
        <v>0</v>
      </c>
      <c r="E231" s="59">
        <f>0*Deflactores!$B$5</f>
        <v>0</v>
      </c>
      <c r="F231" s="59">
        <f>0*Deflactores!$C$5</f>
        <v>0</v>
      </c>
      <c r="G231" s="59">
        <f>0*Deflactores!$D$5</f>
        <v>0</v>
      </c>
      <c r="H231" s="59">
        <f>0*Deflactores!$E$5</f>
        <v>0</v>
      </c>
      <c r="I231" s="59">
        <f>0*Deflactores!$F$5</f>
        <v>0</v>
      </c>
      <c r="J231" s="59">
        <f>0*Deflactores!$G$5</f>
        <v>0</v>
      </c>
      <c r="K231" s="59">
        <f>0*Deflactores!$H$5</f>
        <v>0</v>
      </c>
      <c r="L231" s="59">
        <f>0*Deflactores!$I$5</f>
        <v>0</v>
      </c>
      <c r="M231" s="59">
        <f>0*Deflactores!$J$5</f>
        <v>0</v>
      </c>
      <c r="N231" s="59">
        <f>0*Deflactores!$K$5</f>
        <v>0</v>
      </c>
      <c r="O231" s="59">
        <f>0*Deflactores!$L$5</f>
        <v>0</v>
      </c>
      <c r="P231" s="59">
        <f>0*Deflactores!$M$5</f>
        <v>0</v>
      </c>
      <c r="Q231" s="59">
        <f>0*Deflactores!$N$5</f>
        <v>0</v>
      </c>
      <c r="R231" s="59">
        <f>0*Deflactores!$O$5</f>
        <v>0</v>
      </c>
      <c r="S231" s="59">
        <f>0*Deflactores!$P$5</f>
        <v>0</v>
      </c>
      <c r="T231" s="59">
        <f>0*Deflactores!$Q$5</f>
        <v>0</v>
      </c>
      <c r="U231" s="59">
        <f>0*Deflactores!$R$5</f>
        <v>0</v>
      </c>
      <c r="V231" s="59">
        <f>0*Deflactores!$S$5</f>
        <v>0</v>
      </c>
    </row>
    <row r="232" spans="2:22" x14ac:dyDescent="0.2">
      <c r="C232" s="87" t="s">
        <v>149</v>
      </c>
      <c r="D232" s="56">
        <f>139.566073269379*Deflactores!$A$5</f>
        <v>519.70399780306229</v>
      </c>
      <c r="E232" s="56">
        <f>127.08253523984*Deflactores!$B$5</f>
        <v>439.59715820009092</v>
      </c>
      <c r="F232" s="56">
        <f>105.267459437939*Deflactores!$C$5</f>
        <v>340.33960432598855</v>
      </c>
      <c r="G232" s="56">
        <f>109.14518883255*Deflactores!$D$5</f>
        <v>331.36647187948086</v>
      </c>
      <c r="H232" s="56">
        <f>192.06696260422*Deflactores!$E$5</f>
        <v>552.73453014056304</v>
      </c>
      <c r="I232" s="56">
        <f>54.60220148942*Deflactores!$F$5</f>
        <v>149.85949045123556</v>
      </c>
      <c r="J232" s="56">
        <f>225.85112626493*Deflactores!$G$5</f>
        <v>593.29641380228406</v>
      </c>
      <c r="K232" s="56">
        <f>350.438187349999*Deflactores!$H$5</f>
        <v>870.98095464549465</v>
      </c>
      <c r="L232" s="56">
        <f>401.095495993*Deflactores!$I$5</f>
        <v>925.83303628339138</v>
      </c>
      <c r="M232" s="56">
        <f>595.44009923277*Deflactores!$J$5</f>
        <v>1347.4575648178577</v>
      </c>
      <c r="N232" s="56">
        <f>588.28136373227*Deflactores!$K$5</f>
        <v>1290.3381377298688</v>
      </c>
      <c r="O232" s="56">
        <f>790.33119014643*Deflactores!$L$5</f>
        <v>1671.2332417420141</v>
      </c>
      <c r="P232" s="56">
        <f>787.76145510234*Deflactores!$M$5</f>
        <v>1626.1219089920389</v>
      </c>
      <c r="Q232" s="56">
        <f>1040.98618919519*Deflactores!$N$5</f>
        <v>2107.9422691603122</v>
      </c>
      <c r="R232" s="56">
        <f>1495.34176767823*Deflactores!$O$5</f>
        <v>2921.0769949407677</v>
      </c>
      <c r="S232" s="56">
        <f>1219.1267919902*Deflactores!$P$5</f>
        <v>2230.4997205678569</v>
      </c>
      <c r="T232" s="56">
        <f>1010.71881574076*Deflactores!$Q$5</f>
        <v>1748.6515300196388</v>
      </c>
      <c r="U232" s="56">
        <f>981.055436224099*Deflactores!$R$5</f>
        <v>1630.6376351315964</v>
      </c>
      <c r="V232" s="56">
        <f>1112.42150529586*Deflactores!$S$5</f>
        <v>1791.9990104105334</v>
      </c>
    </row>
    <row r="233" spans="2:22" x14ac:dyDescent="0.2">
      <c r="C233" s="88" t="s">
        <v>150</v>
      </c>
      <c r="D233" s="57">
        <f>353.955766192339*Deflactores!$A$5</f>
        <v>1318.0296788930577</v>
      </c>
      <c r="E233" s="57">
        <f>582.440241523979*Deflactores!$B$5</f>
        <v>2014.7463576493733</v>
      </c>
      <c r="F233" s="57">
        <f>490.27121793148*Deflactores!$C$5</f>
        <v>1585.0929927837087</v>
      </c>
      <c r="G233" s="57">
        <f>513.28274558706*Deflactores!$D$5</f>
        <v>1558.3343095657685</v>
      </c>
      <c r="H233" s="57">
        <f>484.041176842189*Deflactores!$E$5</f>
        <v>1392.9843468283914</v>
      </c>
      <c r="I233" s="57">
        <f>445.9750613873*Deflactores!$F$5</f>
        <v>1224.0091723482851</v>
      </c>
      <c r="J233" s="57">
        <f>543.41879807326*Deflactores!$G$5</f>
        <v>1427.5263064724245</v>
      </c>
      <c r="K233" s="57">
        <f>613.04963175731*Deflactores!$H$5</f>
        <v>1523.6768502622274</v>
      </c>
      <c r="L233" s="57">
        <f>638.496980812689*Deflactores!$I$5</f>
        <v>1473.817592840551</v>
      </c>
      <c r="M233" s="57">
        <f>689.22571005475*Deflactores!$J$5</f>
        <v>1559.6907196490022</v>
      </c>
      <c r="N233" s="57">
        <f>785.418301587579*Deflactores!$K$5</f>
        <v>1722.7388985769433</v>
      </c>
      <c r="O233" s="57">
        <f>380.641325773349*Deflactores!$L$5</f>
        <v>804.90362109498699</v>
      </c>
      <c r="P233" s="57">
        <f>688.167037172011*Deflactores!$M$5</f>
        <v>1420.5359870599002</v>
      </c>
      <c r="Q233" s="57">
        <f>739.49467804159*Deflactores!$N$5</f>
        <v>1497.4378198697491</v>
      </c>
      <c r="R233" s="57">
        <f>1007.10550095219*Deflactores!$O$5</f>
        <v>1967.3313311360455</v>
      </c>
      <c r="S233" s="57">
        <f>1076.504588593*Deflactores!$P$5</f>
        <v>1969.5598520371161</v>
      </c>
      <c r="T233" s="57">
        <f>1057.517455367*Deflactores!$Q$5</f>
        <v>1829.6181762428866</v>
      </c>
      <c r="U233" s="57">
        <f>1633.0119326696*Deflactores!$R$5</f>
        <v>2714.2714037433543</v>
      </c>
      <c r="V233" s="57">
        <f>1620.14685481182*Deflactores!$S$5</f>
        <v>2609.8934142507037</v>
      </c>
    </row>
    <row r="234" spans="2:22" x14ac:dyDescent="0.2">
      <c r="C234" s="87" t="s">
        <v>151</v>
      </c>
      <c r="D234" s="56">
        <f>24.758258785*Deflactores!$A$5</f>
        <v>92.192649458386086</v>
      </c>
      <c r="E234" s="56">
        <f>16.7964772227*Deflactores!$B$5</f>
        <v>58.10148216618763</v>
      </c>
      <c r="F234" s="56">
        <f>6.44750666944*Deflactores!$C$5</f>
        <v>20.845395913255302</v>
      </c>
      <c r="G234" s="56">
        <f>6.84004114453*Deflactores!$D$5</f>
        <v>20.766470110292605</v>
      </c>
      <c r="H234" s="56">
        <f>11.08497780221*Deflactores!$E$5</f>
        <v>31.900592970529406</v>
      </c>
      <c r="I234" s="56">
        <f>7.22431628364*Deflactores!$F$5</f>
        <v>19.827631992725248</v>
      </c>
      <c r="J234" s="56">
        <f>9.91762342587*Deflactores!$G$5</f>
        <v>26.052960236771114</v>
      </c>
      <c r="K234" s="56">
        <f>13.86999891267*Deflactores!$H$5</f>
        <v>34.472569856731752</v>
      </c>
      <c r="L234" s="56">
        <f>0*Deflactores!$I$5</f>
        <v>0</v>
      </c>
      <c r="M234" s="56">
        <f>0*Deflactores!$J$5</f>
        <v>0</v>
      </c>
      <c r="N234" s="56">
        <f>0*Deflactores!$K$5</f>
        <v>0</v>
      </c>
      <c r="O234" s="56">
        <f>0*Deflactores!$L$5</f>
        <v>0</v>
      </c>
      <c r="P234" s="56">
        <f>0*Deflactores!$M$5</f>
        <v>0</v>
      </c>
      <c r="Q234" s="56">
        <f>0*Deflactores!$N$5</f>
        <v>0</v>
      </c>
      <c r="R234" s="56">
        <f>0*Deflactores!$O$5</f>
        <v>0</v>
      </c>
      <c r="S234" s="56">
        <f>0*Deflactores!$P$5</f>
        <v>0</v>
      </c>
      <c r="T234" s="56">
        <f>0*Deflactores!$Q$5</f>
        <v>0</v>
      </c>
      <c r="U234" s="56">
        <f>0*Deflactores!$R$5</f>
        <v>0</v>
      </c>
      <c r="V234" s="56">
        <f>0*Deflactores!$S$5</f>
        <v>0</v>
      </c>
    </row>
    <row r="235" spans="2:22" x14ac:dyDescent="0.2">
      <c r="C235" s="79" t="s">
        <v>152</v>
      </c>
      <c r="D235" s="44">
        <f t="shared" ref="D235:V235" si="63">+SUM(D206:D234)</f>
        <v>10739.899475914079</v>
      </c>
      <c r="E235" s="44">
        <f t="shared" si="63"/>
        <v>12003.820836528161</v>
      </c>
      <c r="F235" s="44">
        <f t="shared" si="63"/>
        <v>11261.238983573645</v>
      </c>
      <c r="G235" s="44">
        <f t="shared" si="63"/>
        <v>10861.863114872696</v>
      </c>
      <c r="H235" s="44">
        <f t="shared" si="63"/>
        <v>16771.432039545463</v>
      </c>
      <c r="I235" s="44">
        <f t="shared" si="63"/>
        <v>16738.925528576448</v>
      </c>
      <c r="J235" s="44">
        <f t="shared" si="63"/>
        <v>12802.549855471412</v>
      </c>
      <c r="K235" s="44">
        <f t="shared" si="63"/>
        <v>14115.85382899805</v>
      </c>
      <c r="L235" s="44">
        <f t="shared" si="63"/>
        <v>16266.199659623086</v>
      </c>
      <c r="M235" s="44">
        <f t="shared" si="63"/>
        <v>19945.426433418132</v>
      </c>
      <c r="N235" s="44">
        <f t="shared" si="63"/>
        <v>21412.8762307795</v>
      </c>
      <c r="O235" s="44">
        <f t="shared" si="63"/>
        <v>18617.517951102833</v>
      </c>
      <c r="P235" s="44">
        <f t="shared" si="63"/>
        <v>20729.050812221569</v>
      </c>
      <c r="Q235" s="44">
        <f t="shared" si="63"/>
        <v>23123.116590648471</v>
      </c>
      <c r="R235" s="44">
        <f t="shared" si="63"/>
        <v>17600.014283032498</v>
      </c>
      <c r="S235" s="44">
        <f t="shared" si="63"/>
        <v>17752.306932364976</v>
      </c>
      <c r="T235" s="44">
        <f t="shared" si="63"/>
        <v>19020.032365754272</v>
      </c>
      <c r="U235" s="44">
        <f t="shared" si="63"/>
        <v>19781.662613842862</v>
      </c>
      <c r="V235" s="44">
        <f t="shared" si="63"/>
        <v>18775.535358951303</v>
      </c>
    </row>
    <row r="236" spans="2:22" x14ac:dyDescent="0.2">
      <c r="C236" s="1" t="s">
        <v>52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customHeight="1" x14ac:dyDescent="0.2">
      <c r="D240" s="155" t="s">
        <v>177</v>
      </c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</row>
    <row r="241" spans="3:22" ht="6.75" customHeight="1" x14ac:dyDescent="0.2">
      <c r="H241" s="27"/>
      <c r="I241" s="27"/>
      <c r="J241" s="27"/>
      <c r="L241" s="177"/>
      <c r="M241" s="156"/>
      <c r="N241" s="156"/>
      <c r="O241" s="156"/>
      <c r="P241" s="156"/>
      <c r="Q241" s="156"/>
      <c r="R241" s="28"/>
      <c r="S241" s="28"/>
      <c r="T241" s="28"/>
      <c r="U241" s="28"/>
      <c r="V241" s="28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76" t="s">
        <v>120</v>
      </c>
      <c r="D243" s="153">
        <v>2000</v>
      </c>
      <c r="E243" s="153">
        <v>2001</v>
      </c>
      <c r="F243" s="153">
        <v>2002</v>
      </c>
      <c r="G243" s="153">
        <v>2003</v>
      </c>
      <c r="H243" s="153">
        <v>2004</v>
      </c>
      <c r="I243" s="153">
        <v>2005</v>
      </c>
      <c r="J243" s="153">
        <v>2006</v>
      </c>
      <c r="K243" s="153">
        <v>2007</v>
      </c>
      <c r="L243" s="153">
        <v>2008</v>
      </c>
      <c r="M243" s="153">
        <v>2009</v>
      </c>
      <c r="N243" s="153">
        <v>2010</v>
      </c>
      <c r="O243" s="153">
        <v>2011</v>
      </c>
      <c r="P243" s="153">
        <v>2012</v>
      </c>
      <c r="Q243" s="153">
        <v>2013</v>
      </c>
      <c r="R243" s="153">
        <v>2014</v>
      </c>
      <c r="S243" s="153">
        <v>2015</v>
      </c>
      <c r="T243" s="153">
        <v>2016</v>
      </c>
      <c r="U243" s="153">
        <v>2017</v>
      </c>
      <c r="V243" s="153">
        <v>2018</v>
      </c>
    </row>
    <row r="244" spans="3:22" ht="12" customHeight="1" thickBot="1" x14ac:dyDescent="0.25">
      <c r="C244" s="160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</row>
    <row r="245" spans="3:22" x14ac:dyDescent="0.2">
      <c r="C245" s="87" t="s">
        <v>123</v>
      </c>
      <c r="D245" s="60">
        <f t="shared" ref="D245:V245" si="64">+IFERROR(IF(D206&gt;0,+((D206/D13)*100)," "),"")</f>
        <v>56.313260486198459</v>
      </c>
      <c r="E245" s="60">
        <f t="shared" si="64"/>
        <v>52.275303060451762</v>
      </c>
      <c r="F245" s="60">
        <f t="shared" si="64"/>
        <v>78.046409487715295</v>
      </c>
      <c r="G245" s="60">
        <f t="shared" si="64"/>
        <v>66.92590796438401</v>
      </c>
      <c r="H245" s="60">
        <f t="shared" si="64"/>
        <v>45.763201077671752</v>
      </c>
      <c r="I245" s="60">
        <f t="shared" si="64"/>
        <v>78.801549257294894</v>
      </c>
      <c r="J245" s="60">
        <f t="shared" si="64"/>
        <v>66.279044158542206</v>
      </c>
      <c r="K245" s="60">
        <f t="shared" si="64"/>
        <v>84.526551316864285</v>
      </c>
      <c r="L245" s="60">
        <f t="shared" si="64"/>
        <v>84.282565598653463</v>
      </c>
      <c r="M245" s="60">
        <f t="shared" si="64"/>
        <v>67.547290624664896</v>
      </c>
      <c r="N245" s="60">
        <f t="shared" si="64"/>
        <v>78.471301503149576</v>
      </c>
      <c r="O245" s="60">
        <f t="shared" si="64"/>
        <v>53.846177000857679</v>
      </c>
      <c r="P245" s="60">
        <f t="shared" si="64"/>
        <v>74.298019558969315</v>
      </c>
      <c r="Q245" s="60">
        <f t="shared" si="64"/>
        <v>63.223122557421384</v>
      </c>
      <c r="R245" s="60">
        <f t="shared" si="64"/>
        <v>74.035580816998873</v>
      </c>
      <c r="S245" s="60">
        <f t="shared" si="64"/>
        <v>64.596598443471223</v>
      </c>
      <c r="T245" s="60">
        <f t="shared" si="64"/>
        <v>87.647271436308273</v>
      </c>
      <c r="U245" s="60">
        <f t="shared" si="64"/>
        <v>88.543225087555768</v>
      </c>
      <c r="V245" s="60">
        <f t="shared" si="64"/>
        <v>83.767760191887589</v>
      </c>
    </row>
    <row r="246" spans="3:22" x14ac:dyDescent="0.2">
      <c r="C246" s="88" t="s">
        <v>124</v>
      </c>
      <c r="D246" s="62">
        <f t="shared" ref="D246:V246" si="65">+IFERROR(IF(D207&gt;0,+((D207/D14)*100)," "),"")</f>
        <v>43.739809960934075</v>
      </c>
      <c r="E246" s="62">
        <f t="shared" si="65"/>
        <v>26.762048084415586</v>
      </c>
      <c r="F246" s="62">
        <f t="shared" si="65"/>
        <v>43.179169468019253</v>
      </c>
      <c r="G246" s="62">
        <f t="shared" si="65"/>
        <v>33.705619655992301</v>
      </c>
      <c r="H246" s="62">
        <f t="shared" si="65"/>
        <v>22.654770698161396</v>
      </c>
      <c r="I246" s="62">
        <f t="shared" si="65"/>
        <v>55.830461300946389</v>
      </c>
      <c r="J246" s="62">
        <f t="shared" si="65"/>
        <v>66.288783659173262</v>
      </c>
      <c r="K246" s="62">
        <f t="shared" si="65"/>
        <v>78.070915566425384</v>
      </c>
      <c r="L246" s="62">
        <f t="shared" si="65"/>
        <v>67.595118027661769</v>
      </c>
      <c r="M246" s="62">
        <f t="shared" si="65"/>
        <v>74.082523029489337</v>
      </c>
      <c r="N246" s="62">
        <f t="shared" si="65"/>
        <v>73.230839858023444</v>
      </c>
      <c r="O246" s="62">
        <f t="shared" si="65"/>
        <v>74.153479076073808</v>
      </c>
      <c r="P246" s="62">
        <f t="shared" si="65"/>
        <v>80.157042107737041</v>
      </c>
      <c r="Q246" s="62">
        <f t="shared" si="65"/>
        <v>74.370779722845583</v>
      </c>
      <c r="R246" s="62">
        <f t="shared" si="65"/>
        <v>80.45899654198675</v>
      </c>
      <c r="S246" s="62">
        <f t="shared" si="65"/>
        <v>71.462796424249134</v>
      </c>
      <c r="T246" s="62">
        <f t="shared" si="65"/>
        <v>83.995280951245888</v>
      </c>
      <c r="U246" s="62">
        <f t="shared" si="65"/>
        <v>88.204530891330322</v>
      </c>
      <c r="V246" s="62">
        <f t="shared" si="65"/>
        <v>95.052834657178209</v>
      </c>
    </row>
    <row r="247" spans="3:22" x14ac:dyDescent="0.2">
      <c r="C247" s="87" t="s">
        <v>125</v>
      </c>
      <c r="D247" s="60">
        <f t="shared" ref="D247:V247" si="66">+IFERROR(IF(D208&gt;0,+((D208/D15)*100)," "),"")</f>
        <v>45.595400582183657</v>
      </c>
      <c r="E247" s="60">
        <f t="shared" si="66"/>
        <v>32.792224905276449</v>
      </c>
      <c r="F247" s="60">
        <f t="shared" si="66"/>
        <v>40.327333593281942</v>
      </c>
      <c r="G247" s="60">
        <f t="shared" si="66"/>
        <v>13.181369607600413</v>
      </c>
      <c r="H247" s="60">
        <f t="shared" si="66"/>
        <v>10.332093624802461</v>
      </c>
      <c r="I247" s="60">
        <f t="shared" si="66"/>
        <v>28.011295056740593</v>
      </c>
      <c r="J247" s="60">
        <f t="shared" si="66"/>
        <v>3.790227333530634</v>
      </c>
      <c r="K247" s="60">
        <f t="shared" si="66"/>
        <v>33.312401990709859</v>
      </c>
      <c r="L247" s="60">
        <f t="shared" si="66"/>
        <v>28.700853182679946</v>
      </c>
      <c r="M247" s="60">
        <f t="shared" si="66"/>
        <v>90.720005825894006</v>
      </c>
      <c r="N247" s="60" t="str">
        <f t="shared" si="66"/>
        <v xml:space="preserve"> </v>
      </c>
      <c r="O247" s="60" t="str">
        <f t="shared" si="66"/>
        <v xml:space="preserve"> </v>
      </c>
      <c r="P247" s="60" t="str">
        <f t="shared" si="66"/>
        <v xml:space="preserve"> </v>
      </c>
      <c r="Q247" s="60" t="str">
        <f t="shared" si="66"/>
        <v xml:space="preserve"> </v>
      </c>
      <c r="R247" s="60" t="str">
        <f t="shared" si="66"/>
        <v xml:space="preserve"> </v>
      </c>
      <c r="S247" s="60" t="str">
        <f t="shared" si="66"/>
        <v xml:space="preserve"> </v>
      </c>
      <c r="T247" s="60" t="str">
        <f t="shared" si="66"/>
        <v xml:space="preserve"> </v>
      </c>
      <c r="U247" s="60" t="str">
        <f t="shared" si="66"/>
        <v xml:space="preserve"> </v>
      </c>
      <c r="V247" s="60" t="str">
        <f t="shared" si="66"/>
        <v xml:space="preserve"> </v>
      </c>
    </row>
    <row r="248" spans="3:22" x14ac:dyDescent="0.2">
      <c r="C248" s="88" t="s">
        <v>126</v>
      </c>
      <c r="D248" s="62">
        <f t="shared" ref="D248:V248" si="67">+IFERROR(IF(D209&gt;0,+((D209/D16)*100)," "),"")</f>
        <v>94.04808381654091</v>
      </c>
      <c r="E248" s="62">
        <f t="shared" si="67"/>
        <v>83.041134625874008</v>
      </c>
      <c r="F248" s="62">
        <f t="shared" si="67"/>
        <v>75.689729473616197</v>
      </c>
      <c r="G248" s="62">
        <f t="shared" si="67"/>
        <v>87.4350422852566</v>
      </c>
      <c r="H248" s="62">
        <f t="shared" si="67"/>
        <v>81.349718286002044</v>
      </c>
      <c r="I248" s="62">
        <f t="shared" si="67"/>
        <v>84.454773256353562</v>
      </c>
      <c r="J248" s="62">
        <f t="shared" si="67"/>
        <v>85.150918710533432</v>
      </c>
      <c r="K248" s="62">
        <f t="shared" si="67"/>
        <v>87.95147512677103</v>
      </c>
      <c r="L248" s="62">
        <f t="shared" si="67"/>
        <v>87.179806900785479</v>
      </c>
      <c r="M248" s="62">
        <f t="shared" si="67"/>
        <v>90.606217333651358</v>
      </c>
      <c r="N248" s="62">
        <f t="shared" si="67"/>
        <v>87.447647803392513</v>
      </c>
      <c r="O248" s="62">
        <f t="shared" si="67"/>
        <v>77.793134373730325</v>
      </c>
      <c r="P248" s="62">
        <f t="shared" si="67"/>
        <v>81.480982327031242</v>
      </c>
      <c r="Q248" s="62">
        <f t="shared" si="67"/>
        <v>79.776975595306794</v>
      </c>
      <c r="R248" s="62">
        <f t="shared" si="67"/>
        <v>87.56337204653407</v>
      </c>
      <c r="S248" s="62">
        <f t="shared" si="67"/>
        <v>89.997073205732818</v>
      </c>
      <c r="T248" s="62">
        <f t="shared" si="67"/>
        <v>92.904105909541912</v>
      </c>
      <c r="U248" s="62">
        <f t="shared" si="67"/>
        <v>91.286200309858074</v>
      </c>
      <c r="V248" s="62">
        <f t="shared" si="67"/>
        <v>90.887217168676059</v>
      </c>
    </row>
    <row r="249" spans="3:22" x14ac:dyDescent="0.2">
      <c r="C249" s="87" t="s">
        <v>127</v>
      </c>
      <c r="D249" s="60" t="str">
        <f t="shared" ref="D249:V249" si="68">+IFERROR(IF(D210&gt;0,+((D210/D17)*100)," "),"")</f>
        <v xml:space="preserve"> </v>
      </c>
      <c r="E249" s="60" t="str">
        <f t="shared" si="68"/>
        <v xml:space="preserve"> </v>
      </c>
      <c r="F249" s="60" t="str">
        <f t="shared" si="68"/>
        <v xml:space="preserve"> </v>
      </c>
      <c r="G249" s="60" t="str">
        <f t="shared" si="68"/>
        <v xml:space="preserve"> </v>
      </c>
      <c r="H249" s="60" t="str">
        <f t="shared" si="68"/>
        <v xml:space="preserve"> </v>
      </c>
      <c r="I249" s="60" t="str">
        <f t="shared" si="68"/>
        <v xml:space="preserve"> </v>
      </c>
      <c r="J249" s="60" t="str">
        <f t="shared" si="68"/>
        <v xml:space="preserve"> </v>
      </c>
      <c r="K249" s="60" t="str">
        <f t="shared" si="68"/>
        <v xml:space="preserve"> </v>
      </c>
      <c r="L249" s="60" t="str">
        <f t="shared" si="68"/>
        <v xml:space="preserve"> </v>
      </c>
      <c r="M249" s="60" t="str">
        <f t="shared" si="68"/>
        <v xml:space="preserve"> </v>
      </c>
      <c r="N249" s="60" t="str">
        <f t="shared" si="68"/>
        <v xml:space="preserve"> </v>
      </c>
      <c r="O249" s="60" t="str">
        <f t="shared" si="68"/>
        <v xml:space="preserve"> </v>
      </c>
      <c r="P249" s="60" t="str">
        <f t="shared" si="68"/>
        <v xml:space="preserve"> </v>
      </c>
      <c r="Q249" s="60" t="str">
        <f t="shared" si="68"/>
        <v xml:space="preserve"> </v>
      </c>
      <c r="R249" s="60" t="str">
        <f t="shared" si="68"/>
        <v xml:space="preserve"> </v>
      </c>
      <c r="S249" s="60" t="str">
        <f t="shared" si="68"/>
        <v xml:space="preserve"> </v>
      </c>
      <c r="T249" s="60" t="str">
        <f t="shared" si="68"/>
        <v xml:space="preserve"> </v>
      </c>
      <c r="U249" s="60" t="str">
        <f t="shared" si="68"/>
        <v xml:space="preserve"> </v>
      </c>
      <c r="V249" s="60" t="str">
        <f t="shared" si="68"/>
        <v xml:space="preserve"> </v>
      </c>
    </row>
    <row r="250" spans="3:22" x14ac:dyDescent="0.2">
      <c r="C250" s="88" t="s">
        <v>128</v>
      </c>
      <c r="D250" s="62">
        <f t="shared" ref="D250:V250" si="69">+IFERROR(IF(D211&gt;0,+((D211/D18)*100)," "),"")</f>
        <v>80.163487340653049</v>
      </c>
      <c r="E250" s="62">
        <f t="shared" si="69"/>
        <v>82.198815828070067</v>
      </c>
      <c r="F250" s="62">
        <f t="shared" si="69"/>
        <v>74.189484445591731</v>
      </c>
      <c r="G250" s="62">
        <f t="shared" si="69"/>
        <v>53.59285572298883</v>
      </c>
      <c r="H250" s="62">
        <f t="shared" si="69"/>
        <v>50.917583069526017</v>
      </c>
      <c r="I250" s="62">
        <f t="shared" si="69"/>
        <v>61.755679522397855</v>
      </c>
      <c r="J250" s="62">
        <f t="shared" si="69"/>
        <v>13.483791395540983</v>
      </c>
      <c r="K250" s="62">
        <f t="shared" si="69"/>
        <v>45.786228461746894</v>
      </c>
      <c r="L250" s="62">
        <f t="shared" si="69"/>
        <v>67.222068096108984</v>
      </c>
      <c r="M250" s="62">
        <f t="shared" si="69"/>
        <v>32.436473561329741</v>
      </c>
      <c r="N250" s="62">
        <f t="shared" si="69"/>
        <v>78.895772183462313</v>
      </c>
      <c r="O250" s="62">
        <f t="shared" si="69"/>
        <v>74.153301249393706</v>
      </c>
      <c r="P250" s="62">
        <f t="shared" si="69"/>
        <v>90.455634295991842</v>
      </c>
      <c r="Q250" s="62">
        <f t="shared" si="69"/>
        <v>84.921168421735629</v>
      </c>
      <c r="R250" s="62">
        <f t="shared" si="69"/>
        <v>91.097372689057806</v>
      </c>
      <c r="S250" s="62">
        <f t="shared" si="69"/>
        <v>74.743068517931164</v>
      </c>
      <c r="T250" s="62">
        <f t="shared" si="69"/>
        <v>91.675551876892541</v>
      </c>
      <c r="U250" s="62">
        <f t="shared" si="69"/>
        <v>92.569687956106293</v>
      </c>
      <c r="V250" s="62">
        <f t="shared" si="69"/>
        <v>91.621984230757235</v>
      </c>
    </row>
    <row r="251" spans="3:22" x14ac:dyDescent="0.2">
      <c r="C251" s="87" t="s">
        <v>129</v>
      </c>
      <c r="D251" s="60">
        <f t="shared" ref="D251:V251" si="70">+IFERROR(IF(D212&gt;0,+((D212/D19)*100)," "),"")</f>
        <v>69.267109144825241</v>
      </c>
      <c r="E251" s="60">
        <f t="shared" si="70"/>
        <v>75.707683341149917</v>
      </c>
      <c r="F251" s="60">
        <f t="shared" si="70"/>
        <v>72.518563883569556</v>
      </c>
      <c r="G251" s="60">
        <f t="shared" si="70"/>
        <v>75.911896833365901</v>
      </c>
      <c r="H251" s="60">
        <f t="shared" si="70"/>
        <v>79.305130903406734</v>
      </c>
      <c r="I251" s="60">
        <f t="shared" si="70"/>
        <v>77.41183939099551</v>
      </c>
      <c r="J251" s="60">
        <f t="shared" si="70"/>
        <v>65.394706763478567</v>
      </c>
      <c r="K251" s="60">
        <f t="shared" si="70"/>
        <v>82.785523750772398</v>
      </c>
      <c r="L251" s="60">
        <f t="shared" si="70"/>
        <v>86.695981890020448</v>
      </c>
      <c r="M251" s="60">
        <f t="shared" si="70"/>
        <v>83.392946528919097</v>
      </c>
      <c r="N251" s="60">
        <f t="shared" si="70"/>
        <v>85.644585777008842</v>
      </c>
      <c r="O251" s="60">
        <f t="shared" si="70"/>
        <v>75.458491674018617</v>
      </c>
      <c r="P251" s="60">
        <f t="shared" si="70"/>
        <v>73.063488072133083</v>
      </c>
      <c r="Q251" s="60">
        <f t="shared" si="70"/>
        <v>74.547238053503918</v>
      </c>
      <c r="R251" s="60">
        <f t="shared" si="70"/>
        <v>80.387743389410247</v>
      </c>
      <c r="S251" s="60">
        <f t="shared" si="70"/>
        <v>79.543466048779919</v>
      </c>
      <c r="T251" s="60">
        <f t="shared" si="70"/>
        <v>84.51229002515737</v>
      </c>
      <c r="U251" s="60">
        <f t="shared" si="70"/>
        <v>87.686044082189511</v>
      </c>
      <c r="V251" s="60">
        <f t="shared" si="70"/>
        <v>83.559919975059685</v>
      </c>
    </row>
    <row r="252" spans="3:22" x14ac:dyDescent="0.2">
      <c r="C252" s="88" t="s">
        <v>130</v>
      </c>
      <c r="D252" s="62">
        <f t="shared" ref="D252:V252" si="71">+IFERROR(IF(D213&gt;0,+((D213/D20)*100)," "),"")</f>
        <v>73.428092739234415</v>
      </c>
      <c r="E252" s="62">
        <f t="shared" si="71"/>
        <v>74.681216071764567</v>
      </c>
      <c r="F252" s="62">
        <f t="shared" si="71"/>
        <v>47.078652933886531</v>
      </c>
      <c r="G252" s="62">
        <f t="shared" si="71"/>
        <v>64.276370682826638</v>
      </c>
      <c r="H252" s="62">
        <f t="shared" si="71"/>
        <v>46.967130039141161</v>
      </c>
      <c r="I252" s="62">
        <f t="shared" si="71"/>
        <v>79.923913307695244</v>
      </c>
      <c r="J252" s="62">
        <f t="shared" si="71"/>
        <v>83.250260495232197</v>
      </c>
      <c r="K252" s="62">
        <f t="shared" si="71"/>
        <v>86.63886629636805</v>
      </c>
      <c r="L252" s="62">
        <f t="shared" si="71"/>
        <v>82.81289528545868</v>
      </c>
      <c r="M252" s="62">
        <f t="shared" si="71"/>
        <v>57.465901235985072</v>
      </c>
      <c r="N252" s="62">
        <f t="shared" si="71"/>
        <v>82.446692532602199</v>
      </c>
      <c r="O252" s="62">
        <f t="shared" si="71"/>
        <v>65.702226840516829</v>
      </c>
      <c r="P252" s="62" t="str">
        <f t="shared" si="71"/>
        <v xml:space="preserve"> </v>
      </c>
      <c r="Q252" s="62" t="str">
        <f t="shared" si="71"/>
        <v xml:space="preserve"> </v>
      </c>
      <c r="R252" s="62" t="str">
        <f t="shared" si="71"/>
        <v xml:space="preserve"> </v>
      </c>
      <c r="S252" s="62" t="str">
        <f t="shared" si="71"/>
        <v xml:space="preserve"> </v>
      </c>
      <c r="T252" s="62" t="str">
        <f t="shared" si="71"/>
        <v xml:space="preserve"> </v>
      </c>
      <c r="U252" s="62" t="str">
        <f t="shared" si="71"/>
        <v xml:space="preserve"> </v>
      </c>
      <c r="V252" s="62" t="str">
        <f t="shared" si="71"/>
        <v xml:space="preserve"> </v>
      </c>
    </row>
    <row r="253" spans="3:22" x14ac:dyDescent="0.2">
      <c r="C253" s="87" t="s">
        <v>131</v>
      </c>
      <c r="D253" s="60">
        <f t="shared" ref="D253:V253" si="72">+IFERROR(IF(D214&gt;0,+((D214/D21)*100)," "),"")</f>
        <v>84.226702668897531</v>
      </c>
      <c r="E253" s="60">
        <f t="shared" si="72"/>
        <v>87.762165143200193</v>
      </c>
      <c r="F253" s="60">
        <f t="shared" si="72"/>
        <v>84.316628817142373</v>
      </c>
      <c r="G253" s="60">
        <f t="shared" si="72"/>
        <v>81.846035809505196</v>
      </c>
      <c r="H253" s="60">
        <f t="shared" si="72"/>
        <v>73.083755141193052</v>
      </c>
      <c r="I253" s="60">
        <f t="shared" si="72"/>
        <v>64.751711952948085</v>
      </c>
      <c r="J253" s="60">
        <f t="shared" si="72"/>
        <v>49.316608535485159</v>
      </c>
      <c r="K253" s="60">
        <f t="shared" si="72"/>
        <v>79.076835863273956</v>
      </c>
      <c r="L253" s="60">
        <f t="shared" si="72"/>
        <v>79.888293520300707</v>
      </c>
      <c r="M253" s="60">
        <f t="shared" si="72"/>
        <v>84.434216810543646</v>
      </c>
      <c r="N253" s="60">
        <f t="shared" si="72"/>
        <v>71.17637580844611</v>
      </c>
      <c r="O253" s="60">
        <f t="shared" si="72"/>
        <v>61.889943362254854</v>
      </c>
      <c r="P253" s="60">
        <f t="shared" si="72"/>
        <v>79.505353823272912</v>
      </c>
      <c r="Q253" s="60">
        <f t="shared" si="72"/>
        <v>67.921191976300747</v>
      </c>
      <c r="R253" s="60">
        <f t="shared" si="72"/>
        <v>78.411844662513204</v>
      </c>
      <c r="S253" s="60">
        <f t="shared" si="72"/>
        <v>78.544116866188347</v>
      </c>
      <c r="T253" s="60">
        <f t="shared" si="72"/>
        <v>77.881265037326358</v>
      </c>
      <c r="U253" s="60">
        <f t="shared" si="72"/>
        <v>69.815523571576406</v>
      </c>
      <c r="V253" s="60">
        <f t="shared" si="72"/>
        <v>85.415162562113807</v>
      </c>
    </row>
    <row r="254" spans="3:22" x14ac:dyDescent="0.2">
      <c r="C254" s="88" t="s">
        <v>132</v>
      </c>
      <c r="D254" s="62">
        <f t="shared" ref="D254:V254" si="73">+IFERROR(IF(D215&gt;0,+((D215/D22)*100)," "),"")</f>
        <v>86.249259097143721</v>
      </c>
      <c r="E254" s="62">
        <f t="shared" si="73"/>
        <v>63.275108630778632</v>
      </c>
      <c r="F254" s="62">
        <f t="shared" si="73"/>
        <v>75.501198047065287</v>
      </c>
      <c r="G254" s="62">
        <f t="shared" si="73"/>
        <v>85.076411257026265</v>
      </c>
      <c r="H254" s="62">
        <f t="shared" si="73"/>
        <v>74.032167165168971</v>
      </c>
      <c r="I254" s="62">
        <f t="shared" si="73"/>
        <v>87.537333724138847</v>
      </c>
      <c r="J254" s="62">
        <f t="shared" si="73"/>
        <v>69.398176732160593</v>
      </c>
      <c r="K254" s="62">
        <f t="shared" si="73"/>
        <v>44.009997199608804</v>
      </c>
      <c r="L254" s="62">
        <f t="shared" si="73"/>
        <v>55.943694981896606</v>
      </c>
      <c r="M254" s="62">
        <f t="shared" si="73"/>
        <v>56.319881531303196</v>
      </c>
      <c r="N254" s="62">
        <f t="shared" si="73"/>
        <v>60.828500558467105</v>
      </c>
      <c r="O254" s="62">
        <f t="shared" si="73"/>
        <v>47.795443161073891</v>
      </c>
      <c r="P254" s="62">
        <f t="shared" si="73"/>
        <v>63.489969876042707</v>
      </c>
      <c r="Q254" s="62">
        <f t="shared" si="73"/>
        <v>63.233523323569926</v>
      </c>
      <c r="R254" s="62">
        <f t="shared" si="73"/>
        <v>58.793524913629305</v>
      </c>
      <c r="S254" s="62">
        <f t="shared" si="73"/>
        <v>66.407325931834421</v>
      </c>
      <c r="T254" s="62">
        <f t="shared" si="73"/>
        <v>82.838707649420655</v>
      </c>
      <c r="U254" s="62">
        <f t="shared" si="73"/>
        <v>83.651182868425067</v>
      </c>
      <c r="V254" s="62">
        <f t="shared" si="73"/>
        <v>85.175959228196703</v>
      </c>
    </row>
    <row r="255" spans="3:22" x14ac:dyDescent="0.2">
      <c r="C255" s="87" t="s">
        <v>133</v>
      </c>
      <c r="D255" s="60">
        <f t="shared" ref="D255:V255" si="74">+IFERROR(IF(D216&gt;0,+((D216/D23)*100)," "),"")</f>
        <v>48.873205038815549</v>
      </c>
      <c r="E255" s="60">
        <f t="shared" si="74"/>
        <v>32.655861478276464</v>
      </c>
      <c r="F255" s="60">
        <f t="shared" si="74"/>
        <v>74.790810853604341</v>
      </c>
      <c r="G255" s="60">
        <f t="shared" si="74"/>
        <v>22.575940656311875</v>
      </c>
      <c r="H255" s="60">
        <f t="shared" si="74"/>
        <v>27.363141754874515</v>
      </c>
      <c r="I255" s="60">
        <f t="shared" si="74"/>
        <v>84.792660759509658</v>
      </c>
      <c r="J255" s="60">
        <f t="shared" si="74"/>
        <v>53.452017330618894</v>
      </c>
      <c r="K255" s="60">
        <f t="shared" si="74"/>
        <v>51.013837295738185</v>
      </c>
      <c r="L255" s="60">
        <f t="shared" si="74"/>
        <v>65.880641599353481</v>
      </c>
      <c r="M255" s="60">
        <f t="shared" si="74"/>
        <v>83.872309543428685</v>
      </c>
      <c r="N255" s="60">
        <f t="shared" si="74"/>
        <v>60.276920292373418</v>
      </c>
      <c r="O255" s="60">
        <f t="shared" si="74"/>
        <v>29.467029643724977</v>
      </c>
      <c r="P255" s="60">
        <f t="shared" si="74"/>
        <v>64.609470526839985</v>
      </c>
      <c r="Q255" s="60">
        <f t="shared" si="74"/>
        <v>41.557444632554393</v>
      </c>
      <c r="R255" s="60">
        <f t="shared" si="74"/>
        <v>63.514560107522634</v>
      </c>
      <c r="S255" s="60">
        <f t="shared" si="74"/>
        <v>26.385607888338264</v>
      </c>
      <c r="T255" s="60">
        <f t="shared" si="74"/>
        <v>32.336742476404154</v>
      </c>
      <c r="U255" s="60">
        <f t="shared" si="74"/>
        <v>44.209547459087503</v>
      </c>
      <c r="V255" s="60">
        <f t="shared" si="74"/>
        <v>44.083770939274807</v>
      </c>
    </row>
    <row r="256" spans="3:22" x14ac:dyDescent="0.2">
      <c r="C256" s="88" t="s">
        <v>134</v>
      </c>
      <c r="D256" s="62">
        <f t="shared" ref="D256:V256" si="75">+IFERROR(IF(D217&gt;0,+((D217/D24)*100)," "),"")</f>
        <v>65.751283878505618</v>
      </c>
      <c r="E256" s="62">
        <f t="shared" si="75"/>
        <v>83.421372067239275</v>
      </c>
      <c r="F256" s="62">
        <f t="shared" si="75"/>
        <v>82.202988822093218</v>
      </c>
      <c r="G256" s="62">
        <f t="shared" si="75"/>
        <v>83.311350251758583</v>
      </c>
      <c r="H256" s="62">
        <f t="shared" si="75"/>
        <v>84.564891889593454</v>
      </c>
      <c r="I256" s="62">
        <f t="shared" si="75"/>
        <v>77.807902147758583</v>
      </c>
      <c r="J256" s="62">
        <f t="shared" si="75"/>
        <v>85.980938656488306</v>
      </c>
      <c r="K256" s="62">
        <f t="shared" si="75"/>
        <v>81.742564202979096</v>
      </c>
      <c r="L256" s="62">
        <f t="shared" si="75"/>
        <v>86.428610617279347</v>
      </c>
      <c r="M256" s="62">
        <f t="shared" si="75"/>
        <v>85.456617352676389</v>
      </c>
      <c r="N256" s="62">
        <f t="shared" si="75"/>
        <v>87.723520706068101</v>
      </c>
      <c r="O256" s="62">
        <f t="shared" si="75"/>
        <v>87.575678226425481</v>
      </c>
      <c r="P256" s="62">
        <f t="shared" si="75"/>
        <v>84.32997716787996</v>
      </c>
      <c r="Q256" s="62">
        <f t="shared" si="75"/>
        <v>76.152216725333062</v>
      </c>
      <c r="R256" s="62">
        <f t="shared" si="75"/>
        <v>69.24351905573964</v>
      </c>
      <c r="S256" s="62">
        <f t="shared" si="75"/>
        <v>67.945802308589805</v>
      </c>
      <c r="T256" s="62">
        <f t="shared" si="75"/>
        <v>74.107766248366588</v>
      </c>
      <c r="U256" s="62">
        <f t="shared" si="75"/>
        <v>75.143076163387533</v>
      </c>
      <c r="V256" s="62">
        <f t="shared" si="75"/>
        <v>77.615998572351188</v>
      </c>
    </row>
    <row r="257" spans="3:22" x14ac:dyDescent="0.2">
      <c r="C257" s="87" t="s">
        <v>135</v>
      </c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3:22" x14ac:dyDescent="0.2">
      <c r="C258" s="88" t="s">
        <v>136</v>
      </c>
      <c r="D258" s="62">
        <f t="shared" ref="D258:V258" si="76">+IFERROR(IF(D219&gt;0,+((D219/D26)*100)," "),"")</f>
        <v>71.972931888010208</v>
      </c>
      <c r="E258" s="62">
        <f t="shared" si="76"/>
        <v>76.457655668144028</v>
      </c>
      <c r="F258" s="62">
        <f t="shared" si="76"/>
        <v>81.785789952716016</v>
      </c>
      <c r="G258" s="62">
        <f t="shared" si="76"/>
        <v>83.612965056374051</v>
      </c>
      <c r="H258" s="62">
        <f t="shared" si="76"/>
        <v>86.858269804671295</v>
      </c>
      <c r="I258" s="62">
        <f t="shared" si="76"/>
        <v>89.608161973192267</v>
      </c>
      <c r="J258" s="62">
        <f t="shared" si="76"/>
        <v>82.53650952419072</v>
      </c>
      <c r="K258" s="62">
        <f t="shared" si="76"/>
        <v>72.559135537056591</v>
      </c>
      <c r="L258" s="62">
        <f t="shared" si="76"/>
        <v>85.81496061884603</v>
      </c>
      <c r="M258" s="62">
        <f t="shared" si="76"/>
        <v>87.889723691634941</v>
      </c>
      <c r="N258" s="62">
        <f t="shared" si="76"/>
        <v>85.192730576003029</v>
      </c>
      <c r="O258" s="62">
        <f t="shared" si="76"/>
        <v>67.396322874849858</v>
      </c>
      <c r="P258" s="62">
        <f t="shared" si="76"/>
        <v>88.565383748304967</v>
      </c>
      <c r="Q258" s="62">
        <f t="shared" si="76"/>
        <v>87.974453698711386</v>
      </c>
      <c r="R258" s="62">
        <f t="shared" si="76"/>
        <v>89.180401476795097</v>
      </c>
      <c r="S258" s="62">
        <f t="shared" si="76"/>
        <v>86.029547637105921</v>
      </c>
      <c r="T258" s="62">
        <f t="shared" si="76"/>
        <v>93.628700715812613</v>
      </c>
      <c r="U258" s="62">
        <f t="shared" si="76"/>
        <v>94.703718791925908</v>
      </c>
      <c r="V258" s="62">
        <f t="shared" si="76"/>
        <v>92.891577185842976</v>
      </c>
    </row>
    <row r="259" spans="3:22" x14ac:dyDescent="0.2">
      <c r="C259" s="87" t="s">
        <v>137</v>
      </c>
      <c r="D259" s="60">
        <f t="shared" ref="D259:V259" si="77">+IFERROR(IF(D220&gt;0,+((D220/D27)*100)," "),"")</f>
        <v>71.077214531759083</v>
      </c>
      <c r="E259" s="60">
        <f t="shared" si="77"/>
        <v>66.355429150902594</v>
      </c>
      <c r="F259" s="60">
        <f t="shared" si="77"/>
        <v>77.914163624125706</v>
      </c>
      <c r="G259" s="60">
        <f t="shared" si="77"/>
        <v>62.697874316326029</v>
      </c>
      <c r="H259" s="60">
        <f t="shared" si="77"/>
        <v>52.482676637786206</v>
      </c>
      <c r="I259" s="60">
        <f t="shared" si="77"/>
        <v>40.076967381577724</v>
      </c>
      <c r="J259" s="60">
        <f t="shared" si="77"/>
        <v>66.256008364409396</v>
      </c>
      <c r="K259" s="60">
        <f t="shared" si="77"/>
        <v>86.833121358224858</v>
      </c>
      <c r="L259" s="60">
        <f t="shared" si="77"/>
        <v>68.41430433703583</v>
      </c>
      <c r="M259" s="60">
        <f t="shared" si="77"/>
        <v>69.045299115848692</v>
      </c>
      <c r="N259" s="60">
        <f t="shared" si="77"/>
        <v>56.760797592575798</v>
      </c>
      <c r="O259" s="60">
        <f t="shared" si="77"/>
        <v>64.682369191094594</v>
      </c>
      <c r="P259" s="60">
        <f t="shared" si="77"/>
        <v>71.371861610160266</v>
      </c>
      <c r="Q259" s="60">
        <f t="shared" si="77"/>
        <v>67.5540283113275</v>
      </c>
      <c r="R259" s="60">
        <f t="shared" si="77"/>
        <v>76.957761555526233</v>
      </c>
      <c r="S259" s="60">
        <f t="shared" si="77"/>
        <v>75.490146204605367</v>
      </c>
      <c r="T259" s="60">
        <f t="shared" si="77"/>
        <v>75.319994591269364</v>
      </c>
      <c r="U259" s="60">
        <f t="shared" si="77"/>
        <v>76.312586338484849</v>
      </c>
      <c r="V259" s="60">
        <f t="shared" si="77"/>
        <v>72.286419826871125</v>
      </c>
    </row>
    <row r="260" spans="3:22" x14ac:dyDescent="0.2">
      <c r="C260" s="88" t="s">
        <v>138</v>
      </c>
      <c r="D260" s="62">
        <f t="shared" ref="D260:V260" si="78">+IFERROR(IF(D221&gt;0,+((D221/D28)*100)," "),"")</f>
        <v>85.296591108360687</v>
      </c>
      <c r="E260" s="62">
        <f t="shared" si="78"/>
        <v>77.289135320987143</v>
      </c>
      <c r="F260" s="62">
        <f t="shared" si="78"/>
        <v>81.152860886342154</v>
      </c>
      <c r="G260" s="62">
        <f t="shared" si="78"/>
        <v>39.490543589015978</v>
      </c>
      <c r="H260" s="62">
        <f t="shared" si="78"/>
        <v>51.063474063112444</v>
      </c>
      <c r="I260" s="62">
        <f t="shared" si="78"/>
        <v>39.342365180278286</v>
      </c>
      <c r="J260" s="62">
        <f t="shared" si="78"/>
        <v>29.875248874987815</v>
      </c>
      <c r="K260" s="62">
        <f t="shared" si="78"/>
        <v>76.722603823445723</v>
      </c>
      <c r="L260" s="62">
        <f t="shared" si="78"/>
        <v>65.912709039392595</v>
      </c>
      <c r="M260" s="62">
        <f t="shared" si="78"/>
        <v>46.538704616909818</v>
      </c>
      <c r="N260" s="62">
        <f t="shared" si="78"/>
        <v>43.532883831172143</v>
      </c>
      <c r="O260" s="62">
        <f t="shared" si="78"/>
        <v>49.737919023495785</v>
      </c>
      <c r="P260" s="62">
        <f t="shared" si="78"/>
        <v>84.554755673358713</v>
      </c>
      <c r="Q260" s="62">
        <f t="shared" si="78"/>
        <v>93.260434084807059</v>
      </c>
      <c r="R260" s="62">
        <f t="shared" si="78"/>
        <v>81.154889454033295</v>
      </c>
      <c r="S260" s="62" t="str">
        <f t="shared" si="78"/>
        <v xml:space="preserve"> </v>
      </c>
      <c r="T260" s="62" t="str">
        <f t="shared" si="78"/>
        <v xml:space="preserve"> </v>
      </c>
      <c r="U260" s="62" t="str">
        <f t="shared" si="78"/>
        <v xml:space="preserve"> </v>
      </c>
      <c r="V260" s="62" t="str">
        <f t="shared" si="78"/>
        <v xml:space="preserve"> </v>
      </c>
    </row>
    <row r="261" spans="3:22" x14ac:dyDescent="0.2">
      <c r="C261" s="87" t="s">
        <v>139</v>
      </c>
      <c r="D261" s="60">
        <f t="shared" ref="D261:V261" si="79">+IFERROR(IF(D222&gt;0,+((D222/D29)*100)," "),"")</f>
        <v>72.652741762634363</v>
      </c>
      <c r="E261" s="60">
        <f t="shared" si="79"/>
        <v>65.993682370071369</v>
      </c>
      <c r="F261" s="60">
        <f t="shared" si="79"/>
        <v>80.301909893586114</v>
      </c>
      <c r="G261" s="60">
        <f t="shared" si="79"/>
        <v>73.752247566891143</v>
      </c>
      <c r="H261" s="60">
        <f t="shared" si="79"/>
        <v>54.882332684735069</v>
      </c>
      <c r="I261" s="60">
        <f t="shared" si="79"/>
        <v>77.988720748303535</v>
      </c>
      <c r="J261" s="60">
        <f t="shared" si="79"/>
        <v>75.276820843852136</v>
      </c>
      <c r="K261" s="60">
        <f t="shared" si="79"/>
        <v>72.3514537414991</v>
      </c>
      <c r="L261" s="60">
        <f t="shared" si="79"/>
        <v>58.784337886016843</v>
      </c>
      <c r="M261" s="60">
        <f t="shared" si="79"/>
        <v>64.915171653324578</v>
      </c>
      <c r="N261" s="60">
        <f t="shared" si="79"/>
        <v>52.142971206660235</v>
      </c>
      <c r="O261" s="60">
        <f t="shared" si="79"/>
        <v>65.767869237934136</v>
      </c>
      <c r="P261" s="60">
        <f t="shared" si="79"/>
        <v>74.334252721823617</v>
      </c>
      <c r="Q261" s="60">
        <f t="shared" si="79"/>
        <v>81.169552582713905</v>
      </c>
      <c r="R261" s="60">
        <f t="shared" si="79"/>
        <v>76.441567447435915</v>
      </c>
      <c r="S261" s="60">
        <f t="shared" si="79"/>
        <v>76.154778648072082</v>
      </c>
      <c r="T261" s="60">
        <f t="shared" si="79"/>
        <v>65.984198201968653</v>
      </c>
      <c r="U261" s="60">
        <f t="shared" si="79"/>
        <v>51.987577187898935</v>
      </c>
      <c r="V261" s="60">
        <f t="shared" si="79"/>
        <v>85.571633205279028</v>
      </c>
    </row>
    <row r="262" spans="3:22" x14ac:dyDescent="0.2">
      <c r="C262" s="88" t="s">
        <v>140</v>
      </c>
      <c r="D262" s="62">
        <f t="shared" ref="D262:V262" si="80">+IFERROR(IF(D223&gt;0,+((D223/D30)*100)," "),"")</f>
        <v>44.248904004940343</v>
      </c>
      <c r="E262" s="62">
        <f t="shared" si="80"/>
        <v>27.162581137694897</v>
      </c>
      <c r="F262" s="62">
        <f t="shared" si="80"/>
        <v>45.772965271957148</v>
      </c>
      <c r="G262" s="62">
        <f t="shared" si="80"/>
        <v>59.589470807474513</v>
      </c>
      <c r="H262" s="62">
        <f t="shared" si="80"/>
        <v>81.812525568152978</v>
      </c>
      <c r="I262" s="62">
        <f t="shared" si="80"/>
        <v>89.924047566220793</v>
      </c>
      <c r="J262" s="62">
        <f t="shared" si="80"/>
        <v>63.115417042031694</v>
      </c>
      <c r="K262" s="62">
        <f t="shared" si="80"/>
        <v>56.141349040405849</v>
      </c>
      <c r="L262" s="62">
        <f t="shared" si="80"/>
        <v>66.991316409540786</v>
      </c>
      <c r="M262" s="62">
        <f t="shared" si="80"/>
        <v>69.027503867824962</v>
      </c>
      <c r="N262" s="62">
        <f t="shared" si="80"/>
        <v>85.219342157918291</v>
      </c>
      <c r="O262" s="62">
        <f t="shared" si="80"/>
        <v>86.966184767085025</v>
      </c>
      <c r="P262" s="62">
        <f t="shared" si="80"/>
        <v>72.734419205698543</v>
      </c>
      <c r="Q262" s="62">
        <f t="shared" si="80"/>
        <v>70.276462611958408</v>
      </c>
      <c r="R262" s="62">
        <f t="shared" si="80"/>
        <v>81.567827772645344</v>
      </c>
      <c r="S262" s="62">
        <f t="shared" si="80"/>
        <v>84.025375231550271</v>
      </c>
      <c r="T262" s="62">
        <f t="shared" si="80"/>
        <v>87.909283178737567</v>
      </c>
      <c r="U262" s="62">
        <f t="shared" si="80"/>
        <v>83.636077728478242</v>
      </c>
      <c r="V262" s="62">
        <f t="shared" si="80"/>
        <v>82.862863214456382</v>
      </c>
    </row>
    <row r="263" spans="3:22" x14ac:dyDescent="0.2">
      <c r="C263" s="87" t="s">
        <v>141</v>
      </c>
      <c r="D263" s="60">
        <f t="shared" ref="D263:V263" si="81">+IFERROR(IF(D224&gt;0,+((D224/D31)*100)," "),"")</f>
        <v>39.850320662837312</v>
      </c>
      <c r="E263" s="60">
        <f t="shared" si="81"/>
        <v>55.037769485162421</v>
      </c>
      <c r="F263" s="60">
        <f t="shared" si="81"/>
        <v>79.939207928625663</v>
      </c>
      <c r="G263" s="60">
        <f t="shared" si="81"/>
        <v>58.598920112778188</v>
      </c>
      <c r="H263" s="60">
        <f t="shared" si="81"/>
        <v>62.172643114326931</v>
      </c>
      <c r="I263" s="60">
        <f t="shared" si="81"/>
        <v>52.728144151485445</v>
      </c>
      <c r="J263" s="60">
        <f t="shared" si="81"/>
        <v>77.524280567271092</v>
      </c>
      <c r="K263" s="60">
        <f t="shared" si="81"/>
        <v>80.988741847746567</v>
      </c>
      <c r="L263" s="60">
        <f t="shared" si="81"/>
        <v>76.382767270131851</v>
      </c>
      <c r="M263" s="60">
        <f t="shared" si="81"/>
        <v>80.738006831372104</v>
      </c>
      <c r="N263" s="60">
        <f t="shared" si="81"/>
        <v>64.144854977148654</v>
      </c>
      <c r="O263" s="60">
        <f t="shared" si="81"/>
        <v>59.909341957623056</v>
      </c>
      <c r="P263" s="60">
        <f t="shared" si="81"/>
        <v>42.650729398572921</v>
      </c>
      <c r="Q263" s="60">
        <f t="shared" si="81"/>
        <v>52.649414911425218</v>
      </c>
      <c r="R263" s="60">
        <f t="shared" si="81"/>
        <v>54.536322319737408</v>
      </c>
      <c r="S263" s="60">
        <f t="shared" si="81"/>
        <v>74.862263423390658</v>
      </c>
      <c r="T263" s="60">
        <f t="shared" si="81"/>
        <v>64.83012283605683</v>
      </c>
      <c r="U263" s="60">
        <f t="shared" si="81"/>
        <v>67.817802314666949</v>
      </c>
      <c r="V263" s="60">
        <f t="shared" si="81"/>
        <v>73.770586052879978</v>
      </c>
    </row>
    <row r="264" spans="3:22" x14ac:dyDescent="0.2">
      <c r="C264" s="88" t="s">
        <v>142</v>
      </c>
      <c r="D264" s="62">
        <f t="shared" ref="D264:V264" si="82">+IFERROR(IF(D225&gt;0,+((D225/D32)*100)," "),"")</f>
        <v>89.642432542422156</v>
      </c>
      <c r="E264" s="62">
        <f t="shared" si="82"/>
        <v>90.165015170209045</v>
      </c>
      <c r="F264" s="62">
        <f t="shared" si="82"/>
        <v>76.995904076619155</v>
      </c>
      <c r="G264" s="62">
        <f t="shared" si="82"/>
        <v>66.56349835133949</v>
      </c>
      <c r="H264" s="62">
        <f t="shared" si="82"/>
        <v>69.595988355759346</v>
      </c>
      <c r="I264" s="62">
        <f t="shared" si="82"/>
        <v>71.440772315911289</v>
      </c>
      <c r="J264" s="62">
        <f t="shared" si="82"/>
        <v>64.427486749965851</v>
      </c>
      <c r="K264" s="62">
        <f t="shared" si="82"/>
        <v>69.998189273391262</v>
      </c>
      <c r="L264" s="62">
        <f t="shared" si="82"/>
        <v>80.608014713819159</v>
      </c>
      <c r="M264" s="62">
        <f t="shared" si="82"/>
        <v>74.727489374102234</v>
      </c>
      <c r="N264" s="62">
        <f t="shared" si="82"/>
        <v>87.987520062719753</v>
      </c>
      <c r="O264" s="62">
        <f t="shared" si="82"/>
        <v>74.320977965210588</v>
      </c>
      <c r="P264" s="62">
        <f t="shared" si="82"/>
        <v>82.726505260366167</v>
      </c>
      <c r="Q264" s="62">
        <f t="shared" si="82"/>
        <v>62.842252258497801</v>
      </c>
      <c r="R264" s="62">
        <f t="shared" si="82"/>
        <v>81.690817882431745</v>
      </c>
      <c r="S264" s="62">
        <f t="shared" si="82"/>
        <v>83.897611454551537</v>
      </c>
      <c r="T264" s="62">
        <f t="shared" si="82"/>
        <v>85.673097993384687</v>
      </c>
      <c r="U264" s="62">
        <f t="shared" si="82"/>
        <v>85.254005715278751</v>
      </c>
      <c r="V264" s="62">
        <f t="shared" si="82"/>
        <v>89.311933205534984</v>
      </c>
    </row>
    <row r="265" spans="3:22" x14ac:dyDescent="0.2">
      <c r="C265" s="87" t="s">
        <v>143</v>
      </c>
      <c r="D265" s="60">
        <f t="shared" ref="D265:V265" si="83">+IFERROR(IF(D226&gt;0,+((D226/D33)*100)," "),"")</f>
        <v>100</v>
      </c>
      <c r="E265" s="60" t="str">
        <f t="shared" si="83"/>
        <v xml:space="preserve"> </v>
      </c>
      <c r="F265" s="60" t="str">
        <f t="shared" si="83"/>
        <v xml:space="preserve"> </v>
      </c>
      <c r="G265" s="60" t="str">
        <f t="shared" si="83"/>
        <v xml:space="preserve"> </v>
      </c>
      <c r="H265" s="60">
        <f t="shared" si="83"/>
        <v>45.470331866799953</v>
      </c>
      <c r="I265" s="60">
        <f t="shared" si="83"/>
        <v>47.748295316648296</v>
      </c>
      <c r="J265" s="60" t="str">
        <f t="shared" si="83"/>
        <v xml:space="preserve"> </v>
      </c>
      <c r="K265" s="60" t="str">
        <f t="shared" si="83"/>
        <v xml:space="preserve"> </v>
      </c>
      <c r="L265" s="60" t="str">
        <f t="shared" si="83"/>
        <v xml:space="preserve"> </v>
      </c>
      <c r="M265" s="60" t="str">
        <f t="shared" si="83"/>
        <v xml:space="preserve"> </v>
      </c>
      <c r="N265" s="60" t="str">
        <f t="shared" si="83"/>
        <v xml:space="preserve"> </v>
      </c>
      <c r="O265" s="60" t="str">
        <f t="shared" si="83"/>
        <v xml:space="preserve"> </v>
      </c>
      <c r="P265" s="60">
        <f t="shared" si="83"/>
        <v>7.623102218922144E-2</v>
      </c>
      <c r="Q265" s="60">
        <f t="shared" si="83"/>
        <v>50.862349575365059</v>
      </c>
      <c r="R265" s="60">
        <f t="shared" si="83"/>
        <v>8.6177623181964123</v>
      </c>
      <c r="S265" s="60">
        <f t="shared" si="83"/>
        <v>6.6876714415231175</v>
      </c>
      <c r="T265" s="60">
        <f t="shared" si="83"/>
        <v>91.557205299293742</v>
      </c>
      <c r="U265" s="60">
        <f t="shared" si="83"/>
        <v>91.777205605581315</v>
      </c>
      <c r="V265" s="60">
        <f t="shared" si="83"/>
        <v>36.253216751957154</v>
      </c>
    </row>
    <row r="266" spans="3:22" x14ac:dyDescent="0.2">
      <c r="C266" s="88" t="s">
        <v>144</v>
      </c>
      <c r="D266" s="62" t="str">
        <f t="shared" ref="D266:V266" si="84">+IFERROR(IF(D227&gt;0,+((D227/D34)*100)," "),"")</f>
        <v xml:space="preserve"> </v>
      </c>
      <c r="E266" s="62" t="str">
        <f t="shared" si="84"/>
        <v xml:space="preserve"> </v>
      </c>
      <c r="F266" s="62" t="str">
        <f t="shared" si="84"/>
        <v xml:space="preserve"> </v>
      </c>
      <c r="G266" s="62" t="str">
        <f t="shared" si="84"/>
        <v xml:space="preserve"> </v>
      </c>
      <c r="H266" s="62" t="str">
        <f t="shared" si="84"/>
        <v xml:space="preserve"> </v>
      </c>
      <c r="I266" s="62" t="str">
        <f t="shared" si="84"/>
        <v xml:space="preserve"> </v>
      </c>
      <c r="J266" s="62" t="str">
        <f t="shared" si="84"/>
        <v xml:space="preserve"> </v>
      </c>
      <c r="K266" s="62" t="str">
        <f t="shared" si="84"/>
        <v xml:space="preserve"> </v>
      </c>
      <c r="L266" s="62" t="str">
        <f t="shared" si="84"/>
        <v xml:space="preserve"> </v>
      </c>
      <c r="M266" s="62" t="str">
        <f t="shared" si="84"/>
        <v xml:space="preserve"> </v>
      </c>
      <c r="N266" s="62" t="str">
        <f t="shared" si="84"/>
        <v xml:space="preserve"> </v>
      </c>
      <c r="O266" s="62" t="str">
        <f t="shared" si="84"/>
        <v xml:space="preserve"> </v>
      </c>
      <c r="P266" s="62" t="str">
        <f t="shared" si="84"/>
        <v xml:space="preserve"> </v>
      </c>
      <c r="Q266" s="62" t="str">
        <f t="shared" si="84"/>
        <v xml:space="preserve"> </v>
      </c>
      <c r="R266" s="62" t="str">
        <f t="shared" si="84"/>
        <v xml:space="preserve"> </v>
      </c>
      <c r="S266" s="62" t="str">
        <f t="shared" si="84"/>
        <v xml:space="preserve"> </v>
      </c>
      <c r="T266" s="62" t="str">
        <f t="shared" si="84"/>
        <v xml:space="preserve"> </v>
      </c>
      <c r="U266" s="62" t="str">
        <f t="shared" si="84"/>
        <v xml:space="preserve"> </v>
      </c>
      <c r="V266" s="62" t="str">
        <f t="shared" si="84"/>
        <v xml:space="preserve"> </v>
      </c>
    </row>
    <row r="267" spans="3:22" x14ac:dyDescent="0.2">
      <c r="C267" s="87" t="s">
        <v>145</v>
      </c>
      <c r="D267" s="60">
        <f t="shared" ref="D267:V267" si="85">+IFERROR(IF(D228&gt;0,+((D228/D35)*100)," "),"")</f>
        <v>68.925171623878185</v>
      </c>
      <c r="E267" s="60">
        <f t="shared" si="85"/>
        <v>42.995257665891998</v>
      </c>
      <c r="F267" s="60">
        <f t="shared" si="85"/>
        <v>75.44507920852503</v>
      </c>
      <c r="G267" s="60">
        <f t="shared" si="85"/>
        <v>43.568519847987616</v>
      </c>
      <c r="H267" s="60">
        <f t="shared" si="85"/>
        <v>30.248479157857638</v>
      </c>
      <c r="I267" s="60">
        <f t="shared" si="85"/>
        <v>64.115673477953834</v>
      </c>
      <c r="J267" s="60">
        <f t="shared" si="85"/>
        <v>46.469833616248977</v>
      </c>
      <c r="K267" s="60">
        <f t="shared" si="85"/>
        <v>40.011613003340393</v>
      </c>
      <c r="L267" s="60">
        <f t="shared" si="85"/>
        <v>51.023781091510479</v>
      </c>
      <c r="M267" s="60">
        <f t="shared" si="85"/>
        <v>73.188191035692881</v>
      </c>
      <c r="N267" s="60">
        <f t="shared" si="85"/>
        <v>46.099672420608492</v>
      </c>
      <c r="O267" s="60">
        <f t="shared" si="85"/>
        <v>41.333835211259682</v>
      </c>
      <c r="P267" s="60">
        <f t="shared" si="85"/>
        <v>57.526387010806722</v>
      </c>
      <c r="Q267" s="60">
        <f t="shared" si="85"/>
        <v>55.47299076145773</v>
      </c>
      <c r="R267" s="60">
        <f t="shared" si="85"/>
        <v>58.883125821758597</v>
      </c>
      <c r="S267" s="60">
        <f t="shared" si="85"/>
        <v>58.753626347743491</v>
      </c>
      <c r="T267" s="60">
        <f t="shared" si="85"/>
        <v>72.928880489620965</v>
      </c>
      <c r="U267" s="60">
        <f t="shared" si="85"/>
        <v>81.92303335254789</v>
      </c>
      <c r="V267" s="60">
        <f t="shared" si="85"/>
        <v>77.717338565054774</v>
      </c>
    </row>
    <row r="268" spans="3:22" x14ac:dyDescent="0.2">
      <c r="C268" s="88" t="s">
        <v>146</v>
      </c>
      <c r="D268" s="62">
        <f t="shared" ref="D268:V268" si="86">+IFERROR(IF(D229&gt;0,+((D229/D36)*100)," "),"")</f>
        <v>94.047188917320184</v>
      </c>
      <c r="E268" s="62">
        <f t="shared" si="86"/>
        <v>86.598705538793908</v>
      </c>
      <c r="F268" s="62">
        <f t="shared" si="86"/>
        <v>72.636373804378636</v>
      </c>
      <c r="G268" s="62">
        <f t="shared" si="86"/>
        <v>88.861093253864226</v>
      </c>
      <c r="H268" s="62">
        <f t="shared" si="86"/>
        <v>76.744590025346184</v>
      </c>
      <c r="I268" s="62">
        <f t="shared" si="86"/>
        <v>85.751301306203374</v>
      </c>
      <c r="J268" s="62">
        <f t="shared" si="86"/>
        <v>70.844475646120813</v>
      </c>
      <c r="K268" s="62">
        <f t="shared" si="86"/>
        <v>85.133291674706996</v>
      </c>
      <c r="L268" s="62">
        <f t="shared" si="86"/>
        <v>79.260401929477212</v>
      </c>
      <c r="M268" s="62">
        <f t="shared" si="86"/>
        <v>91.507583823358914</v>
      </c>
      <c r="N268" s="62">
        <f t="shared" si="86"/>
        <v>87.835316839946572</v>
      </c>
      <c r="O268" s="62">
        <f t="shared" si="86"/>
        <v>91.797023322132787</v>
      </c>
      <c r="P268" s="62">
        <f t="shared" si="86"/>
        <v>92.633180666787027</v>
      </c>
      <c r="Q268" s="62">
        <f t="shared" si="86"/>
        <v>91.712797116210226</v>
      </c>
      <c r="R268" s="62">
        <f t="shared" si="86"/>
        <v>96.875154156378713</v>
      </c>
      <c r="S268" s="62">
        <f t="shared" si="86"/>
        <v>95.913802006555883</v>
      </c>
      <c r="T268" s="62">
        <f t="shared" si="86"/>
        <v>95.113041113023115</v>
      </c>
      <c r="U268" s="62">
        <f t="shared" si="86"/>
        <v>85.96184724503162</v>
      </c>
      <c r="V268" s="62">
        <f t="shared" si="86"/>
        <v>77.546461245905476</v>
      </c>
    </row>
    <row r="269" spans="3:22" x14ac:dyDescent="0.2">
      <c r="C269" s="90" t="s">
        <v>147</v>
      </c>
      <c r="D269" s="61">
        <f t="shared" ref="D269:V269" si="87">+IFERROR(IF(D230&gt;0,+((D230/D37)*100)," "),"")</f>
        <v>71.260330655777707</v>
      </c>
      <c r="E269" s="61">
        <f t="shared" si="87"/>
        <v>79.278800556855415</v>
      </c>
      <c r="F269" s="61">
        <f t="shared" si="87"/>
        <v>76.945154492134961</v>
      </c>
      <c r="G269" s="61">
        <f t="shared" si="87"/>
        <v>71.672655992915296</v>
      </c>
      <c r="H269" s="61">
        <f t="shared" si="87"/>
        <v>71.946295344673956</v>
      </c>
      <c r="I269" s="61">
        <f t="shared" si="87"/>
        <v>74.722606463533864</v>
      </c>
      <c r="J269" s="61">
        <f t="shared" si="87"/>
        <v>75.109687669714688</v>
      </c>
      <c r="K269" s="61">
        <f t="shared" si="87"/>
        <v>79.355455014427548</v>
      </c>
      <c r="L269" s="61">
        <f t="shared" si="87"/>
        <v>89.588184535560828</v>
      </c>
      <c r="M269" s="61">
        <f t="shared" si="87"/>
        <v>83.413230388700072</v>
      </c>
      <c r="N269" s="61">
        <f t="shared" si="87"/>
        <v>87.327579582220892</v>
      </c>
      <c r="O269" s="61">
        <f t="shared" si="87"/>
        <v>64.210917481557971</v>
      </c>
      <c r="P269" s="61">
        <f t="shared" si="87"/>
        <v>79.359332842429794</v>
      </c>
      <c r="Q269" s="61">
        <f t="shared" si="87"/>
        <v>85.662563964112891</v>
      </c>
      <c r="R269" s="61">
        <f t="shared" si="87"/>
        <v>81.127053839370021</v>
      </c>
      <c r="S269" s="61">
        <f t="shared" si="87"/>
        <v>83.424004717646199</v>
      </c>
      <c r="T269" s="61">
        <f t="shared" si="87"/>
        <v>84.780803066644097</v>
      </c>
      <c r="U269" s="61">
        <f t="shared" si="87"/>
        <v>86.823295091092561</v>
      </c>
      <c r="V269" s="61">
        <f t="shared" si="87"/>
        <v>86.061966860491452</v>
      </c>
    </row>
    <row r="270" spans="3:22" ht="22.5" customHeight="1" x14ac:dyDescent="0.2">
      <c r="C270" s="89" t="s">
        <v>148</v>
      </c>
      <c r="D270" s="63" t="str">
        <f t="shared" ref="D270:V270" si="88">+IFERROR(IF(D231&gt;0,+((D231/D38)*100)," "),"")</f>
        <v xml:space="preserve"> </v>
      </c>
      <c r="E270" s="63" t="str">
        <f t="shared" si="88"/>
        <v xml:space="preserve"> </v>
      </c>
      <c r="F270" s="63" t="str">
        <f t="shared" si="88"/>
        <v xml:space="preserve"> </v>
      </c>
      <c r="G270" s="63" t="str">
        <f t="shared" si="88"/>
        <v xml:space="preserve"> </v>
      </c>
      <c r="H270" s="63" t="str">
        <f t="shared" si="88"/>
        <v xml:space="preserve"> </v>
      </c>
      <c r="I270" s="63" t="str">
        <f t="shared" si="88"/>
        <v xml:space="preserve"> </v>
      </c>
      <c r="J270" s="63" t="str">
        <f t="shared" si="88"/>
        <v xml:space="preserve"> </v>
      </c>
      <c r="K270" s="63" t="str">
        <f t="shared" si="88"/>
        <v xml:space="preserve"> </v>
      </c>
      <c r="L270" s="63" t="str">
        <f t="shared" si="88"/>
        <v xml:space="preserve"> </v>
      </c>
      <c r="M270" s="63" t="str">
        <f t="shared" si="88"/>
        <v xml:space="preserve"> </v>
      </c>
      <c r="N270" s="63" t="str">
        <f t="shared" si="88"/>
        <v xml:space="preserve"> </v>
      </c>
      <c r="O270" s="63" t="str">
        <f t="shared" si="88"/>
        <v xml:space="preserve"> </v>
      </c>
      <c r="P270" s="63" t="str">
        <f t="shared" si="88"/>
        <v xml:space="preserve"> </v>
      </c>
      <c r="Q270" s="63" t="str">
        <f t="shared" si="88"/>
        <v xml:space="preserve"> </v>
      </c>
      <c r="R270" s="63" t="str">
        <f t="shared" si="88"/>
        <v xml:space="preserve"> </v>
      </c>
      <c r="S270" s="63" t="str">
        <f t="shared" si="88"/>
        <v xml:space="preserve"> </v>
      </c>
      <c r="T270" s="63" t="str">
        <f t="shared" si="88"/>
        <v xml:space="preserve"> </v>
      </c>
      <c r="U270" s="63" t="str">
        <f t="shared" si="88"/>
        <v xml:space="preserve"> </v>
      </c>
      <c r="V270" s="63" t="str">
        <f t="shared" si="88"/>
        <v xml:space="preserve"> </v>
      </c>
    </row>
    <row r="271" spans="3:22" x14ac:dyDescent="0.2">
      <c r="C271" s="87" t="s">
        <v>149</v>
      </c>
      <c r="D271" s="60">
        <f t="shared" ref="D271:V271" si="89">+IFERROR(IF(D232&gt;0,+((D232/D39)*100)," "),"")</f>
        <v>47.549157809135892</v>
      </c>
      <c r="E271" s="60">
        <f t="shared" si="89"/>
        <v>42.397041856864199</v>
      </c>
      <c r="F271" s="60">
        <f t="shared" si="89"/>
        <v>34.423067701382038</v>
      </c>
      <c r="G271" s="60">
        <f t="shared" si="89"/>
        <v>43.468421899435015</v>
      </c>
      <c r="H271" s="60">
        <f t="shared" si="89"/>
        <v>66.88466993755415</v>
      </c>
      <c r="I271" s="60">
        <f t="shared" si="89"/>
        <v>22.139356312985651</v>
      </c>
      <c r="J271" s="60">
        <f t="shared" si="89"/>
        <v>57.872097508162227</v>
      </c>
      <c r="K271" s="60">
        <f t="shared" si="89"/>
        <v>69.791308520967306</v>
      </c>
      <c r="L271" s="60">
        <f t="shared" si="89"/>
        <v>60.437434331941894</v>
      </c>
      <c r="M271" s="60">
        <f t="shared" si="89"/>
        <v>62.331467681096562</v>
      </c>
      <c r="N271" s="60">
        <f t="shared" si="89"/>
        <v>56.228296205665828</v>
      </c>
      <c r="O271" s="60">
        <f t="shared" si="89"/>
        <v>68.512910932641077</v>
      </c>
      <c r="P271" s="60">
        <f t="shared" si="89"/>
        <v>61.248188433011144</v>
      </c>
      <c r="Q271" s="60">
        <f t="shared" si="89"/>
        <v>72.603996657307974</v>
      </c>
      <c r="R271" s="60">
        <f t="shared" si="89"/>
        <v>77.939452309076941</v>
      </c>
      <c r="S271" s="60">
        <f t="shared" si="89"/>
        <v>78.369225864218166</v>
      </c>
      <c r="T271" s="60">
        <f t="shared" si="89"/>
        <v>84.486864156131062</v>
      </c>
      <c r="U271" s="60">
        <f t="shared" si="89"/>
        <v>78.197436007782954</v>
      </c>
      <c r="V271" s="60">
        <f t="shared" si="89"/>
        <v>85.348711670755435</v>
      </c>
    </row>
    <row r="272" spans="3:22" x14ac:dyDescent="0.2">
      <c r="C272" s="89" t="s">
        <v>150</v>
      </c>
      <c r="D272" s="63">
        <f t="shared" ref="D272:V272" si="90">+IFERROR(IF(D233&gt;0,+((D233/D40)*100)," "),"")</f>
        <v>68.435940076317991</v>
      </c>
      <c r="E272" s="63">
        <f t="shared" si="90"/>
        <v>74.573573835014784</v>
      </c>
      <c r="F272" s="63">
        <f t="shared" si="90"/>
        <v>48.983420744496591</v>
      </c>
      <c r="G272" s="63">
        <f t="shared" si="90"/>
        <v>65.931975613972597</v>
      </c>
      <c r="H272" s="63">
        <f t="shared" si="90"/>
        <v>64.032399690046532</v>
      </c>
      <c r="I272" s="63">
        <f t="shared" si="90"/>
        <v>71.189579759100184</v>
      </c>
      <c r="J272" s="63">
        <f t="shared" si="90"/>
        <v>63.601450051562061</v>
      </c>
      <c r="K272" s="63">
        <f t="shared" si="90"/>
        <v>72.088561620212801</v>
      </c>
      <c r="L272" s="63">
        <f t="shared" si="90"/>
        <v>75.061993880064705</v>
      </c>
      <c r="M272" s="63">
        <f t="shared" si="90"/>
        <v>65.596796349104054</v>
      </c>
      <c r="N272" s="63">
        <f t="shared" si="90"/>
        <v>61.289292694170072</v>
      </c>
      <c r="O272" s="63">
        <f t="shared" si="90"/>
        <v>42.835080175078637</v>
      </c>
      <c r="P272" s="63">
        <f t="shared" si="90"/>
        <v>56.75083960728805</v>
      </c>
      <c r="Q272" s="63">
        <f t="shared" si="90"/>
        <v>63.462734282190489</v>
      </c>
      <c r="R272" s="63">
        <f t="shared" si="90"/>
        <v>68.688777926694314</v>
      </c>
      <c r="S272" s="63">
        <f t="shared" si="90"/>
        <v>67.793623328684944</v>
      </c>
      <c r="T272" s="63">
        <f t="shared" si="90"/>
        <v>62.080919243942354</v>
      </c>
      <c r="U272" s="63">
        <f t="shared" si="90"/>
        <v>66.810356888339498</v>
      </c>
      <c r="V272" s="63">
        <f t="shared" si="90"/>
        <v>78.196557879690971</v>
      </c>
    </row>
    <row r="273" spans="3:22" x14ac:dyDescent="0.2">
      <c r="C273" s="87" t="s">
        <v>151</v>
      </c>
      <c r="D273" s="60">
        <f t="shared" ref="D273:V273" si="91">+IFERROR(IF(D234&gt;0,+((D234/D41)*100)," "),"")</f>
        <v>67.426549802509356</v>
      </c>
      <c r="E273" s="60">
        <f t="shared" si="91"/>
        <v>27.013173032341648</v>
      </c>
      <c r="F273" s="60">
        <f t="shared" si="91"/>
        <v>27.890536621761541</v>
      </c>
      <c r="G273" s="60">
        <f t="shared" si="91"/>
        <v>46.602539581465372</v>
      </c>
      <c r="H273" s="60">
        <f t="shared" si="91"/>
        <v>30.176671500234114</v>
      </c>
      <c r="I273" s="60">
        <f t="shared" si="91"/>
        <v>8.1309130935734402</v>
      </c>
      <c r="J273" s="60">
        <f t="shared" si="91"/>
        <v>22.758169607052135</v>
      </c>
      <c r="K273" s="60">
        <f t="shared" si="91"/>
        <v>56.29212552312972</v>
      </c>
      <c r="L273" s="60" t="str">
        <f t="shared" si="91"/>
        <v xml:space="preserve"> </v>
      </c>
      <c r="M273" s="60" t="str">
        <f t="shared" si="91"/>
        <v xml:space="preserve"> </v>
      </c>
      <c r="N273" s="60" t="str">
        <f t="shared" si="91"/>
        <v xml:space="preserve"> </v>
      </c>
      <c r="O273" s="60" t="str">
        <f t="shared" si="91"/>
        <v xml:space="preserve"> </v>
      </c>
      <c r="P273" s="60" t="str">
        <f t="shared" si="91"/>
        <v xml:space="preserve"> </v>
      </c>
      <c r="Q273" s="60" t="str">
        <f t="shared" si="91"/>
        <v xml:space="preserve"> </v>
      </c>
      <c r="R273" s="60" t="str">
        <f t="shared" si="91"/>
        <v xml:space="preserve"> </v>
      </c>
      <c r="S273" s="60" t="str">
        <f t="shared" si="91"/>
        <v xml:space="preserve"> </v>
      </c>
      <c r="T273" s="60" t="str">
        <f t="shared" si="91"/>
        <v xml:space="preserve"> </v>
      </c>
      <c r="U273" s="60" t="str">
        <f t="shared" si="91"/>
        <v xml:space="preserve"> </v>
      </c>
      <c r="V273" s="60" t="str">
        <f t="shared" si="91"/>
        <v xml:space="preserve"> </v>
      </c>
    </row>
    <row r="274" spans="3:22" x14ac:dyDescent="0.2">
      <c r="C274" s="79" t="s">
        <v>154</v>
      </c>
      <c r="D274" s="45">
        <f t="shared" ref="D274:V274" si="92">+IFERROR(IF(D235&gt;0,+((D235/D42)*100)," "),"")</f>
        <v>69.652560943080914</v>
      </c>
      <c r="E274" s="45">
        <f t="shared" si="92"/>
        <v>72.859159324641226</v>
      </c>
      <c r="F274" s="45">
        <f t="shared" si="92"/>
        <v>68.963953331441957</v>
      </c>
      <c r="G274" s="45">
        <f t="shared" si="92"/>
        <v>73.141350870396124</v>
      </c>
      <c r="H274" s="45">
        <f t="shared" si="92"/>
        <v>75.517540398428721</v>
      </c>
      <c r="I274" s="45">
        <f t="shared" si="92"/>
        <v>78.581304483473147</v>
      </c>
      <c r="J274" s="45">
        <f t="shared" si="92"/>
        <v>69.923420478542837</v>
      </c>
      <c r="K274" s="45">
        <f t="shared" si="92"/>
        <v>74.344003628516248</v>
      </c>
      <c r="L274" s="45">
        <f t="shared" si="92"/>
        <v>80.004480742062313</v>
      </c>
      <c r="M274" s="45">
        <f t="shared" si="92"/>
        <v>78.606944845983378</v>
      </c>
      <c r="N274" s="45">
        <f t="shared" si="92"/>
        <v>77.44327150990874</v>
      </c>
      <c r="O274" s="45">
        <f t="shared" si="92"/>
        <v>68.294679732248596</v>
      </c>
      <c r="P274" s="45">
        <f t="shared" si="92"/>
        <v>75.811745800291845</v>
      </c>
      <c r="Q274" s="45">
        <f t="shared" si="92"/>
        <v>79.276658590371355</v>
      </c>
      <c r="R274" s="45">
        <f t="shared" si="92"/>
        <v>78.939959286896027</v>
      </c>
      <c r="S274" s="45">
        <f t="shared" si="92"/>
        <v>79.160048740503044</v>
      </c>
      <c r="T274" s="45">
        <f t="shared" si="92"/>
        <v>82.309420476977053</v>
      </c>
      <c r="U274" s="45">
        <f t="shared" si="92"/>
        <v>81.431105301915551</v>
      </c>
      <c r="V274" s="45">
        <f t="shared" si="92"/>
        <v>84.807822629714593</v>
      </c>
    </row>
    <row r="275" spans="3:22" x14ac:dyDescent="0.2">
      <c r="C275" s="1" t="s">
        <v>52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A5:C6"/>
    <mergeCell ref="D126:V126"/>
    <mergeCell ref="N204:N205"/>
    <mergeCell ref="O6:O7"/>
    <mergeCell ref="D50:D51"/>
    <mergeCell ref="L87:Q87"/>
    <mergeCell ref="C89:C90"/>
    <mergeCell ref="D4:V4"/>
    <mergeCell ref="M6:M7"/>
    <mergeCell ref="C11:C12"/>
    <mergeCell ref="O50:O51"/>
    <mergeCell ref="R89:R90"/>
    <mergeCell ref="Q50:Q51"/>
    <mergeCell ref="E11:E12"/>
    <mergeCell ref="T89:T90"/>
    <mergeCell ref="I166:I167"/>
    <mergeCell ref="O11:O12"/>
    <mergeCell ref="J50:J51"/>
    <mergeCell ref="L50:L51"/>
    <mergeCell ref="F50:F51"/>
    <mergeCell ref="H6:H7"/>
    <mergeCell ref="J6:J7"/>
    <mergeCell ref="U204:U205"/>
    <mergeCell ref="V6:V7"/>
    <mergeCell ref="K50:K51"/>
    <mergeCell ref="D166:D167"/>
    <mergeCell ref="D2:V2"/>
    <mergeCell ref="M166:M167"/>
    <mergeCell ref="T204:T205"/>
    <mergeCell ref="V204:V205"/>
    <mergeCell ref="C243:C244"/>
    <mergeCell ref="T6:T7"/>
    <mergeCell ref="E243:E244"/>
    <mergeCell ref="V50:V51"/>
    <mergeCell ref="I128:I129"/>
    <mergeCell ref="L11:L12"/>
    <mergeCell ref="O243:O244"/>
    <mergeCell ref="D86:V86"/>
    <mergeCell ref="N11:N12"/>
    <mergeCell ref="K128:K129"/>
    <mergeCell ref="Q243:Q244"/>
    <mergeCell ref="U128:U129"/>
    <mergeCell ref="C204:C205"/>
    <mergeCell ref="R11:R12"/>
    <mergeCell ref="E204:E205"/>
    <mergeCell ref="D6:D7"/>
    <mergeCell ref="I89:I90"/>
    <mergeCell ref="O204:O205"/>
    <mergeCell ref="D128:D129"/>
    <mergeCell ref="J89:J90"/>
    <mergeCell ref="G6:G7"/>
    <mergeCell ref="L89:L90"/>
    <mergeCell ref="Q6:Q7"/>
    <mergeCell ref="F243:F244"/>
    <mergeCell ref="S6:S7"/>
    <mergeCell ref="R50:R51"/>
    <mergeCell ref="L164:Q164"/>
    <mergeCell ref="F6:F7"/>
    <mergeCell ref="F166:F167"/>
    <mergeCell ref="H166:H167"/>
    <mergeCell ref="S50:S51"/>
    <mergeCell ref="G11:G12"/>
    <mergeCell ref="P50:P51"/>
    <mergeCell ref="I50:I51"/>
    <mergeCell ref="D163:V163"/>
    <mergeCell ref="I6:I7"/>
    <mergeCell ref="N89:N90"/>
    <mergeCell ref="K6:K7"/>
    <mergeCell ref="M50:M51"/>
    <mergeCell ref="P89:P90"/>
    <mergeCell ref="L128:L129"/>
    <mergeCell ref="E6:E7"/>
    <mergeCell ref="N128:N129"/>
    <mergeCell ref="E166:E167"/>
    <mergeCell ref="D89:D90"/>
    <mergeCell ref="K166:K167"/>
    <mergeCell ref="Q128:Q129"/>
    <mergeCell ref="F128:F129"/>
    <mergeCell ref="A7:C7"/>
    <mergeCell ref="I11:I12"/>
    <mergeCell ref="U50:U51"/>
    <mergeCell ref="I204:I205"/>
    <mergeCell ref="J243:J244"/>
    <mergeCell ref="L243:L244"/>
    <mergeCell ref="P128:P129"/>
    <mergeCell ref="S11:S12"/>
    <mergeCell ref="N243:N244"/>
    <mergeCell ref="R128:R129"/>
    <mergeCell ref="U11:U12"/>
    <mergeCell ref="D202:V202"/>
    <mergeCell ref="M11:M12"/>
    <mergeCell ref="R243:R244"/>
    <mergeCell ref="C50:C51"/>
    <mergeCell ref="F89:F90"/>
    <mergeCell ref="L204:L205"/>
    <mergeCell ref="Q166:Q167"/>
    <mergeCell ref="G166:G167"/>
    <mergeCell ref="K11:K12"/>
    <mergeCell ref="C166:C167"/>
    <mergeCell ref="O166:O167"/>
    <mergeCell ref="N50:N51"/>
    <mergeCell ref="D11:D12"/>
    <mergeCell ref="U243:U244"/>
    <mergeCell ref="E128:E129"/>
    <mergeCell ref="U166:U167"/>
    <mergeCell ref="S243:S244"/>
    <mergeCell ref="G204:G205"/>
    <mergeCell ref="V11:V12"/>
    <mergeCell ref="M89:M90"/>
    <mergeCell ref="T11:T12"/>
    <mergeCell ref="Q11:Q12"/>
    <mergeCell ref="V243:V244"/>
    <mergeCell ref="E50:E51"/>
    <mergeCell ref="G50:G51"/>
    <mergeCell ref="V89:V90"/>
    <mergeCell ref="L241:Q241"/>
    <mergeCell ref="H243:H244"/>
    <mergeCell ref="T243:T244"/>
    <mergeCell ref="H204:H205"/>
    <mergeCell ref="J204:J205"/>
    <mergeCell ref="Q204:Q205"/>
    <mergeCell ref="R166:R167"/>
    <mergeCell ref="D47:V47"/>
    <mergeCell ref="T166:T167"/>
    <mergeCell ref="H89:H90"/>
    <mergeCell ref="D243:D244"/>
    <mergeCell ref="U6:U7"/>
    <mergeCell ref="S204:S205"/>
    <mergeCell ref="O89:O90"/>
    <mergeCell ref="V166:V167"/>
    <mergeCell ref="G89:G90"/>
    <mergeCell ref="L6:L7"/>
    <mergeCell ref="Q89:Q90"/>
    <mergeCell ref="N6:N7"/>
    <mergeCell ref="S89:S90"/>
    <mergeCell ref="F11:F12"/>
    <mergeCell ref="U89:U90"/>
    <mergeCell ref="G243:G244"/>
    <mergeCell ref="D204:D205"/>
    <mergeCell ref="F204:F205"/>
    <mergeCell ref="I243:I244"/>
    <mergeCell ref="M128:M129"/>
    <mergeCell ref="P11:P12"/>
    <mergeCell ref="D240:V240"/>
    <mergeCell ref="O128:O129"/>
    <mergeCell ref="P204:P205"/>
    <mergeCell ref="R204:R205"/>
    <mergeCell ref="G128:G129"/>
    <mergeCell ref="S166:S167"/>
    <mergeCell ref="C128:C129"/>
    <mergeCell ref="H50:H51"/>
    <mergeCell ref="D9:V9"/>
    <mergeCell ref="K89:K90"/>
    <mergeCell ref="P6:P7"/>
    <mergeCell ref="R6:R7"/>
    <mergeCell ref="H11:H12"/>
    <mergeCell ref="T50:T51"/>
    <mergeCell ref="K243:K244"/>
    <mergeCell ref="J11:J12"/>
    <mergeCell ref="M243:M244"/>
    <mergeCell ref="S128:S129"/>
    <mergeCell ref="J166:J167"/>
    <mergeCell ref="L166:L167"/>
    <mergeCell ref="H128:H129"/>
    <mergeCell ref="E89:E90"/>
    <mergeCell ref="J128:J129"/>
    <mergeCell ref="K204:K205"/>
    <mergeCell ref="M204:M205"/>
    <mergeCell ref="P243:P244"/>
    <mergeCell ref="N166:N167"/>
    <mergeCell ref="T128:T129"/>
    <mergeCell ref="P166:P167"/>
    <mergeCell ref="V128:V129"/>
  </mergeCells>
  <pageMargins left="0.7" right="0.7" top="0.75" bottom="0.75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297"/>
  <sheetViews>
    <sheetView showGridLines="0" zoomScaleNormal="100" workbookViewId="0">
      <pane xSplit="3" ySplit="8" topLeftCell="D274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N295" sqref="N295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A6" s="165" t="s">
        <v>24</v>
      </c>
      <c r="B6" s="156"/>
      <c r="C6" s="156"/>
      <c r="D6" s="161"/>
      <c r="E6" s="178"/>
      <c r="F6" s="178"/>
      <c r="G6" s="178"/>
      <c r="H6" s="178"/>
      <c r="I6" s="178"/>
      <c r="J6" s="178"/>
      <c r="K6" s="178"/>
    </row>
    <row r="7" spans="1:11" s="102" customFormat="1" ht="16.5" customHeight="1" x14ac:dyDescent="0.25">
      <c r="A7" s="175"/>
      <c r="B7" s="175"/>
      <c r="C7" s="175"/>
      <c r="D7" s="151">
        <v>2019</v>
      </c>
      <c r="E7" s="151">
        <v>2020</v>
      </c>
      <c r="F7" s="151">
        <v>2021</v>
      </c>
      <c r="G7" s="151">
        <v>2022</v>
      </c>
      <c r="H7" s="151">
        <v>2023</v>
      </c>
      <c r="I7" s="151">
        <v>2024</v>
      </c>
      <c r="J7" s="151">
        <v>2025</v>
      </c>
      <c r="K7" s="151" t="s">
        <v>10</v>
      </c>
    </row>
    <row r="8" spans="1:11" s="102" customFormat="1" ht="16.5" customHeight="1" x14ac:dyDescent="0.25">
      <c r="A8" s="162" t="s">
        <v>227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02" customFormat="1" ht="16.5" customHeight="1" x14ac:dyDescent="0.25">
      <c r="A9" s="99"/>
      <c r="B9" s="98"/>
      <c r="C9" s="98"/>
      <c r="D9" s="98"/>
    </row>
    <row r="10" spans="1:11" ht="16.5" customHeight="1" x14ac:dyDescent="0.2">
      <c r="D10" s="155" t="s">
        <v>119</v>
      </c>
      <c r="E10" s="178"/>
      <c r="F10" s="178"/>
      <c r="G10" s="178"/>
      <c r="H10" s="178"/>
      <c r="I10" s="178"/>
      <c r="J10" s="178"/>
      <c r="K10" s="178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76" t="s">
        <v>120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10</v>
      </c>
    </row>
    <row r="13" spans="1:11" ht="9.9499999999999993" customHeight="1" thickBot="1" x14ac:dyDescent="0.25">
      <c r="C13" s="160"/>
      <c r="D13" s="154"/>
      <c r="E13" s="154"/>
      <c r="F13" s="154"/>
      <c r="G13" s="154"/>
      <c r="H13" s="154"/>
      <c r="I13" s="154"/>
      <c r="J13" s="154"/>
      <c r="K13" s="154"/>
    </row>
    <row r="14" spans="1:11" x14ac:dyDescent="0.2">
      <c r="C14" s="87" t="s">
        <v>123</v>
      </c>
      <c r="D14" s="42">
        <f>69.265996218*Deflactores!$T$5</f>
        <v>107.4957070940589</v>
      </c>
      <c r="E14" s="42">
        <f>93.975763766*Deflactores!$U$5</f>
        <v>143.53256586669383</v>
      </c>
      <c r="F14" s="42">
        <f>91.179941857*Deflactores!$V$5</f>
        <v>131.85230681025683</v>
      </c>
      <c r="G14" s="42">
        <f>76.979530766*Deflactores!$W$5</f>
        <v>98.406613030665767</v>
      </c>
      <c r="H14" s="42">
        <f>81.439274579*Deflactores!$X$5</f>
        <v>95.266944251484034</v>
      </c>
      <c r="I14" s="42">
        <f>124.945710223*Deflactores!$Y$5</f>
        <v>138.93573049757177</v>
      </c>
      <c r="J14" s="42">
        <f>123.023101576*Deflactores!$Z$5</f>
        <v>130.15844146740801</v>
      </c>
      <c r="K14" s="42">
        <f>99.532016*Deflactores!$AA$5</f>
        <v>99.532015999999999</v>
      </c>
    </row>
    <row r="15" spans="1:11" x14ac:dyDescent="0.2">
      <c r="C15" s="88" t="s">
        <v>124</v>
      </c>
      <c r="D15" s="50">
        <f>129.137686505*Deflactores!$T$5</f>
        <v>200.41214566027514</v>
      </c>
      <c r="E15" s="50">
        <f>149.775903585*Deflactores!$U$5</f>
        <v>228.75812746876952</v>
      </c>
      <c r="F15" s="50">
        <f>201.943780378*Deflactores!$V$5</f>
        <v>292.02424071055725</v>
      </c>
      <c r="G15" s="50">
        <f>238.252096659*Deflactores!$W$5</f>
        <v>304.56904122910476</v>
      </c>
      <c r="H15" s="50">
        <f>254.753766513*Deflactores!$X$5</f>
        <v>298.00870645902995</v>
      </c>
      <c r="I15" s="50">
        <f>280.287470301*Deflactores!$Y$5</f>
        <v>311.67091984257218</v>
      </c>
      <c r="J15" s="50">
        <f>267.363934371*Deflactores!$Z$5</f>
        <v>282.87104256451806</v>
      </c>
      <c r="K15" s="50">
        <f>295.190067302*Deflactores!$AA$5</f>
        <v>295.19006730199999</v>
      </c>
    </row>
    <row r="16" spans="1:11" x14ac:dyDescent="0.2">
      <c r="C16" s="87" t="s">
        <v>125</v>
      </c>
      <c r="D16" s="42">
        <f>0*Deflactores!$T$5</f>
        <v>0</v>
      </c>
      <c r="E16" s="42">
        <f>0*Deflactores!$U$5</f>
        <v>0</v>
      </c>
      <c r="F16" s="42">
        <f>0*Deflactores!$V$5</f>
        <v>0</v>
      </c>
      <c r="G16" s="42">
        <f>0*Deflactores!$W$5</f>
        <v>0</v>
      </c>
      <c r="H16" s="42">
        <f>0*Deflactores!$X$5</f>
        <v>0</v>
      </c>
      <c r="I16" s="42">
        <f>0*Deflactores!$Y$5</f>
        <v>0</v>
      </c>
      <c r="J16" s="42">
        <f>0*Deflactores!$Z$5</f>
        <v>0</v>
      </c>
      <c r="K16" s="42">
        <f>0*Deflactores!$AA$5</f>
        <v>0</v>
      </c>
    </row>
    <row r="17" spans="3:11" x14ac:dyDescent="0.2">
      <c r="C17" s="88" t="s">
        <v>126</v>
      </c>
      <c r="D17" s="50">
        <f>351.81286574*Deflactores!$T$5</f>
        <v>545.98756723982171</v>
      </c>
      <c r="E17" s="50">
        <f>380.127647753*Deflactores!$U$5</f>
        <v>580.58263590935212</v>
      </c>
      <c r="F17" s="50">
        <f>423.618027762*Deflactores!$V$5</f>
        <v>612.58005904884283</v>
      </c>
      <c r="G17" s="50">
        <f>444.673058611*Deflactores!$W$5</f>
        <v>568.446821752029</v>
      </c>
      <c r="H17" s="50">
        <f>488.476218378*Deflactores!$X$5</f>
        <v>571.41516676024503</v>
      </c>
      <c r="I17" s="50">
        <f>512.968430559*Deflactores!$Y$5</f>
        <v>570.40488620783606</v>
      </c>
      <c r="J17" s="50">
        <f>544.504285906*Deflactores!$Z$5</f>
        <v>576.08553448854798</v>
      </c>
      <c r="K17" s="50">
        <f>578.787048837*Deflactores!$AA$5</f>
        <v>578.78704883700004</v>
      </c>
    </row>
    <row r="18" spans="3:11" x14ac:dyDescent="0.2">
      <c r="C18" s="87" t="s">
        <v>127</v>
      </c>
      <c r="D18" s="42">
        <f>0*Deflactores!$T$5</f>
        <v>0</v>
      </c>
      <c r="E18" s="42">
        <f>0*Deflactores!$U$5</f>
        <v>0</v>
      </c>
      <c r="F18" s="42">
        <f>0*Deflactores!$V$5</f>
        <v>0</v>
      </c>
      <c r="G18" s="42">
        <f>0*Deflactores!$W$5</f>
        <v>0</v>
      </c>
      <c r="H18" s="42">
        <f>0*Deflactores!$X$5</f>
        <v>0</v>
      </c>
      <c r="I18" s="42">
        <f>0*Deflactores!$Y$5</f>
        <v>0</v>
      </c>
      <c r="J18" s="42">
        <f>0*Deflactores!$Z$5</f>
        <v>0</v>
      </c>
      <c r="K18" s="42">
        <f>0*Deflactores!$AA$5</f>
        <v>0</v>
      </c>
    </row>
    <row r="19" spans="3:11" x14ac:dyDescent="0.2">
      <c r="C19" s="88" t="s">
        <v>128</v>
      </c>
      <c r="D19" s="50">
        <f>10.081667694*Deflactores!$T$5</f>
        <v>15.646003185214164</v>
      </c>
      <c r="E19" s="50">
        <f>11.359510347*Deflactores!$U$5</f>
        <v>17.349788942966384</v>
      </c>
      <c r="F19" s="50">
        <f>16.405886238*Deflactores!$V$5</f>
        <v>23.724011023602976</v>
      </c>
      <c r="G19" s="50">
        <f>23.72595271*Deflactores!$W$5</f>
        <v>30.330019212692665</v>
      </c>
      <c r="H19" s="50">
        <f>15.98364996*Deflactores!$X$5</f>
        <v>18.69753257928949</v>
      </c>
      <c r="I19" s="50">
        <f>18.680102932*Deflactores!$Y$5</f>
        <v>20.771691497012302</v>
      </c>
      <c r="J19" s="50">
        <f>19.77255738*Deflactores!$Z$5</f>
        <v>20.919365708040001</v>
      </c>
      <c r="K19" s="50">
        <f>23.987375*Deflactores!$AA$5</f>
        <v>23.987375</v>
      </c>
    </row>
    <row r="20" spans="3:11" x14ac:dyDescent="0.2">
      <c r="C20" s="87" t="s">
        <v>129</v>
      </c>
      <c r="D20" s="42">
        <f>2206.0487627644*Deflactores!$T$5</f>
        <v>3423.6246439159386</v>
      </c>
      <c r="E20" s="42">
        <f>1892.445895378*Deflactores!$U$5</f>
        <v>2890.4007186773274</v>
      </c>
      <c r="F20" s="42">
        <f>2352.325438836*Deflactores!$V$5</f>
        <v>3401.6202375453145</v>
      </c>
      <c r="G20" s="42">
        <f>2745.350646853*Deflactores!$W$5</f>
        <v>3509.5129322050193</v>
      </c>
      <c r="H20" s="42">
        <f>2648.8707*Deflactores!$X$5</f>
        <v>3098.6255539579747</v>
      </c>
      <c r="I20" s="42">
        <f>2928.604639961*Deflactores!$Y$5</f>
        <v>3256.5169645709034</v>
      </c>
      <c r="J20" s="42">
        <f>2765.605375879*Deflactores!$Z$5</f>
        <v>2926.0104876799819</v>
      </c>
      <c r="K20" s="42">
        <f>3154.52*Deflactores!$AA$5</f>
        <v>3154.52</v>
      </c>
    </row>
    <row r="21" spans="3:11" x14ac:dyDescent="0.2">
      <c r="C21" s="88" t="s">
        <v>130</v>
      </c>
      <c r="D21" s="50">
        <f>0*Deflactores!$T$5</f>
        <v>0</v>
      </c>
      <c r="E21" s="50">
        <f>0*Deflactores!$U$5</f>
        <v>0</v>
      </c>
      <c r="F21" s="50">
        <f>0*Deflactores!$V$5</f>
        <v>0</v>
      </c>
      <c r="G21" s="50">
        <f>0*Deflactores!$W$5</f>
        <v>0</v>
      </c>
      <c r="H21" s="50">
        <f>0*Deflactores!$X$5</f>
        <v>0</v>
      </c>
      <c r="I21" s="50">
        <f>0*Deflactores!$Y$5</f>
        <v>0</v>
      </c>
      <c r="J21" s="50">
        <f>0*Deflactores!$Z$5</f>
        <v>0</v>
      </c>
      <c r="K21" s="50">
        <f>0*Deflactores!$AA$5</f>
        <v>0</v>
      </c>
    </row>
    <row r="22" spans="3:11" x14ac:dyDescent="0.2">
      <c r="C22" s="87" t="s">
        <v>131</v>
      </c>
      <c r="D22" s="42">
        <f>23.92491915*Deflactores!$T$5</f>
        <v>37.12970637285234</v>
      </c>
      <c r="E22" s="42">
        <f>25.199122631*Deflactores!$U$5</f>
        <v>38.48752682471391</v>
      </c>
      <c r="F22" s="42">
        <f>29.496360368*Deflactores!$V$5</f>
        <v>42.653713939924607</v>
      </c>
      <c r="G22" s="42">
        <f>32.598041209*Deflactores!$W$5</f>
        <v>41.671633938155871</v>
      </c>
      <c r="H22" s="42">
        <f>39.564147831*Deflactores!$X$5</f>
        <v>46.28179076075989</v>
      </c>
      <c r="I22" s="42">
        <f>49.386459767*Deflactores!$Y$5</f>
        <v>54.916202022228447</v>
      </c>
      <c r="J22" s="42">
        <f>59.035689513*Deflactores!$Z$5</f>
        <v>62.459759504754004</v>
      </c>
      <c r="K22" s="42">
        <f>79.386581*Deflactores!$AA$5</f>
        <v>79.386581000000007</v>
      </c>
    </row>
    <row r="23" spans="3:11" x14ac:dyDescent="0.2">
      <c r="C23" s="88" t="s">
        <v>132</v>
      </c>
      <c r="D23" s="50">
        <f>368.224789105*Deflactores!$T$5</f>
        <v>571.45765939502155</v>
      </c>
      <c r="E23" s="50">
        <f>303.28929749*Deflactores!$U$5</f>
        <v>463.22465840279096</v>
      </c>
      <c r="F23" s="50">
        <f>448.847231154*Deflactores!$V$5</f>
        <v>649.06317801636146</v>
      </c>
      <c r="G23" s="50">
        <f>457.359850456*Deflactores!$W$5</f>
        <v>584.66495406939225</v>
      </c>
      <c r="H23" s="50">
        <f>520.316743384*Deflactores!$X$5</f>
        <v>608.66193174391503</v>
      </c>
      <c r="I23" s="50">
        <f>524.275323799*Deflactores!$Y$5</f>
        <v>582.9777986283882</v>
      </c>
      <c r="J23" s="50">
        <f>556.26519656*Deflactores!$Z$5</f>
        <v>588.52857796048011</v>
      </c>
      <c r="K23" s="50">
        <f>598.748893*Deflactores!$AA$5</f>
        <v>598.74889299999995</v>
      </c>
    </row>
    <row r="24" spans="3:11" x14ac:dyDescent="0.2">
      <c r="C24" s="87" t="s">
        <v>133</v>
      </c>
      <c r="D24" s="42">
        <f>68.121022743*Deflactores!$T$5</f>
        <v>105.71879287901319</v>
      </c>
      <c r="E24" s="42">
        <f>62.45681145*Deflactores!$U$5</f>
        <v>95.392535734986467</v>
      </c>
      <c r="F24" s="42">
        <f>97.386389181*Deflactores!$V$5</f>
        <v>140.8272455972234</v>
      </c>
      <c r="G24" s="42">
        <f>47.0045408*Deflactores!$W$5</f>
        <v>60.088150852079998</v>
      </c>
      <c r="H24" s="42">
        <f>59.315842393*Deflactores!$X$5</f>
        <v>69.38714864168098</v>
      </c>
      <c r="I24" s="42">
        <f>48.512851476*Deflactores!$Y$5</f>
        <v>53.944776865957039</v>
      </c>
      <c r="J24" s="42">
        <f>41.465715*Deflactores!$Z$5</f>
        <v>43.870726470000008</v>
      </c>
      <c r="K24" s="42">
        <f>42.564540014*Deflactores!$AA$5</f>
        <v>42.564540014000002</v>
      </c>
    </row>
    <row r="25" spans="3:11" x14ac:dyDescent="0.2">
      <c r="C25" s="88" t="s">
        <v>134</v>
      </c>
      <c r="D25" s="50">
        <f>252.665*Deflactores!$T$5</f>
        <v>392.11740703820669</v>
      </c>
      <c r="E25" s="50">
        <f>293.356195675*Deflactores!$U$5</f>
        <v>448.05347454232106</v>
      </c>
      <c r="F25" s="50">
        <f>346.174916*Deflactores!$V$5</f>
        <v>500.59212919911221</v>
      </c>
      <c r="G25" s="50">
        <f>365.151244824*Deflactores!$W$5</f>
        <v>466.79028683988986</v>
      </c>
      <c r="H25" s="50">
        <f>407.304081827*Deflactores!$X$5</f>
        <v>476.46071821494803</v>
      </c>
      <c r="I25" s="50">
        <f>493.208453895*Deflactores!$Y$5</f>
        <v>548.43240882123393</v>
      </c>
      <c r="J25" s="50">
        <f>442.088900109*Deflactores!$Z$5</f>
        <v>467.73005631532203</v>
      </c>
      <c r="K25" s="50">
        <f>599.034869*Deflactores!$AA$5</f>
        <v>599.03486899999996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0*Deflactores!$X$5</f>
        <v>0</v>
      </c>
      <c r="I26" s="42">
        <f>4534.189286913*Deflactores!$Y$5</f>
        <v>5041.8769853497415</v>
      </c>
      <c r="J26" s="42">
        <f>4393.176075248*Deflactores!$Z$5</f>
        <v>4647.9802876123849</v>
      </c>
      <c r="K26" s="42">
        <f>4634.901638911*Deflactores!$AA$5</f>
        <v>4634.9016389110002</v>
      </c>
    </row>
    <row r="27" spans="3:11" x14ac:dyDescent="0.2">
      <c r="C27" s="88" t="s">
        <v>136</v>
      </c>
      <c r="D27" s="50">
        <f>2639.988657234*Deflactores!$T$5</f>
        <v>4097.0672902256874</v>
      </c>
      <c r="E27" s="50">
        <f>2570.458132205*Deflactores!$U$5</f>
        <v>3925.9532073287105</v>
      </c>
      <c r="F27" s="50">
        <f>2977.909*Deflactores!$V$5</f>
        <v>4306.2559936353073</v>
      </c>
      <c r="G27" s="50">
        <f>3200.618203527*Deflactores!$W$5</f>
        <v>4091.5032071421415</v>
      </c>
      <c r="H27" s="50">
        <f>3896.937817041*Deflactores!$X$5</f>
        <v>4558.6034463926271</v>
      </c>
      <c r="I27" s="50">
        <f>64.1165088*Deflactores!$Y$5</f>
        <v>71.295556855718218</v>
      </c>
      <c r="J27" s="50">
        <f>36.758051233*Deflactores!$Z$5</f>
        <v>38.890018204514007</v>
      </c>
      <c r="K27" s="50">
        <f>67.6371*Deflactores!$AA$5</f>
        <v>67.637100000000004</v>
      </c>
    </row>
    <row r="28" spans="3:11" x14ac:dyDescent="0.2">
      <c r="C28" s="87" t="s">
        <v>137</v>
      </c>
      <c r="D28" s="42">
        <f>45.151440557*Deflactores!$T$5</f>
        <v>70.071698871037</v>
      </c>
      <c r="E28" s="42">
        <f>38.42789807*Deflactores!$U$5</f>
        <v>58.692311611160427</v>
      </c>
      <c r="F28" s="42">
        <f>109.989438877*Deflactores!$V$5</f>
        <v>159.05210011476694</v>
      </c>
      <c r="G28" s="42">
        <f>98.378398775*Deflactores!$W$5</f>
        <v>125.76180865867073</v>
      </c>
      <c r="H28" s="42">
        <f>54.872029584*Deflactores!$X$5</f>
        <v>64.188815658884522</v>
      </c>
      <c r="I28" s="42">
        <f>66.238031157*Deflactores!$Y$5</f>
        <v>73.654623508832202</v>
      </c>
      <c r="J28" s="42">
        <f>61.597597522*Deflactores!$Z$5</f>
        <v>65.170258178276001</v>
      </c>
      <c r="K28" s="42">
        <f>67.597446*Deflactores!$AA$5</f>
        <v>67.597446000000005</v>
      </c>
    </row>
    <row r="29" spans="3:11" x14ac:dyDescent="0.2">
      <c r="C29" s="88" t="s">
        <v>138</v>
      </c>
      <c r="D29" s="50">
        <f>0*Deflactores!$T$5</f>
        <v>0</v>
      </c>
      <c r="E29" s="50">
        <f>0*Deflactores!$U$5</f>
        <v>0</v>
      </c>
      <c r="F29" s="50">
        <f>0*Deflactores!$V$5</f>
        <v>0</v>
      </c>
      <c r="G29" s="50">
        <f>0*Deflactores!$W$5</f>
        <v>0</v>
      </c>
      <c r="H29" s="50">
        <f>0*Deflactores!$X$5</f>
        <v>0</v>
      </c>
      <c r="I29" s="50">
        <f>0*Deflactores!$Y$5</f>
        <v>0</v>
      </c>
      <c r="J29" s="50">
        <f>0*Deflactores!$Z$5</f>
        <v>0</v>
      </c>
      <c r="K29" s="50">
        <f>0*Deflactores!$AA$5</f>
        <v>0</v>
      </c>
    </row>
    <row r="30" spans="3:11" x14ac:dyDescent="0.2">
      <c r="C30" s="87" t="s">
        <v>160</v>
      </c>
      <c r="D30" s="42">
        <f>106.570360693*Deflactores!$T$5</f>
        <v>165.38932381637974</v>
      </c>
      <c r="E30" s="42">
        <f>116.069788985*Deflactores!$U$5</f>
        <v>177.27756567220584</v>
      </c>
      <c r="F30" s="42">
        <f>131.144217016*Deflactores!$V$5</f>
        <v>189.64332709822881</v>
      </c>
      <c r="G30" s="42">
        <f>164.184372976*Deflactores!$W$5</f>
        <v>209.88473034792531</v>
      </c>
      <c r="H30" s="42">
        <f>173.596287573*Deflactores!$X$5</f>
        <v>203.07140425764649</v>
      </c>
      <c r="I30" s="42">
        <f>228.9817870285*Deflactores!$Y$5</f>
        <v>254.62060117681236</v>
      </c>
      <c r="J30" s="42">
        <f>217.966224135*Deflactores!$Z$5</f>
        <v>230.60826513483002</v>
      </c>
      <c r="K30" s="42">
        <f>204.946*Deflactores!$AA$5</f>
        <v>204.946</v>
      </c>
    </row>
    <row r="31" spans="3:11" x14ac:dyDescent="0.2">
      <c r="C31" s="88" t="s">
        <v>161</v>
      </c>
      <c r="D31" s="50">
        <f>444.320240828*Deflactores!$T$5</f>
        <v>689.5521767085545</v>
      </c>
      <c r="E31" s="50">
        <f>478.711208054*Deflactores!$U$5</f>
        <v>731.1528552428166</v>
      </c>
      <c r="F31" s="50">
        <f>552.4648*Deflactores!$V$5</f>
        <v>798.90112702320027</v>
      </c>
      <c r="G31" s="50">
        <f>707.174405134*Deflactores!$W$5</f>
        <v>904.01483795416061</v>
      </c>
      <c r="H31" s="50">
        <f>1076.44896482*Deflactores!$X$5</f>
        <v>1259.2204934438139</v>
      </c>
      <c r="I31" s="50">
        <f>929.512151636*Deflactores!$Y$5</f>
        <v>1033.5885046667638</v>
      </c>
      <c r="J31" s="50">
        <f>847.998097531*Deflactores!$Z$5</f>
        <v>897.18198718779797</v>
      </c>
      <c r="K31" s="50">
        <f>1015.367589758*Deflactores!$AA$5</f>
        <v>1015.367589758</v>
      </c>
    </row>
    <row r="32" spans="3:11" x14ac:dyDescent="0.2">
      <c r="C32" s="87" t="s">
        <v>140</v>
      </c>
      <c r="D32" s="42">
        <f>808.882828519*Deflactores!$T$5</f>
        <v>1255.3263701604919</v>
      </c>
      <c r="E32" s="42">
        <f>1155.308874116*Deflactores!$U$5</f>
        <v>1764.5448190592433</v>
      </c>
      <c r="F32" s="42">
        <f>1545.138664447*Deflactores!$V$5</f>
        <v>2234.3740640740025</v>
      </c>
      <c r="G32" s="42">
        <f>1198.354958409*Deflactores!$W$5</f>
        <v>1531.9144127287811</v>
      </c>
      <c r="H32" s="42">
        <f>2016.561893797*Deflactores!$X$5</f>
        <v>2358.9562960763892</v>
      </c>
      <c r="I32" s="42">
        <f>4743.915674858*Deflactores!$Y$5</f>
        <v>5275.0861836627537</v>
      </c>
      <c r="J32" s="42">
        <f>3963.608638279*Deflactores!$Z$5</f>
        <v>4193.4979392991818</v>
      </c>
      <c r="K32" s="42">
        <f>3420.984603088*Deflactores!$AA$5</f>
        <v>3420.9846030879999</v>
      </c>
    </row>
    <row r="33" spans="1:11" x14ac:dyDescent="0.2">
      <c r="C33" s="88" t="s">
        <v>141</v>
      </c>
      <c r="D33" s="50">
        <f>20.727*Deflactores!$T$5</f>
        <v>32.166772191165812</v>
      </c>
      <c r="E33" s="50">
        <f>21.347*Deflactores!$U$5</f>
        <v>32.604041305646199</v>
      </c>
      <c r="F33" s="50">
        <f>20.93313*Deflactores!$V$5</f>
        <v>30.270708919596622</v>
      </c>
      <c r="G33" s="50">
        <f>30.577919*Deflactores!$W$5</f>
        <v>39.089215176732097</v>
      </c>
      <c r="H33" s="50">
        <f>49.815*Deflactores!$X$5</f>
        <v>58.273147107715189</v>
      </c>
      <c r="I33" s="50">
        <f>17.75*Deflactores!$Y$5</f>
        <v>19.737446063017675</v>
      </c>
      <c r="J33" s="50">
        <f>19.572818033*Deflactores!$Z$5</f>
        <v>20.708041478914001</v>
      </c>
      <c r="K33" s="50">
        <f>22.275956669*Deflactores!$AA$5</f>
        <v>22.275956668999999</v>
      </c>
    </row>
    <row r="34" spans="1:11" x14ac:dyDescent="0.2">
      <c r="C34" s="87" t="s">
        <v>142</v>
      </c>
      <c r="D34" s="42">
        <f>141.477228913*Deflactores!$T$5</f>
        <v>219.56220353557623</v>
      </c>
      <c r="E34" s="42">
        <f>343.527796928999*Deflactores!$U$5</f>
        <v>524.682366642185</v>
      </c>
      <c r="F34" s="42">
        <f>725.726626879*Deflactores!$V$5</f>
        <v>1049.4493407080029</v>
      </c>
      <c r="G34" s="42">
        <f>303.420755592*Deflactores!$W$5</f>
        <v>387.87725235397238</v>
      </c>
      <c r="H34" s="42">
        <f>328.9172*Deflactores!$X$5</f>
        <v>384.76443605054254</v>
      </c>
      <c r="I34" s="42">
        <f>297.381662781*Deflactores!$Y$5</f>
        <v>330.67912840960554</v>
      </c>
      <c r="J34" s="42">
        <f>259.1457439*Deflactores!$Z$5</f>
        <v>274.1761970462</v>
      </c>
      <c r="K34" s="42">
        <f>356.011905331*Deflactores!$AA$5</f>
        <v>356.01190533099998</v>
      </c>
    </row>
    <row r="35" spans="1:11" x14ac:dyDescent="0.2">
      <c r="C35" s="88" t="s">
        <v>143</v>
      </c>
      <c r="D35" s="50">
        <f>65.425576861*Deflactores!$T$5</f>
        <v>101.53566007446308</v>
      </c>
      <c r="E35" s="50">
        <f>37.175760739*Deflactores!$U$5</f>
        <v>56.779877205376685</v>
      </c>
      <c r="F35" s="50">
        <f>140.260395277*Deflactores!$V$5</f>
        <v>202.82593183043491</v>
      </c>
      <c r="G35" s="50">
        <f>129.934163842*Deflactores!$W$5</f>
        <v>166.10105119412154</v>
      </c>
      <c r="H35" s="50">
        <f>85.558953356*Deflactores!$X$5</f>
        <v>100.08610810591851</v>
      </c>
      <c r="I35" s="50">
        <f>56.133921012*Deflactores!$Y$5</f>
        <v>62.419168353805333</v>
      </c>
      <c r="J35" s="50">
        <f>8.979918869*Deflactores!$Z$5</f>
        <v>9.5007541634020001</v>
      </c>
      <c r="K35" s="50">
        <f>54.002496961*Deflactores!$AA$5</f>
        <v>54.002496960999999</v>
      </c>
    </row>
    <row r="36" spans="1:11" x14ac:dyDescent="0.2">
      <c r="C36" s="87" t="s">
        <v>144</v>
      </c>
      <c r="D36" s="42">
        <f>0*Deflactores!$T$5</f>
        <v>0</v>
      </c>
      <c r="E36" s="42">
        <f>0*Deflactores!$U$5</f>
        <v>0</v>
      </c>
      <c r="F36" s="42">
        <f>0*Deflactores!$V$5</f>
        <v>0</v>
      </c>
      <c r="G36" s="42">
        <f>0*Deflactores!$W$5</f>
        <v>0</v>
      </c>
      <c r="H36" s="42">
        <f>0*Deflactores!$X$5</f>
        <v>0</v>
      </c>
      <c r="I36" s="42">
        <f>0*Deflactores!$Y$5</f>
        <v>0</v>
      </c>
      <c r="J36" s="42">
        <f>0*Deflactores!$Z$5</f>
        <v>0</v>
      </c>
      <c r="K36" s="42">
        <f>0*Deflactores!$AA$5</f>
        <v>0</v>
      </c>
    </row>
    <row r="37" spans="1:11" x14ac:dyDescent="0.2">
      <c r="C37" s="88" t="s">
        <v>145</v>
      </c>
      <c r="D37" s="50">
        <f>97.254704591*Deflactores!$T$5</f>
        <v>150.93211401060574</v>
      </c>
      <c r="E37" s="50">
        <f>77.879200865*Deflactores!$U$5</f>
        <v>118.94770608765528</v>
      </c>
      <c r="F37" s="50">
        <f>108.4391*Deflactores!$V$5</f>
        <v>156.81020619482277</v>
      </c>
      <c r="G37" s="50">
        <f>136.836093997*Deflactores!$W$5</f>
        <v>174.92411835456403</v>
      </c>
      <c r="H37" s="50">
        <f>173.870283784*Deflactores!$X$5</f>
        <v>203.39192260574566</v>
      </c>
      <c r="I37" s="50">
        <f>219.620652433*Deflactores!$Y$5</f>
        <v>244.21131164625857</v>
      </c>
      <c r="J37" s="50">
        <f>251.249795192*Deflactores!$Z$5</f>
        <v>265.82228331313598</v>
      </c>
      <c r="K37" s="50">
        <f>259.311080432*Deflactores!$AA$5</f>
        <v>259.31108043199998</v>
      </c>
    </row>
    <row r="38" spans="1:11" x14ac:dyDescent="0.2">
      <c r="C38" s="87" t="s">
        <v>146</v>
      </c>
      <c r="D38" s="42">
        <f>222.986*Deflactores!$T$5</f>
        <v>346.05779243591934</v>
      </c>
      <c r="E38" s="42">
        <f>189.62263943*Deflactores!$U$5</f>
        <v>289.61748107281466</v>
      </c>
      <c r="F38" s="42">
        <f>227.302273946*Deflactores!$V$5</f>
        <v>328.69432193760696</v>
      </c>
      <c r="G38" s="42">
        <f>203.453*Deflactores!$W$5</f>
        <v>260.08369292075355</v>
      </c>
      <c r="H38" s="42">
        <f>244.357829316*Deflactores!$X$5</f>
        <v>285.84763092749631</v>
      </c>
      <c r="I38" s="42">
        <f>420.620371775*Deflactores!$Y$5</f>
        <v>467.71672681214113</v>
      </c>
      <c r="J38" s="42">
        <f>604.242437338*Deflactores!$Z$5</f>
        <v>639.28849870360398</v>
      </c>
      <c r="K38" s="42">
        <f>651.103961587*Deflactores!$AA$5</f>
        <v>651.10396158699996</v>
      </c>
    </row>
    <row r="39" spans="1:11" x14ac:dyDescent="0.2">
      <c r="C39" s="88" t="s">
        <v>162</v>
      </c>
      <c r="D39" s="50">
        <f>618.754639111*Deflactores!$T$5</f>
        <v>960.26147143872981</v>
      </c>
      <c r="E39" s="50">
        <f>540.529464013*Deflactores!$U$5</f>
        <v>825.5701021969669</v>
      </c>
      <c r="F39" s="50">
        <f>587.184659048*Deflactores!$V$5</f>
        <v>849.10837013359185</v>
      </c>
      <c r="G39" s="50">
        <f>670.557441*Deflactores!$W$5</f>
        <v>857.20562277661338</v>
      </c>
      <c r="H39" s="50">
        <f>786.755919*Deflactores!$X$5</f>
        <v>920.34012658341169</v>
      </c>
      <c r="I39" s="50">
        <f>835.887706989*Deflactores!$Y$5</f>
        <v>929.48104402450201</v>
      </c>
      <c r="J39" s="50">
        <f>862.921839466*Deflactores!$Z$5</f>
        <v>912.97130615502806</v>
      </c>
      <c r="K39" s="50">
        <f>1158.035193*Deflactores!$AA$5</f>
        <v>1158.0351929999999</v>
      </c>
    </row>
    <row r="40" spans="1:11" x14ac:dyDescent="0.2">
      <c r="C40" s="87" t="s">
        <v>148</v>
      </c>
      <c r="D40" s="42">
        <f>0*Deflactores!$T$5</f>
        <v>0</v>
      </c>
      <c r="E40" s="42">
        <f>0*Deflactores!$U$5</f>
        <v>0</v>
      </c>
      <c r="F40" s="42">
        <f>0*Deflactores!$V$5</f>
        <v>0</v>
      </c>
      <c r="G40" s="42">
        <f>0*Deflactores!$W$5</f>
        <v>0</v>
      </c>
      <c r="H40" s="42">
        <f>0*Deflactores!$X$5</f>
        <v>0</v>
      </c>
      <c r="I40" s="42">
        <f>0*Deflactores!$Y$5</f>
        <v>0</v>
      </c>
      <c r="J40" s="42">
        <f>0*Deflactores!$Z$5</f>
        <v>0</v>
      </c>
      <c r="K40" s="42">
        <f>0*Deflactores!$AA$5</f>
        <v>0</v>
      </c>
    </row>
    <row r="41" spans="1:11" x14ac:dyDescent="0.2">
      <c r="C41" s="88" t="s">
        <v>149</v>
      </c>
      <c r="D41" s="50">
        <f>1562.439008477*Deflactores!$T$5</f>
        <v>2424.7898706166184</v>
      </c>
      <c r="E41" s="50">
        <f>1531.753467546*Deflactores!$U$5</f>
        <v>2339.5021935605273</v>
      </c>
      <c r="F41" s="50">
        <f>2380.088034962*Deflactores!$V$5</f>
        <v>3441.7668121943266</v>
      </c>
      <c r="G41" s="50">
        <f>2389.839010958*Deflactores!$W$5</f>
        <v>3055.0454181360701</v>
      </c>
      <c r="H41" s="50">
        <f>2415.951667433*Deflactores!$X$5</f>
        <v>2826.1589264569507</v>
      </c>
      <c r="I41" s="50">
        <f>3126.680338393*Deflactores!$Y$5</f>
        <v>3476.7709597368844</v>
      </c>
      <c r="J41" s="50">
        <f>2086.591800379*Deflactores!$Z$5</f>
        <v>2207.6141248009817</v>
      </c>
      <c r="K41" s="50">
        <f>1977.081804581*Deflactores!$AA$5</f>
        <v>1977.0818045809999</v>
      </c>
    </row>
    <row r="42" spans="1:11" x14ac:dyDescent="0.2">
      <c r="C42" s="87" t="s">
        <v>163</v>
      </c>
      <c r="D42" s="42">
        <f>1657.924781199*Deflactores!$T$5</f>
        <v>2572.9767330977306</v>
      </c>
      <c r="E42" s="42">
        <f>1614.863195126*Deflactores!$U$5</f>
        <v>2466.4386713288</v>
      </c>
      <c r="F42" s="42">
        <f>1705.768063*Deflactores!$V$5</f>
        <v>2466.6549397733238</v>
      </c>
      <c r="G42" s="42">
        <f>1764.436184*Deflactores!$W$5</f>
        <v>2255.5630964287684</v>
      </c>
      <c r="H42" s="42">
        <f>2307.017421138*Deflactores!$X$5</f>
        <v>2698.7286070869495</v>
      </c>
      <c r="I42" s="42">
        <f>2284.916554*Deflactores!$Y$5</f>
        <v>2540.7559010180967</v>
      </c>
      <c r="J42" s="42">
        <f>3070.410328867*Deflactores!$Z$5</f>
        <v>3248.494127941286</v>
      </c>
      <c r="K42" s="42">
        <f>3053.157348*Deflactores!$AA$5</f>
        <v>3053.1573480000002</v>
      </c>
    </row>
    <row r="43" spans="1:11" x14ac:dyDescent="0.2">
      <c r="C43" s="88" t="s">
        <v>150</v>
      </c>
      <c r="D43" s="50">
        <f>2942.355600993*Deflactores!$T$5</f>
        <v>4566.3184408039078</v>
      </c>
      <c r="E43" s="50">
        <f>2879.539785289*Deflactores!$U$5</f>
        <v>4398.0247388773196</v>
      </c>
      <c r="F43" s="50">
        <f>3515.740545*Deflactores!$V$5</f>
        <v>5083.9964532069025</v>
      </c>
      <c r="G43" s="50">
        <f>3450.752820011*Deflactores!$W$5</f>
        <v>4411.2622413292765</v>
      </c>
      <c r="H43" s="50">
        <f>3599.159126825*Deflactores!$X$5</f>
        <v>4210.2645641182171</v>
      </c>
      <c r="I43" s="50">
        <f>4177.91062794*Deflactores!$Y$5</f>
        <v>4645.7062352154398</v>
      </c>
      <c r="J43" s="50">
        <f>4824.254594801*Deflactores!$Z$5</f>
        <v>5104.0613612994584</v>
      </c>
      <c r="K43" s="50">
        <f>7243.268578923*Deflactores!$AA$5</f>
        <v>7243.268578923</v>
      </c>
    </row>
    <row r="44" spans="1:11" x14ac:dyDescent="0.2">
      <c r="C44" s="87" t="s">
        <v>151</v>
      </c>
      <c r="D44" s="42">
        <f>0*Deflactores!$T$5</f>
        <v>0</v>
      </c>
      <c r="E44" s="42">
        <f>0*Deflactores!$U$5</f>
        <v>0</v>
      </c>
      <c r="F44" s="42">
        <f>0*Deflactores!$V$5</f>
        <v>0</v>
      </c>
      <c r="G44" s="42">
        <f>0*Deflactores!$W$5</f>
        <v>0</v>
      </c>
      <c r="H44" s="42">
        <f>0*Deflactores!$X$5</f>
        <v>0</v>
      </c>
      <c r="I44" s="42">
        <f>0*Deflactores!$Y$5</f>
        <v>0</v>
      </c>
      <c r="J44" s="42">
        <f>0*Deflactores!$Z$5</f>
        <v>0</v>
      </c>
      <c r="K44" s="42">
        <f>0*Deflactores!$AA$5</f>
        <v>0</v>
      </c>
    </row>
    <row r="45" spans="1:11" ht="21.75" customHeight="1" x14ac:dyDescent="0.2">
      <c r="C45" s="79" t="s">
        <v>152</v>
      </c>
      <c r="D45" s="44">
        <f t="shared" ref="D45:K45" si="0">SUM(D14:D44)</f>
        <v>23051.59755076727</v>
      </c>
      <c r="E45" s="44">
        <f t="shared" si="0"/>
        <v>22615.569969561351</v>
      </c>
      <c r="F45" s="44">
        <f t="shared" si="0"/>
        <v>27092.740818735314</v>
      </c>
      <c r="G45" s="44">
        <f t="shared" si="0"/>
        <v>24134.71115863158</v>
      </c>
      <c r="H45" s="44">
        <f t="shared" si="0"/>
        <v>25414.701418241635</v>
      </c>
      <c r="I45" s="44">
        <f t="shared" si="0"/>
        <v>30006.171755454074</v>
      </c>
      <c r="J45" s="44">
        <f t="shared" si="0"/>
        <v>27854.599442678045</v>
      </c>
      <c r="K45" s="44">
        <f t="shared" si="0"/>
        <v>29657.434093394004</v>
      </c>
    </row>
    <row r="46" spans="1:11" s="31" customFormat="1" x14ac:dyDescent="0.2">
      <c r="A46" s="5"/>
      <c r="B46" s="5"/>
      <c r="C46" s="72" t="str">
        <f>+'C1 Aprop Resumen 2000-2026'!B20</f>
        <v>* Información con corte a 30 de abril</v>
      </c>
      <c r="D46" s="121">
        <f>+D45-'C7 Ejec. Prop 19-26'!D33</f>
        <v>0</v>
      </c>
      <c r="E46" s="121">
        <f>+E45-'C7 Ejec. Prop 19-26'!E33</f>
        <v>0</v>
      </c>
      <c r="F46" s="121">
        <f>+F45-'C7 Ejec. Prop 19-26'!F33</f>
        <v>0</v>
      </c>
      <c r="G46" s="121">
        <f>+G45-'C7 Ejec. Prop 19-26'!G33</f>
        <v>0</v>
      </c>
      <c r="H46" s="121">
        <f>+H45-'C7 Ejec. Prop 19-26'!H33</f>
        <v>0</v>
      </c>
      <c r="I46" s="121">
        <f>+I45-'C7 Ejec. Prop 19-26'!I33</f>
        <v>0</v>
      </c>
      <c r="J46" s="121">
        <f>+J45-'C7 Ejec. Prop 19-26'!J33</f>
        <v>0</v>
      </c>
      <c r="K46" s="121">
        <f>+K45-'C7 Ejec. Prop 19-26'!K33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1" x14ac:dyDescent="0.2">
      <c r="D49" s="10"/>
    </row>
    <row r="51" spans="3:11" ht="18" customHeight="1" x14ac:dyDescent="0.2">
      <c r="D51" s="155" t="s">
        <v>153</v>
      </c>
      <c r="E51" s="178"/>
      <c r="F51" s="178"/>
      <c r="G51" s="178"/>
      <c r="H51" s="178"/>
      <c r="I51" s="178"/>
      <c r="J51" s="178"/>
      <c r="K51" s="178"/>
    </row>
    <row r="52" spans="3:11" ht="11.25" hidden="1" customHeight="1" x14ac:dyDescent="0.2">
      <c r="D52" s="28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ht="12" thickBot="1" x14ac:dyDescent="0.25">
      <c r="C54" s="176" t="s">
        <v>120</v>
      </c>
      <c r="D54" s="153">
        <v>2019</v>
      </c>
      <c r="E54" s="153">
        <v>2020</v>
      </c>
      <c r="F54" s="153">
        <v>2021</v>
      </c>
      <c r="G54" s="153">
        <v>2022</v>
      </c>
      <c r="H54" s="153">
        <v>2023</v>
      </c>
      <c r="I54" s="153">
        <v>2024</v>
      </c>
      <c r="J54" s="153">
        <v>2025</v>
      </c>
      <c r="K54" s="153" t="s">
        <v>10</v>
      </c>
    </row>
    <row r="55" spans="3:11" ht="12" customHeight="1" thickBot="1" x14ac:dyDescent="0.25">
      <c r="C55" s="160"/>
      <c r="D55" s="154"/>
      <c r="E55" s="154"/>
      <c r="F55" s="154"/>
      <c r="G55" s="154"/>
      <c r="H55" s="154"/>
      <c r="I55" s="154"/>
      <c r="J55" s="154"/>
      <c r="K55" s="154"/>
    </row>
    <row r="56" spans="3:11" x14ac:dyDescent="0.2">
      <c r="C56" s="87" t="s">
        <v>123</v>
      </c>
      <c r="D56" s="42">
        <f>60.70700371652*Deflactores!$T$5</f>
        <v>94.212783275802352</v>
      </c>
      <c r="E56" s="42">
        <f>84.55009401387*Deflactores!$U$5</f>
        <v>129.13640125659279</v>
      </c>
      <c r="F56" s="42">
        <f>86.9368905809199*Deflactores!$V$5</f>
        <v>125.71657029550038</v>
      </c>
      <c r="G56" s="42">
        <f>68.88567513719*Deflactores!$W$5</f>
        <v>88.059850574922535</v>
      </c>
      <c r="H56" s="42">
        <f>71.24765676576*Deflactores!$X$5</f>
        <v>83.344879730826705</v>
      </c>
      <c r="I56" s="42">
        <f>118.60804915405*Deflactores!$Y$5</f>
        <v>131.88844917283441</v>
      </c>
      <c r="J56" s="42">
        <f>113.935315915449*Deflactores!$Z$5</f>
        <v>120.54356423854504</v>
      </c>
      <c r="K56" s="42">
        <f>42.10161713011*Deflactores!$AA$5</f>
        <v>42.10161713011</v>
      </c>
    </row>
    <row r="57" spans="3:11" x14ac:dyDescent="0.2">
      <c r="C57" s="88" t="s">
        <v>124</v>
      </c>
      <c r="D57" s="50">
        <f>124.328856942959*Deflactores!$T$5</f>
        <v>192.94919757187276</v>
      </c>
      <c r="E57" s="50">
        <f>144.021200306449*Deflactores!$U$5</f>
        <v>219.96876205931551</v>
      </c>
      <c r="F57" s="50">
        <f>180.884463282789*Deflactores!$V$5</f>
        <v>261.57105679421898</v>
      </c>
      <c r="G57" s="50">
        <f>213.34929406589*Deflactores!$W$5</f>
        <v>272.73459856916577</v>
      </c>
      <c r="H57" s="50">
        <f>225.9729453473*Deflactores!$X$5</f>
        <v>264.34115600897115</v>
      </c>
      <c r="I57" s="50">
        <f>247.62751558465*Deflactores!$Y$5</f>
        <v>275.35406944062527</v>
      </c>
      <c r="J57" s="50">
        <f>256.88568760146*Deflactores!$Z$5</f>
        <v>271.78505748234471</v>
      </c>
      <c r="K57" s="50">
        <f>226.96592037078*Deflactores!$AA$5</f>
        <v>226.96592037078</v>
      </c>
    </row>
    <row r="58" spans="3:11" x14ac:dyDescent="0.2">
      <c r="C58" s="87" t="s">
        <v>125</v>
      </c>
      <c r="D58" s="42">
        <f>0*Deflactores!$T$5</f>
        <v>0</v>
      </c>
      <c r="E58" s="42">
        <f>0*Deflactores!$U$5</f>
        <v>0</v>
      </c>
      <c r="F58" s="42">
        <f>0*Deflactores!$V$5</f>
        <v>0</v>
      </c>
      <c r="G58" s="42">
        <f>0*Deflactores!$W$5</f>
        <v>0</v>
      </c>
      <c r="H58" s="42">
        <f>0*Deflactores!$X$5</f>
        <v>0</v>
      </c>
      <c r="I58" s="42">
        <f>0*Deflactores!$Y$5</f>
        <v>0</v>
      </c>
      <c r="J58" s="42">
        <f>0*Deflactores!$Z$5</f>
        <v>0</v>
      </c>
      <c r="K58" s="42">
        <f>0*Deflactores!$AA$5</f>
        <v>0</v>
      </c>
    </row>
    <row r="59" spans="3:11" x14ac:dyDescent="0.2">
      <c r="C59" s="88" t="s">
        <v>126</v>
      </c>
      <c r="D59" s="50">
        <f>336.69346902338*Deflactores!$T$5</f>
        <v>522.5233809199791</v>
      </c>
      <c r="E59" s="50">
        <f>350.77093917672*Deflactores!$U$5</f>
        <v>535.74507845308892</v>
      </c>
      <c r="F59" s="50">
        <f>373.02493085056*Deflactores!$V$5</f>
        <v>539.41905016258727</v>
      </c>
      <c r="G59" s="50">
        <f>411.33678883529*Deflactores!$W$5</f>
        <v>525.83147495709773</v>
      </c>
      <c r="H59" s="50">
        <f>443.54076421665*Deflactores!$X$5</f>
        <v>518.85006928566224</v>
      </c>
      <c r="I59" s="50">
        <f>461.045969761709*Deflactores!$Y$5</f>
        <v>512.66873018272724</v>
      </c>
      <c r="J59" s="50">
        <f>489.288760237309*Deflactores!$Z$5</f>
        <v>517.66750833107301</v>
      </c>
      <c r="K59" s="50">
        <f>214.89253968621*Deflactores!$AA$5</f>
        <v>214.89253968621</v>
      </c>
    </row>
    <row r="60" spans="3:11" x14ac:dyDescent="0.2">
      <c r="C60" s="87" t="s">
        <v>127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128</v>
      </c>
      <c r="D61" s="50">
        <f>9.67589047123999*Deflactores!$T$5</f>
        <v>15.016266924062759</v>
      </c>
      <c r="E61" s="50">
        <f>11.05793322114*Deflactores!$U$5</f>
        <v>16.889179345909302</v>
      </c>
      <c r="F61" s="50">
        <f>11.2876361612*Deflactores!$V$5</f>
        <v>16.322678387130747</v>
      </c>
      <c r="G61" s="50">
        <f>22.7492003578*Deflactores!$W$5</f>
        <v>29.081390001871448</v>
      </c>
      <c r="H61" s="50">
        <f>13.48445123598*Deflactores!$X$5</f>
        <v>15.773991981151751</v>
      </c>
      <c r="I61" s="50">
        <f>11.9262319684899*Deflactores!$Y$5</f>
        <v>13.261597758484873</v>
      </c>
      <c r="J61" s="50">
        <f>18.89695694104*Deflactores!$Z$5</f>
        <v>19.992980443620318</v>
      </c>
      <c r="K61" s="50">
        <f>9.14634054131999*Deflactores!$AA$5</f>
        <v>9.1463405413199901</v>
      </c>
    </row>
    <row r="62" spans="3:11" x14ac:dyDescent="0.2">
      <c r="C62" s="87" t="s">
        <v>129</v>
      </c>
      <c r="D62" s="42">
        <f>2069.50067085458*Deflactores!$T$5</f>
        <v>3211.7120967262076</v>
      </c>
      <c r="E62" s="42">
        <f>1853.43658726311*Deflactores!$U$5</f>
        <v>2830.820398581644</v>
      </c>
      <c r="F62" s="42">
        <f>1825.42220457594*Deflactores!$V$5</f>
        <v>2639.6828477196982</v>
      </c>
      <c r="G62" s="42">
        <f>2564.98058669211*Deflactores!$W$5</f>
        <v>3278.9372644145087</v>
      </c>
      <c r="H62" s="42">
        <f>2361.03649381141*Deflactores!$X$5</f>
        <v>2761.9196412838778</v>
      </c>
      <c r="I62" s="42">
        <f>2633.21656217436*Deflactores!$Y$5</f>
        <v>2928.0546404597894</v>
      </c>
      <c r="J62" s="42">
        <f>2699.37020121435*Deflactores!$Z$5</f>
        <v>2855.9336728847825</v>
      </c>
      <c r="K62" s="42">
        <f>1004.36505992757*Deflactores!$AA$5</f>
        <v>1004.36505992757</v>
      </c>
    </row>
    <row r="63" spans="3:11" x14ac:dyDescent="0.2">
      <c r="C63" s="88" t="s">
        <v>130</v>
      </c>
      <c r="D63" s="50">
        <f>0*Deflactores!$T$5</f>
        <v>0</v>
      </c>
      <c r="E63" s="50">
        <f>0*Deflactores!$U$5</f>
        <v>0</v>
      </c>
      <c r="F63" s="50">
        <f>0*Deflactores!$V$5</f>
        <v>0</v>
      </c>
      <c r="G63" s="50">
        <f>0*Deflactores!$W$5</f>
        <v>0</v>
      </c>
      <c r="H63" s="50">
        <f>0*Deflactores!$X$5</f>
        <v>0</v>
      </c>
      <c r="I63" s="50">
        <f>0*Deflactores!$Y$5</f>
        <v>0</v>
      </c>
      <c r="J63" s="50">
        <f>0*Deflactores!$Z$5</f>
        <v>0</v>
      </c>
      <c r="K63" s="50">
        <f>0*Deflactores!$AA$5</f>
        <v>0</v>
      </c>
    </row>
    <row r="64" spans="3:11" x14ac:dyDescent="0.2">
      <c r="C64" s="87" t="s">
        <v>131</v>
      </c>
      <c r="D64" s="42">
        <f>21.68704354706*Deflactores!$T$5</f>
        <v>33.65668882511563</v>
      </c>
      <c r="E64" s="42">
        <f>20.60487504441*Deflactores!$U$5</f>
        <v>31.470567154430231</v>
      </c>
      <c r="F64" s="42">
        <f>24.39402736355*Deflactores!$V$5</f>
        <v>35.275398456833599</v>
      </c>
      <c r="G64" s="42">
        <f>29.28348064693*Deflactores!$W$5</f>
        <v>37.434472768781838</v>
      </c>
      <c r="H64" s="42">
        <f>35.33026852938*Deflactores!$X$5</f>
        <v>41.329036141074802</v>
      </c>
      <c r="I64" s="42">
        <f>46.1357764065199*Deflactores!$Y$5</f>
        <v>51.30154357178197</v>
      </c>
      <c r="J64" s="42">
        <f>55.46484717602*Deflactores!$Z$5</f>
        <v>58.681808312229165</v>
      </c>
      <c r="K64" s="42">
        <f>33.63085319124*Deflactores!$AA$5</f>
        <v>33.63085319124</v>
      </c>
    </row>
    <row r="65" spans="3:11" x14ac:dyDescent="0.2">
      <c r="C65" s="88" t="s">
        <v>132</v>
      </c>
      <c r="D65" s="50">
        <f>340.216875732059*Deflactores!$T$5</f>
        <v>527.99144773789317</v>
      </c>
      <c r="E65" s="50">
        <f>222.08220358878*Deflactores!$U$5</f>
        <v>339.19414152140871</v>
      </c>
      <c r="F65" s="50">
        <f>260.7059227921*Deflactores!$V$5</f>
        <v>376.99823688356645</v>
      </c>
      <c r="G65" s="50">
        <f>319.3632566372*Deflactores!$W$5</f>
        <v>408.25731333232409</v>
      </c>
      <c r="H65" s="50">
        <f>409.29115673819*Deflactores!$X$5</f>
        <v>478.7851808991561</v>
      </c>
      <c r="I65" s="50">
        <f>456.07440670332*Deflactores!$Y$5</f>
        <v>507.14050721293324</v>
      </c>
      <c r="J65" s="50">
        <f>494.028590405649*Deflactores!$Z$5</f>
        <v>522.6822486491767</v>
      </c>
      <c r="K65" s="50">
        <f>259.2484995098*Deflactores!$AA$5</f>
        <v>259.24849950980001</v>
      </c>
    </row>
    <row r="66" spans="3:11" x14ac:dyDescent="0.2">
      <c r="C66" s="87" t="s">
        <v>133</v>
      </c>
      <c r="D66" s="42">
        <f>67.77441973651*Deflactores!$T$5</f>
        <v>105.18089062829978</v>
      </c>
      <c r="E66" s="42">
        <f>60.49360399882*Deflactores!$U$5</f>
        <v>92.394058345665954</v>
      </c>
      <c r="F66" s="42">
        <f>88.24275720931*Deflactores!$V$5</f>
        <v>127.60494095941026</v>
      </c>
      <c r="G66" s="42">
        <f>43.78108992185*Deflactores!$W$5</f>
        <v>55.967459545793538</v>
      </c>
      <c r="H66" s="42">
        <f>50.05947120509*Deflactores!$X$5</f>
        <v>58.559127364621943</v>
      </c>
      <c r="I66" s="42">
        <f>43.0927113940499*Deflactores!$Y$5</f>
        <v>47.91775024502801</v>
      </c>
      <c r="J66" s="42">
        <f>41.13881599731*Deflactores!$Z$5</f>
        <v>43.524867325153977</v>
      </c>
      <c r="K66" s="42">
        <f>16.3727370076799*Deflactores!$AA$5</f>
        <v>16.372737007679898</v>
      </c>
    </row>
    <row r="67" spans="3:11" x14ac:dyDescent="0.2">
      <c r="C67" s="88" t="s">
        <v>134</v>
      </c>
      <c r="D67" s="50">
        <f>228.716490426399*Deflactores!$T$5</f>
        <v>354.95109007135301</v>
      </c>
      <c r="E67" s="50">
        <f>251.620361239389*Deflactores!$U$5</f>
        <v>384.30883267862731</v>
      </c>
      <c r="F67" s="50">
        <f>274.53792736379*Deflactores!$V$5</f>
        <v>397.00024251598535</v>
      </c>
      <c r="G67" s="50">
        <f>327.25495291412*Deflactores!$W$5</f>
        <v>418.34564582734907</v>
      </c>
      <c r="H67" s="50">
        <f>351.098005796029*Deflactores!$X$5</f>
        <v>410.71134680271882</v>
      </c>
      <c r="I67" s="50">
        <f>386.55340349605*Deflactores!$Y$5</f>
        <v>429.83532123826456</v>
      </c>
      <c r="J67" s="50">
        <f>410.64822481348*Deflactores!$Z$5</f>
        <v>434.46582185266186</v>
      </c>
      <c r="K67" s="50">
        <f>140.231484796659*Deflactores!$AA$5</f>
        <v>140.231484796659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0*Deflactores!$X$5</f>
        <v>0</v>
      </c>
      <c r="I68" s="42">
        <f>4284.64188479462*Deflactores!$Y$5</f>
        <v>4764.388061998885</v>
      </c>
      <c r="J68" s="42">
        <f>4370.67416369404*Deflactores!$Z$5</f>
        <v>4624.173265188294</v>
      </c>
      <c r="K68" s="42">
        <f>2555.17514728336*Deflactores!$AA$5</f>
        <v>2555.1751472833598</v>
      </c>
    </row>
    <row r="69" spans="3:11" x14ac:dyDescent="0.2">
      <c r="C69" s="88" t="s">
        <v>136</v>
      </c>
      <c r="D69" s="50">
        <f>2560.59790624545*Deflactores!$T$5</f>
        <v>3973.8587119879166</v>
      </c>
      <c r="E69" s="50">
        <f>2495.13312718541*Deflactores!$U$5</f>
        <v>3810.9066164725382</v>
      </c>
      <c r="F69" s="50">
        <f>2658.88961538585*Deflactores!$V$5</f>
        <v>3844.9325827854359</v>
      </c>
      <c r="G69" s="50">
        <f>3064.26585905367*Deflactores!$W$5</f>
        <v>3917.1974889220792</v>
      </c>
      <c r="H69" s="50">
        <f>3738.01043879347*Deflactores!$X$5</f>
        <v>4372.6916027298375</v>
      </c>
      <c r="I69" s="50">
        <f>1.78110219585*Deflactores!$Y$5</f>
        <v>1.9805300576513645</v>
      </c>
      <c r="J69" s="50">
        <f>31.62720305825*Deflactores!$Z$5</f>
        <v>33.461580835628503</v>
      </c>
      <c r="K69" s="50">
        <f>0.216073099259999*Deflactores!$AA$5</f>
        <v>0.21607309925999901</v>
      </c>
    </row>
    <row r="70" spans="3:11" x14ac:dyDescent="0.2">
      <c r="C70" s="87" t="s">
        <v>137</v>
      </c>
      <c r="D70" s="42">
        <f>39.14409166372*Deflactores!$T$5</f>
        <v>60.748737355960536</v>
      </c>
      <c r="E70" s="42">
        <f>32.11227249834*Deflactores!$U$5</f>
        <v>49.046229397762858</v>
      </c>
      <c r="F70" s="42">
        <f>61.53311583762*Deflactores!$V$5</f>
        <v>88.981009454219986</v>
      </c>
      <c r="G70" s="42">
        <f>32.6701203550499*Deflactores!$W$5</f>
        <v>41.763776155214515</v>
      </c>
      <c r="H70" s="42">
        <f>17.05515875453*Deflactores!$X$5</f>
        <v>19.95097410515233</v>
      </c>
      <c r="I70" s="42">
        <f>45.60857075062*Deflactores!$Y$5</f>
        <v>50.715307335306356</v>
      </c>
      <c r="J70" s="42">
        <f>46.26856419762*Deflactores!$Z$5</f>
        <v>48.952140921081963</v>
      </c>
      <c r="K70" s="42">
        <f>40.22940659824*Deflactores!$AA$5</f>
        <v>40.229406598239997</v>
      </c>
    </row>
    <row r="71" spans="3:11" x14ac:dyDescent="0.2">
      <c r="C71" s="88" t="s">
        <v>138</v>
      </c>
      <c r="D71" s="50">
        <f>0*Deflactores!$T$5</f>
        <v>0</v>
      </c>
      <c r="E71" s="50">
        <f>0*Deflactores!$U$5</f>
        <v>0</v>
      </c>
      <c r="F71" s="50">
        <f>0*Deflactores!$V$5</f>
        <v>0</v>
      </c>
      <c r="G71" s="50">
        <f>0*Deflactores!$W$5</f>
        <v>0</v>
      </c>
      <c r="H71" s="50">
        <f>0*Deflactores!$X$5</f>
        <v>0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160</v>
      </c>
      <c r="D72" s="42">
        <f>105.34285262394*Deflactores!$T$5</f>
        <v>163.48432201099206</v>
      </c>
      <c r="E72" s="42">
        <f>114.65188405367*Deflactores!$U$5</f>
        <v>175.11194844502813</v>
      </c>
      <c r="F72" s="42">
        <f>130.98816436786*Deflactores!$V$5</f>
        <v>189.41766451036079</v>
      </c>
      <c r="G72" s="42">
        <f>162.83769024*Deflactores!$W$5</f>
        <v>208.16320144851611</v>
      </c>
      <c r="H72" s="42">
        <f>161.1216549083*Deflactores!$X$5</f>
        <v>188.4786891239564</v>
      </c>
      <c r="I72" s="42">
        <f>203.592628587*Deflactores!$Y$5</f>
        <v>226.38864932754385</v>
      </c>
      <c r="J72" s="42">
        <f>206.78910705747*Deflactores!$Z$5</f>
        <v>218.78287526680327</v>
      </c>
      <c r="K72" s="42">
        <f>139.15282743767*Deflactores!$AA$5</f>
        <v>139.15282743767</v>
      </c>
    </row>
    <row r="73" spans="3:11" x14ac:dyDescent="0.2">
      <c r="C73" s="88" t="s">
        <v>161</v>
      </c>
      <c r="D73" s="50">
        <f>416.45202139396*Deflactores!$T$5</f>
        <v>646.30275972065544</v>
      </c>
      <c r="E73" s="50">
        <f>442.07470402892*Deflactores!$U$5</f>
        <v>675.19660422261791</v>
      </c>
      <c r="F73" s="50">
        <f>457.424314834819*Deflactores!$V$5</f>
        <v>661.46621585547553</v>
      </c>
      <c r="G73" s="50">
        <f>554.22042981805*Deflactores!$W$5</f>
        <v>708.48646163588523</v>
      </c>
      <c r="H73" s="50">
        <f>783.071035170869*Deflactores!$X$5</f>
        <v>916.02958201952958</v>
      </c>
      <c r="I73" s="50">
        <f>696.02965615171*Deflactores!$Y$5</f>
        <v>773.96325614395016</v>
      </c>
      <c r="J73" s="50">
        <f>739.48603516233*Deflactores!$Z$5</f>
        <v>782.37622520174523</v>
      </c>
      <c r="K73" s="50">
        <f>289.41841353059*Deflactores!$AA$5</f>
        <v>289.41841353058999</v>
      </c>
    </row>
    <row r="74" spans="3:11" x14ac:dyDescent="0.2">
      <c r="C74" s="87" t="s">
        <v>140</v>
      </c>
      <c r="D74" s="42">
        <f>751.70519225326*Deflactores!$T$5</f>
        <v>1166.5909043338213</v>
      </c>
      <c r="E74" s="42">
        <f>1076.52966178362*Deflactores!$U$5</f>
        <v>1644.2224930691186</v>
      </c>
      <c r="F74" s="42">
        <f>1356.58742706484*Deflactores!$V$5</f>
        <v>1961.7163381044445</v>
      </c>
      <c r="G74" s="42">
        <f>1007.20879222426*Deflactores!$W$5</f>
        <v>1287.5631336177767</v>
      </c>
      <c r="H74" s="42">
        <f>1709.28872815034*Deflactores!$X$5</f>
        <v>1999.5108602843352</v>
      </c>
      <c r="I74" s="42">
        <f>4680.83584098342*Deflactores!$Y$5</f>
        <v>5204.9433769718444</v>
      </c>
      <c r="J74" s="42">
        <f>3902.11758516703*Deflactores!$Z$5</f>
        <v>4128.4404051067177</v>
      </c>
      <c r="K74" s="42">
        <f>1835.34269948316*Deflactores!$AA$5</f>
        <v>1835.34269948316</v>
      </c>
    </row>
    <row r="75" spans="3:11" x14ac:dyDescent="0.2">
      <c r="C75" s="88" t="s">
        <v>141</v>
      </c>
      <c r="D75" s="50">
        <f>17.3557480164*Deflactores!$T$5</f>
        <v>26.934838261727059</v>
      </c>
      <c r="E75" s="50">
        <f>15.01673610455*Deflactores!$U$5</f>
        <v>22.935601453540862</v>
      </c>
      <c r="F75" s="50">
        <f>15.0011632230599*Deflactores!$V$5</f>
        <v>21.69268739938099</v>
      </c>
      <c r="G75" s="50">
        <f>16.50460117378*Deflactores!$W$5</f>
        <v>21.098620435485866</v>
      </c>
      <c r="H75" s="50">
        <f>25.5308261296699*Deflactores!$X$5</f>
        <v>29.865734956052453</v>
      </c>
      <c r="I75" s="50">
        <f>17.309933012*Deflactores!$Y$5</f>
        <v>19.248105305847833</v>
      </c>
      <c r="J75" s="50">
        <f>17.4729732990599*Deflactores!$Z$5</f>
        <v>18.486405750405375</v>
      </c>
      <c r="K75" s="50">
        <f>3.763030055*Deflactores!$AA$5</f>
        <v>3.7630300550000002</v>
      </c>
    </row>
    <row r="76" spans="3:11" x14ac:dyDescent="0.2">
      <c r="C76" s="87" t="s">
        <v>142</v>
      </c>
      <c r="D76" s="42">
        <f>134.65217050812*Deflactores!$T$5</f>
        <v>208.97021729052503</v>
      </c>
      <c r="E76" s="42">
        <f>306.77641807752*Deflactores!$U$5</f>
        <v>468.55066316567428</v>
      </c>
      <c r="F76" s="42">
        <f>296.14602133777*Deflactores!$V$5</f>
        <v>428.24699457808202</v>
      </c>
      <c r="G76" s="42">
        <f>205.53007196422*Deflactores!$W$5</f>
        <v>262.73891327590439</v>
      </c>
      <c r="H76" s="42">
        <f>296.13657339312*Deflactores!$X$5</f>
        <v>346.41794851574781</v>
      </c>
      <c r="I76" s="42">
        <f>260.43505163991*Deflactores!$Y$5</f>
        <v>289.59564984010967</v>
      </c>
      <c r="J76" s="42">
        <f>227.29341067056*Deflactores!$Z$5</f>
        <v>240.4764284894525</v>
      </c>
      <c r="K76" s="42">
        <f>121.10798206294*Deflactores!$AA$5</f>
        <v>121.10798206294</v>
      </c>
    </row>
    <row r="77" spans="3:11" x14ac:dyDescent="0.2">
      <c r="C77" s="88" t="s">
        <v>143</v>
      </c>
      <c r="D77" s="50">
        <f>39.56563614643*Deflactores!$T$5</f>
        <v>61.402943239290273</v>
      </c>
      <c r="E77" s="50">
        <f>12.6386797227*Deflactores!$U$5</f>
        <v>19.30351036341143</v>
      </c>
      <c r="F77" s="50">
        <f>84.47601866599*Deflactores!$V$5</f>
        <v>122.15798457873211</v>
      </c>
      <c r="G77" s="50">
        <f>76.30782267257*Deflactores!$W$5</f>
        <v>97.547936473898204</v>
      </c>
      <c r="H77" s="50">
        <f>9.256403069*Deflactores!$X$5</f>
        <v>10.828058571276589</v>
      </c>
      <c r="I77" s="50">
        <f>9.98104586236*Deflactores!$Y$5</f>
        <v>11.098611513286549</v>
      </c>
      <c r="J77" s="50">
        <f>4.97713718202*Deflactores!$Z$5</f>
        <v>5.2658111385771598</v>
      </c>
      <c r="K77" s="50">
        <f>4.65979959007999*Deflactores!$AA$5</f>
        <v>4.6597995900799898</v>
      </c>
    </row>
    <row r="78" spans="3:11" x14ac:dyDescent="0.2">
      <c r="C78" s="87" t="s">
        <v>144</v>
      </c>
      <c r="D78" s="42">
        <f>0*Deflactores!$T$5</f>
        <v>0</v>
      </c>
      <c r="E78" s="42">
        <f>0*Deflactores!$U$5</f>
        <v>0</v>
      </c>
      <c r="F78" s="42">
        <f>0*Deflactores!$V$5</f>
        <v>0</v>
      </c>
      <c r="G78" s="42">
        <f>0*Deflactores!$W$5</f>
        <v>0</v>
      </c>
      <c r="H78" s="42">
        <f>0*Deflactores!$X$5</f>
        <v>0</v>
      </c>
      <c r="I78" s="42">
        <f>0*Deflactores!$Y$5</f>
        <v>0</v>
      </c>
      <c r="J78" s="42">
        <f>0*Deflactores!$Z$5</f>
        <v>0</v>
      </c>
      <c r="K78" s="42">
        <f>0*Deflactores!$AA$5</f>
        <v>0</v>
      </c>
    </row>
    <row r="79" spans="3:11" x14ac:dyDescent="0.2">
      <c r="C79" s="88" t="s">
        <v>145</v>
      </c>
      <c r="D79" s="50">
        <f>91.84518733699*Deflactores!$T$5</f>
        <v>142.53694301750878</v>
      </c>
      <c r="E79" s="50">
        <f>74.70980765997*Deflactores!$U$5</f>
        <v>114.10697778997256</v>
      </c>
      <c r="F79" s="50">
        <f>98.19620508167*Deflactores!$V$5</f>
        <v>141.99829366350124</v>
      </c>
      <c r="G79" s="50">
        <f>118.22444814541*Deflactores!$W$5</f>
        <v>151.13196201174898</v>
      </c>
      <c r="H79" s="50">
        <f>143.98992076911*Deflactores!$X$5</f>
        <v>168.43813781002916</v>
      </c>
      <c r="I79" s="50">
        <f>161.43573696125*Deflactores!$Y$5</f>
        <v>179.51150146006654</v>
      </c>
      <c r="J79" s="50">
        <f>237.57854548888*Deflactores!$Z$5</f>
        <v>251.35810112723505</v>
      </c>
      <c r="K79" s="50">
        <f>119.49101551648*Deflactores!$AA$5</f>
        <v>119.49101551648</v>
      </c>
    </row>
    <row r="80" spans="3:11" x14ac:dyDescent="0.2">
      <c r="C80" s="87" t="s">
        <v>146</v>
      </c>
      <c r="D80" s="42">
        <f>217.78133506764*Deflactores!$T$5</f>
        <v>337.980537106611</v>
      </c>
      <c r="E80" s="42">
        <f>170.57588764258*Deflactores!$U$5</f>
        <v>260.52669164032147</v>
      </c>
      <c r="F80" s="42">
        <f>219.05635709501*Deflactores!$V$5</f>
        <v>316.77017352924582</v>
      </c>
      <c r="G80" s="42">
        <f>193.64703343684*Deflactores!$W$5</f>
        <v>247.54825723583326</v>
      </c>
      <c r="H80" s="42">
        <f>225.03187703727*Deflactores!$X$5</f>
        <v>263.24030261001928</v>
      </c>
      <c r="I80" s="42">
        <f>406.88087774329*Deflactores!$Y$5</f>
        <v>452.43883822712536</v>
      </c>
      <c r="J80" s="42">
        <f>569.46690938242*Deflactores!$Z$5</f>
        <v>602.49599012660042</v>
      </c>
      <c r="K80" s="42">
        <f>434.272902471387*Deflactores!$AA$5</f>
        <v>434.272902471387</v>
      </c>
    </row>
    <row r="81" spans="1:11" x14ac:dyDescent="0.2">
      <c r="C81" s="88" t="s">
        <v>162</v>
      </c>
      <c r="D81" s="50">
        <f>565.99376968855*Deflactores!$T$5</f>
        <v>878.38050133597517</v>
      </c>
      <c r="E81" s="50">
        <f>492.58247737255*Deflactores!$U$5</f>
        <v>752.33894405266096</v>
      </c>
      <c r="F81" s="50">
        <f>501.791754048479*Deflactores!$V$5</f>
        <v>725.62450646679827</v>
      </c>
      <c r="G81" s="50">
        <f>587.30476349706*Deflactores!$W$5</f>
        <v>750.77974647837652</v>
      </c>
      <c r="H81" s="50">
        <f>700.190015494569*Deflactores!$X$5</f>
        <v>819.07609708458097</v>
      </c>
      <c r="I81" s="50">
        <f>750.266754268569*Deflactores!$Y$5</f>
        <v>834.27321663387136</v>
      </c>
      <c r="J81" s="50">
        <f>817.54907319147*Deflactores!$Z$5</f>
        <v>864.96691943657538</v>
      </c>
      <c r="K81" s="50">
        <f>383.794935400999*Deflactores!$AA$5</f>
        <v>383.79493540099901</v>
      </c>
    </row>
    <row r="82" spans="1:11" x14ac:dyDescent="0.2">
      <c r="C82" s="87" t="s">
        <v>148</v>
      </c>
      <c r="D82" s="42">
        <f>0*Deflactores!$T$5</f>
        <v>0</v>
      </c>
      <c r="E82" s="42">
        <f>0*Deflactores!$U$5</f>
        <v>0</v>
      </c>
      <c r="F82" s="42">
        <f>0*Deflactores!$V$5</f>
        <v>0</v>
      </c>
      <c r="G82" s="42">
        <f>0*Deflactores!$W$5</f>
        <v>0</v>
      </c>
      <c r="H82" s="42">
        <f>0*Deflactores!$X$5</f>
        <v>0</v>
      </c>
      <c r="I82" s="42">
        <f>0*Deflactores!$Y$5</f>
        <v>0</v>
      </c>
      <c r="J82" s="42">
        <f>0*Deflactores!$Z$5</f>
        <v>0</v>
      </c>
      <c r="K82" s="42">
        <f>0*Deflactores!$AA$5</f>
        <v>0</v>
      </c>
    </row>
    <row r="83" spans="1:11" x14ac:dyDescent="0.2">
      <c r="C83" s="88" t="s">
        <v>149</v>
      </c>
      <c r="D83" s="50">
        <f>1454.20316765824*Deflactores!$T$5</f>
        <v>2256.8158447307528</v>
      </c>
      <c r="E83" s="50">
        <f>1521.57167098143*Deflactores!$U$5</f>
        <v>2323.9511692593642</v>
      </c>
      <c r="F83" s="50">
        <f>2053.15504425257*Deflactores!$V$5</f>
        <v>2968.9997965603361</v>
      </c>
      <c r="G83" s="50">
        <f>2076.24613014967*Deflactores!$W$5</f>
        <v>2654.1646519921046</v>
      </c>
      <c r="H83" s="50">
        <f>2356.19215933144*Deflactores!$X$5</f>
        <v>2756.2527815871949</v>
      </c>
      <c r="I83" s="50">
        <f>2930.10466142832*Deflactores!$Y$5</f>
        <v>3258.1849416303176</v>
      </c>
      <c r="J83" s="50">
        <f>2008.33191736332*Deflactores!$Z$5</f>
        <v>2124.8151685703924</v>
      </c>
      <c r="K83" s="50">
        <f>1536.02533786021*Deflactores!$AA$5</f>
        <v>1536.0253378602099</v>
      </c>
    </row>
    <row r="84" spans="1:11" x14ac:dyDescent="0.2">
      <c r="C84" s="87" t="s">
        <v>163</v>
      </c>
      <c r="D84" s="42">
        <f>1622.29730847848*Deflactores!$T$5</f>
        <v>2517.685528449304</v>
      </c>
      <c r="E84" s="42">
        <f>1569.31744521449*Deflactores!$U$5</f>
        <v>2396.8750084529156</v>
      </c>
      <c r="F84" s="42">
        <f>1628.30967645341*Deflactores!$V$5</f>
        <v>2354.6449215613593</v>
      </c>
      <c r="G84" s="42">
        <f>1691.44057163466*Deflactores!$W$5</f>
        <v>2162.2493166811637</v>
      </c>
      <c r="H84" s="42">
        <f>2240.95554587326*Deflactores!$X$5</f>
        <v>2621.4500087628758</v>
      </c>
      <c r="I84" s="42">
        <f>2219.81945541802*Deflactores!$Y$5</f>
        <v>2468.3699589267853</v>
      </c>
      <c r="J84" s="42">
        <f>2963.16374322216*Deflactores!$Z$5</f>
        <v>3135.0272403290455</v>
      </c>
      <c r="K84" s="42">
        <f>772.06950143897*Deflactores!$AA$5</f>
        <v>772.06950143896995</v>
      </c>
    </row>
    <row r="85" spans="1:11" x14ac:dyDescent="0.2">
      <c r="C85" s="88" t="s">
        <v>150</v>
      </c>
      <c r="D85" s="50">
        <f>2828.48818552141*Deflactores!$T$5</f>
        <v>4389.6046272529138</v>
      </c>
      <c r="E85" s="50">
        <f>2780.81734594343*Deflactores!$U$5</f>
        <v>4247.2424045813004</v>
      </c>
      <c r="F85" s="50">
        <f>3069.22629308236*Deflactores!$V$5</f>
        <v>4438.3069195227217</v>
      </c>
      <c r="G85" s="50">
        <f>3087.29014013735*Deflactores!$W$5</f>
        <v>3946.6305277619535</v>
      </c>
      <c r="H85" s="50">
        <f>2646.51009242193*Deflactores!$X$5</f>
        <v>3095.8641360585375</v>
      </c>
      <c r="I85" s="50">
        <f>3699.2129170455*Deflactores!$Y$5</f>
        <v>4113.4093197635966</v>
      </c>
      <c r="J85" s="50">
        <f>4541.25018484412*Deflactores!$Z$5</f>
        <v>4804.6426955650786</v>
      </c>
      <c r="K85" s="50">
        <f>2125.00879727074*Deflactores!$AA$5</f>
        <v>2125.0087972707402</v>
      </c>
    </row>
    <row r="86" spans="1:11" x14ac:dyDescent="0.2">
      <c r="C86" s="87" t="s">
        <v>151</v>
      </c>
      <c r="D86" s="42">
        <f>0*Deflactores!$T$5</f>
        <v>0</v>
      </c>
      <c r="E86" s="42">
        <f>0*Deflactores!$U$5</f>
        <v>0</v>
      </c>
      <c r="F86" s="42">
        <f>0*Deflactores!$V$5</f>
        <v>0</v>
      </c>
      <c r="G86" s="42">
        <f>0*Deflactores!$W$5</f>
        <v>0</v>
      </c>
      <c r="H86" s="42">
        <f>0*Deflactores!$X$5</f>
        <v>0</v>
      </c>
      <c r="I86" s="42">
        <f>0*Deflactores!$Y$5</f>
        <v>0</v>
      </c>
      <c r="J86" s="42">
        <f>0*Deflactores!$Z$5</f>
        <v>0</v>
      </c>
      <c r="K86" s="42">
        <f>0*Deflactores!$AA$5</f>
        <v>0</v>
      </c>
    </row>
    <row r="87" spans="1:11" x14ac:dyDescent="0.2">
      <c r="C87" s="79" t="s">
        <v>154</v>
      </c>
      <c r="D87" s="44">
        <f t="shared" ref="D87:K87" si="1">SUM(D56:D86)</f>
        <v>21889.491258774538</v>
      </c>
      <c r="E87" s="44">
        <f t="shared" si="1"/>
        <v>21540.242281762912</v>
      </c>
      <c r="F87" s="44">
        <f t="shared" si="1"/>
        <v>22784.547110745028</v>
      </c>
      <c r="G87" s="44">
        <f t="shared" si="1"/>
        <v>21571.713464117754</v>
      </c>
      <c r="H87" s="44">
        <f t="shared" si="1"/>
        <v>22241.70934371719</v>
      </c>
      <c r="I87" s="44">
        <f t="shared" si="1"/>
        <v>27545.931934418659</v>
      </c>
      <c r="J87" s="44">
        <f t="shared" si="1"/>
        <v>26728.998782573221</v>
      </c>
      <c r="K87" s="44">
        <f t="shared" si="1"/>
        <v>12306.682921260453</v>
      </c>
    </row>
    <row r="88" spans="1:11" s="31" customFormat="1" x14ac:dyDescent="0.2">
      <c r="A88" s="5"/>
      <c r="B88" s="5"/>
      <c r="C88" s="72" t="str">
        <f>+'C1 Aprop Resumen 2000-2026'!B20</f>
        <v>* Información con corte a 30 de abril</v>
      </c>
      <c r="D88" s="121">
        <f>+D87-'C7 Ejec. Prop 19-26'!D66</f>
        <v>0</v>
      </c>
      <c r="E88" s="121">
        <f>+E87-'C7 Ejec. Prop 19-26'!E66</f>
        <v>-2.9103830456733704E-11</v>
      </c>
      <c r="F88" s="121">
        <f>+F87-'C7 Ejec. Prop 19-26'!F66</f>
        <v>2.9103830456733704E-11</v>
      </c>
      <c r="G88" s="121">
        <f>+G87-'C7 Ejec. Prop 19-26'!G66</f>
        <v>0</v>
      </c>
      <c r="H88" s="121">
        <f>+H87-'C7 Ejec. Prop 19-26'!H66</f>
        <v>0</v>
      </c>
      <c r="I88" s="121">
        <f>+I87-'C7 Ejec. Prop 19-26'!I66</f>
        <v>3.637978807091713E-11</v>
      </c>
      <c r="J88" s="121">
        <f>+J87-'C7 Ejec. Prop 19-26'!J66</f>
        <v>6.9121597334742546E-11</v>
      </c>
      <c r="K88" s="121">
        <f>+K87-'C7 Ejec. Prop 19-26'!K66</f>
        <v>0</v>
      </c>
    </row>
    <row r="89" spans="1:11" x14ac:dyDescent="0.2">
      <c r="C89" s="1" t="s">
        <v>52</v>
      </c>
      <c r="D89" s="11"/>
      <c r="E89" s="11"/>
      <c r="F89" s="11"/>
      <c r="G89" s="11"/>
      <c r="H89" s="11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customHeight="1" x14ac:dyDescent="0.2">
      <c r="D93" s="155" t="s">
        <v>155</v>
      </c>
      <c r="E93" s="178"/>
      <c r="F93" s="178"/>
      <c r="G93" s="178"/>
      <c r="H93" s="178"/>
      <c r="I93" s="178"/>
      <c r="J93" s="178"/>
      <c r="K93" s="178"/>
    </row>
    <row r="94" spans="1:11" x14ac:dyDescent="0.2">
      <c r="D94" s="29"/>
      <c r="E94" s="29"/>
      <c r="F94" s="29"/>
      <c r="G94" s="29"/>
      <c r="H94" s="29"/>
    </row>
    <row r="95" spans="1:11" x14ac:dyDescent="0.2">
      <c r="C95" s="176" t="s">
        <v>120</v>
      </c>
      <c r="D95" s="153">
        <v>2019</v>
      </c>
      <c r="E95" s="153">
        <v>2020</v>
      </c>
      <c r="F95" s="153">
        <v>2021</v>
      </c>
      <c r="G95" s="153">
        <v>2022</v>
      </c>
      <c r="H95" s="153">
        <v>2023</v>
      </c>
      <c r="I95" s="153">
        <v>2024</v>
      </c>
      <c r="J95" s="153">
        <v>2025</v>
      </c>
      <c r="K95" s="153" t="s">
        <v>10</v>
      </c>
    </row>
    <row r="96" spans="1:11" ht="12" customHeight="1" thickBot="1" x14ac:dyDescent="0.25">
      <c r="C96" s="160"/>
      <c r="D96" s="154"/>
      <c r="E96" s="154"/>
      <c r="F96" s="154"/>
      <c r="G96" s="154"/>
      <c r="H96" s="154"/>
      <c r="I96" s="154"/>
      <c r="J96" s="154"/>
      <c r="K96" s="154"/>
    </row>
    <row r="97" spans="3:11" x14ac:dyDescent="0.2">
      <c r="C97" s="87" t="s">
        <v>123</v>
      </c>
      <c r="D97" s="47">
        <f t="shared" ref="D97:I106" si="2">+IFERROR(IF(D56&gt;0,+((D56/D14)*100)," "),"0")</f>
        <v>87.643298344338561</v>
      </c>
      <c r="E97" s="47">
        <f t="shared" si="2"/>
        <v>89.970105722577614</v>
      </c>
      <c r="F97" s="47">
        <f t="shared" si="2"/>
        <v>95.346508026146154</v>
      </c>
      <c r="G97" s="47">
        <f t="shared" si="2"/>
        <v>89.485704123848933</v>
      </c>
      <c r="H97" s="47">
        <f t="shared" si="2"/>
        <v>87.485623041308358</v>
      </c>
      <c r="I97" s="47">
        <f t="shared" si="2"/>
        <v>94.927668138715021</v>
      </c>
      <c r="J97" s="47">
        <f t="shared" ref="J97:K128" si="3">+IFERROR(IF(J56&gt;0,+((J56/J14)*100)," "),"")</f>
        <v>92.612943793376203</v>
      </c>
      <c r="K97" s="47">
        <f t="shared" si="3"/>
        <v>42.299572360827092</v>
      </c>
    </row>
    <row r="98" spans="3:11" x14ac:dyDescent="0.2">
      <c r="C98" s="88" t="s">
        <v>124</v>
      </c>
      <c r="D98" s="116">
        <f t="shared" si="2"/>
        <v>96.276199696472958</v>
      </c>
      <c r="E98" s="116">
        <f t="shared" si="2"/>
        <v>96.157790979184355</v>
      </c>
      <c r="F98" s="116">
        <f t="shared" si="2"/>
        <v>89.57169314361056</v>
      </c>
      <c r="G98" s="116">
        <f t="shared" si="2"/>
        <v>89.547708942619579</v>
      </c>
      <c r="H98" s="116">
        <f t="shared" si="2"/>
        <v>88.702494349879885</v>
      </c>
      <c r="I98" s="116">
        <f t="shared" si="2"/>
        <v>88.347693644215866</v>
      </c>
      <c r="J98" s="116">
        <f t="shared" si="3"/>
        <v>96.080904930505625</v>
      </c>
      <c r="K98" s="116">
        <f t="shared" si="3"/>
        <v>76.888061459933226</v>
      </c>
    </row>
    <row r="99" spans="3:11" x14ac:dyDescent="0.2">
      <c r="C99" s="87" t="s">
        <v>125</v>
      </c>
      <c r="D99" s="47" t="str">
        <f t="shared" si="2"/>
        <v xml:space="preserve"> </v>
      </c>
      <c r="E99" s="47" t="str">
        <f t="shared" si="2"/>
        <v xml:space="preserve"> </v>
      </c>
      <c r="F99" s="47" t="str">
        <f t="shared" si="2"/>
        <v xml:space="preserve"> </v>
      </c>
      <c r="G99" s="47" t="str">
        <f t="shared" si="2"/>
        <v xml:space="preserve"> </v>
      </c>
      <c r="H99" s="47" t="str">
        <f t="shared" si="2"/>
        <v xml:space="preserve"> </v>
      </c>
      <c r="I99" s="47" t="str">
        <f t="shared" si="2"/>
        <v xml:space="preserve"> </v>
      </c>
      <c r="J99" s="47" t="str">
        <f t="shared" si="3"/>
        <v xml:space="preserve"> </v>
      </c>
      <c r="K99" s="47" t="str">
        <f t="shared" si="3"/>
        <v xml:space="preserve"> </v>
      </c>
    </row>
    <row r="100" spans="3:11" x14ac:dyDescent="0.2">
      <c r="C100" s="88" t="s">
        <v>126</v>
      </c>
      <c r="D100" s="116">
        <f t="shared" si="2"/>
        <v>95.702432119752629</v>
      </c>
      <c r="E100" s="116">
        <f t="shared" si="2"/>
        <v>92.277144598712425</v>
      </c>
      <c r="F100" s="116">
        <f t="shared" si="2"/>
        <v>88.056906553593478</v>
      </c>
      <c r="G100" s="116">
        <f t="shared" si="2"/>
        <v>92.503195520807893</v>
      </c>
      <c r="H100" s="116">
        <f t="shared" si="2"/>
        <v>90.800892147716112</v>
      </c>
      <c r="I100" s="116">
        <f t="shared" si="2"/>
        <v>89.878039718602324</v>
      </c>
      <c r="J100" s="116">
        <f t="shared" si="3"/>
        <v>89.859487409393324</v>
      </c>
      <c r="K100" s="116">
        <f t="shared" si="3"/>
        <v>37.128083656676424</v>
      </c>
    </row>
    <row r="101" spans="3:11" x14ac:dyDescent="0.2">
      <c r="C101" s="87" t="s">
        <v>127</v>
      </c>
      <c r="D101" s="47" t="str">
        <f t="shared" si="2"/>
        <v xml:space="preserve"> </v>
      </c>
      <c r="E101" s="47" t="str">
        <f t="shared" si="2"/>
        <v xml:space="preserve"> </v>
      </c>
      <c r="F101" s="47" t="str">
        <f t="shared" si="2"/>
        <v xml:space="preserve"> </v>
      </c>
      <c r="G101" s="47" t="str">
        <f t="shared" si="2"/>
        <v xml:space="preserve"> </v>
      </c>
      <c r="H101" s="47" t="str">
        <f t="shared" si="2"/>
        <v xml:space="preserve"> </v>
      </c>
      <c r="I101" s="47" t="str">
        <f t="shared" si="2"/>
        <v xml:space="preserve"> </v>
      </c>
      <c r="J101" s="47" t="str">
        <f t="shared" si="3"/>
        <v xml:space="preserve"> </v>
      </c>
      <c r="K101" s="47" t="str">
        <f t="shared" si="3"/>
        <v xml:space="preserve"> </v>
      </c>
    </row>
    <row r="102" spans="3:11" x14ac:dyDescent="0.2">
      <c r="C102" s="88" t="s">
        <v>128</v>
      </c>
      <c r="D102" s="116">
        <f t="shared" si="2"/>
        <v>95.975098217118344</v>
      </c>
      <c r="E102" s="116">
        <f t="shared" si="2"/>
        <v>97.345157347036121</v>
      </c>
      <c r="F102" s="116">
        <f t="shared" si="2"/>
        <v>68.802355431766344</v>
      </c>
      <c r="G102" s="116">
        <f t="shared" si="2"/>
        <v>95.883190175169148</v>
      </c>
      <c r="H102" s="116">
        <f t="shared" si="2"/>
        <v>84.364029928868646</v>
      </c>
      <c r="I102" s="116">
        <f t="shared" si="2"/>
        <v>63.844573083479297</v>
      </c>
      <c r="J102" s="116">
        <f t="shared" si="3"/>
        <v>95.571637891183087</v>
      </c>
      <c r="K102" s="116">
        <f t="shared" si="3"/>
        <v>38.129810124367467</v>
      </c>
    </row>
    <row r="103" spans="3:11" x14ac:dyDescent="0.2">
      <c r="C103" s="87" t="s">
        <v>129</v>
      </c>
      <c r="D103" s="47">
        <f t="shared" si="2"/>
        <v>93.810286779939005</v>
      </c>
      <c r="E103" s="47">
        <f t="shared" si="2"/>
        <v>97.938683044510583</v>
      </c>
      <c r="F103" s="47">
        <f t="shared" si="2"/>
        <v>77.600750918172821</v>
      </c>
      <c r="G103" s="47">
        <f t="shared" si="2"/>
        <v>93.429980961898309</v>
      </c>
      <c r="H103" s="47">
        <f t="shared" si="2"/>
        <v>89.133701158437447</v>
      </c>
      <c r="I103" s="47">
        <f t="shared" si="2"/>
        <v>89.913692215191816</v>
      </c>
      <c r="J103" s="47">
        <f t="shared" si="3"/>
        <v>97.605038837343244</v>
      </c>
      <c r="K103" s="47">
        <f t="shared" si="3"/>
        <v>31.838918755549813</v>
      </c>
    </row>
    <row r="104" spans="3:11" x14ac:dyDescent="0.2">
      <c r="C104" s="88" t="s">
        <v>130</v>
      </c>
      <c r="D104" s="116" t="str">
        <f t="shared" si="2"/>
        <v xml:space="preserve"> </v>
      </c>
      <c r="E104" s="116" t="str">
        <f t="shared" si="2"/>
        <v xml:space="preserve"> </v>
      </c>
      <c r="F104" s="116" t="str">
        <f t="shared" si="2"/>
        <v xml:space="preserve"> </v>
      </c>
      <c r="G104" s="116" t="str">
        <f t="shared" si="2"/>
        <v xml:space="preserve"> </v>
      </c>
      <c r="H104" s="116" t="str">
        <f t="shared" si="2"/>
        <v xml:space="preserve"> </v>
      </c>
      <c r="I104" s="116" t="str">
        <f t="shared" si="2"/>
        <v xml:space="preserve"> </v>
      </c>
      <c r="J104" s="116" t="str">
        <f t="shared" si="3"/>
        <v xml:space="preserve"> </v>
      </c>
      <c r="K104" s="116" t="str">
        <f t="shared" si="3"/>
        <v xml:space="preserve"> </v>
      </c>
    </row>
    <row r="105" spans="3:11" x14ac:dyDescent="0.2">
      <c r="C105" s="87" t="s">
        <v>131</v>
      </c>
      <c r="D105" s="47">
        <f t="shared" si="2"/>
        <v>90.646256361790051</v>
      </c>
      <c r="E105" s="47">
        <f t="shared" si="2"/>
        <v>81.768224021664352</v>
      </c>
      <c r="F105" s="47">
        <f t="shared" si="2"/>
        <v>82.701821713619225</v>
      </c>
      <c r="G105" s="47">
        <f t="shared" si="2"/>
        <v>89.832025363674646</v>
      </c>
      <c r="H105" s="47">
        <f t="shared" si="2"/>
        <v>89.298697093881046</v>
      </c>
      <c r="I105" s="47">
        <f t="shared" si="2"/>
        <v>93.41786518852237</v>
      </c>
      <c r="J105" s="47">
        <f t="shared" si="3"/>
        <v>93.951383702914697</v>
      </c>
      <c r="K105" s="47">
        <f t="shared" si="3"/>
        <v>42.363397903784268</v>
      </c>
    </row>
    <row r="106" spans="3:11" x14ac:dyDescent="0.2">
      <c r="C106" s="88" t="s">
        <v>132</v>
      </c>
      <c r="D106" s="116">
        <f t="shared" si="2"/>
        <v>92.393800145553357</v>
      </c>
      <c r="E106" s="116">
        <f t="shared" si="2"/>
        <v>73.224543505727382</v>
      </c>
      <c r="F106" s="116">
        <f t="shared" si="2"/>
        <v>58.083442360069171</v>
      </c>
      <c r="G106" s="116">
        <f t="shared" si="2"/>
        <v>69.827567137514663</v>
      </c>
      <c r="H106" s="116">
        <f t="shared" si="2"/>
        <v>78.661923134794876</v>
      </c>
      <c r="I106" s="116">
        <f t="shared" si="2"/>
        <v>86.991392880846831</v>
      </c>
      <c r="J106" s="116">
        <f t="shared" si="3"/>
        <v>88.811702306880164</v>
      </c>
      <c r="K106" s="116">
        <f t="shared" si="3"/>
        <v>43.298368070602848</v>
      </c>
    </row>
    <row r="107" spans="3:11" x14ac:dyDescent="0.2">
      <c r="C107" s="87" t="s">
        <v>133</v>
      </c>
      <c r="D107" s="47">
        <f t="shared" ref="D107:I116" si="4">+IFERROR(IF(D66&gt;0,+((D66/D24)*100)," "),"0")</f>
        <v>99.491195239687428</v>
      </c>
      <c r="E107" s="47">
        <f t="shared" si="4"/>
        <v>96.856696002242046</v>
      </c>
      <c r="F107" s="47">
        <f t="shared" si="4"/>
        <v>90.610975467325446</v>
      </c>
      <c r="G107" s="47">
        <f t="shared" si="4"/>
        <v>93.142256421851897</v>
      </c>
      <c r="H107" s="47">
        <f t="shared" si="4"/>
        <v>84.394774120240143</v>
      </c>
      <c r="I107" s="47">
        <f t="shared" si="4"/>
        <v>88.827413938693084</v>
      </c>
      <c r="J107" s="47">
        <f t="shared" si="3"/>
        <v>99.211640260658697</v>
      </c>
      <c r="K107" s="47">
        <f t="shared" si="3"/>
        <v>38.465673544914857</v>
      </c>
    </row>
    <row r="108" spans="3:11" x14ac:dyDescent="0.2">
      <c r="C108" s="88" t="s">
        <v>134</v>
      </c>
      <c r="D108" s="116">
        <f t="shared" si="4"/>
        <v>90.52163553574853</v>
      </c>
      <c r="E108" s="116">
        <f t="shared" si="4"/>
        <v>85.772983475062262</v>
      </c>
      <c r="F108" s="116">
        <f t="shared" si="4"/>
        <v>79.306129553242968</v>
      </c>
      <c r="G108" s="116">
        <f t="shared" si="4"/>
        <v>89.621754698345427</v>
      </c>
      <c r="H108" s="116">
        <f t="shared" si="4"/>
        <v>86.200463354343654</v>
      </c>
      <c r="I108" s="116">
        <f t="shared" si="4"/>
        <v>78.375259070142391</v>
      </c>
      <c r="J108" s="116">
        <f t="shared" si="3"/>
        <v>92.888155461996874</v>
      </c>
      <c r="K108" s="116">
        <f t="shared" si="3"/>
        <v>23.409569635028877</v>
      </c>
    </row>
    <row r="109" spans="3:11" x14ac:dyDescent="0.2">
      <c r="C109" s="87" t="s">
        <v>135</v>
      </c>
      <c r="D109" s="47" t="str">
        <f t="shared" si="4"/>
        <v xml:space="preserve"> </v>
      </c>
      <c r="E109" s="47" t="str">
        <f t="shared" si="4"/>
        <v xml:space="preserve"> </v>
      </c>
      <c r="F109" s="47" t="str">
        <f t="shared" si="4"/>
        <v xml:space="preserve"> </v>
      </c>
      <c r="G109" s="47" t="str">
        <f t="shared" si="4"/>
        <v xml:space="preserve"> </v>
      </c>
      <c r="H109" s="47" t="str">
        <f t="shared" si="4"/>
        <v xml:space="preserve"> </v>
      </c>
      <c r="I109" s="47">
        <f t="shared" si="4"/>
        <v>94.496317062927943</v>
      </c>
      <c r="J109" s="47">
        <f t="shared" si="3"/>
        <v>99.48779855010271</v>
      </c>
      <c r="K109" s="47">
        <f t="shared" si="3"/>
        <v>55.129004806318058</v>
      </c>
    </row>
    <row r="110" spans="3:11" x14ac:dyDescent="0.2">
      <c r="C110" s="88" t="s">
        <v>136</v>
      </c>
      <c r="D110" s="116">
        <f t="shared" si="4"/>
        <v>96.992761663160678</v>
      </c>
      <c r="E110" s="116">
        <f t="shared" si="4"/>
        <v>97.06958833229568</v>
      </c>
      <c r="F110" s="116">
        <f t="shared" si="4"/>
        <v>89.287134542588447</v>
      </c>
      <c r="G110" s="116">
        <f t="shared" si="4"/>
        <v>95.739812254923976</v>
      </c>
      <c r="H110" s="116">
        <f t="shared" si="4"/>
        <v>95.921736868559876</v>
      </c>
      <c r="I110" s="116">
        <f t="shared" si="4"/>
        <v>2.7779151254255434</v>
      </c>
      <c r="J110" s="116">
        <f t="shared" si="3"/>
        <v>86.041566397993051</v>
      </c>
      <c r="K110" s="116">
        <f t="shared" si="3"/>
        <v>0.3194594375867667</v>
      </c>
    </row>
    <row r="111" spans="3:11" x14ac:dyDescent="0.2">
      <c r="C111" s="87" t="s">
        <v>137</v>
      </c>
      <c r="D111" s="47">
        <f t="shared" si="4"/>
        <v>86.695111342690794</v>
      </c>
      <c r="E111" s="47">
        <f t="shared" si="4"/>
        <v>83.564998636783372</v>
      </c>
      <c r="F111" s="47">
        <f t="shared" si="4"/>
        <v>55.944567465638059</v>
      </c>
      <c r="G111" s="47">
        <f t="shared" si="4"/>
        <v>33.20863193735174</v>
      </c>
      <c r="H111" s="47">
        <f t="shared" si="4"/>
        <v>31.08169842418781</v>
      </c>
      <c r="I111" s="47">
        <f t="shared" si="4"/>
        <v>68.855565230368583</v>
      </c>
      <c r="J111" s="47">
        <f t="shared" si="3"/>
        <v>75.114235065896636</v>
      </c>
      <c r="K111" s="47">
        <f t="shared" si="3"/>
        <v>59.513204978543108</v>
      </c>
    </row>
    <row r="112" spans="3:11" x14ac:dyDescent="0.2">
      <c r="C112" s="88" t="s">
        <v>138</v>
      </c>
      <c r="D112" s="116" t="str">
        <f t="shared" si="4"/>
        <v xml:space="preserve"> </v>
      </c>
      <c r="E112" s="116" t="str">
        <f t="shared" si="4"/>
        <v xml:space="preserve"> </v>
      </c>
      <c r="F112" s="116" t="str">
        <f t="shared" si="4"/>
        <v xml:space="preserve"> </v>
      </c>
      <c r="G112" s="116" t="str">
        <f t="shared" si="4"/>
        <v xml:space="preserve"> </v>
      </c>
      <c r="H112" s="116" t="str">
        <f t="shared" si="4"/>
        <v xml:space="preserve"> </v>
      </c>
      <c r="I112" s="116" t="str">
        <f t="shared" si="4"/>
        <v xml:space="preserve"> </v>
      </c>
      <c r="J112" s="116" t="str">
        <f t="shared" si="3"/>
        <v xml:space="preserve"> </v>
      </c>
      <c r="K112" s="116" t="str">
        <f t="shared" si="3"/>
        <v xml:space="preserve"> </v>
      </c>
    </row>
    <row r="113" spans="3:11" x14ac:dyDescent="0.2">
      <c r="C113" s="87" t="s">
        <v>160</v>
      </c>
      <c r="D113" s="47">
        <f t="shared" si="4"/>
        <v>98.848171235343656</v>
      </c>
      <c r="E113" s="47">
        <f t="shared" si="4"/>
        <v>98.778403110982453</v>
      </c>
      <c r="F113" s="47">
        <f t="shared" si="4"/>
        <v>99.881006839881508</v>
      </c>
      <c r="G113" s="47">
        <f t="shared" si="4"/>
        <v>99.179774109076234</v>
      </c>
      <c r="H113" s="47">
        <f t="shared" si="4"/>
        <v>92.813998018561193</v>
      </c>
      <c r="I113" s="47">
        <f t="shared" si="4"/>
        <v>88.912149402371483</v>
      </c>
      <c r="J113" s="47">
        <f t="shared" si="3"/>
        <v>94.872087580593529</v>
      </c>
      <c r="K113" s="47">
        <f t="shared" si="3"/>
        <v>67.897313164282309</v>
      </c>
    </row>
    <row r="114" spans="3:11" x14ac:dyDescent="0.2">
      <c r="C114" s="88" t="s">
        <v>161</v>
      </c>
      <c r="D114" s="116">
        <f t="shared" si="4"/>
        <v>93.727897837355556</v>
      </c>
      <c r="E114" s="116">
        <f t="shared" si="4"/>
        <v>92.346846405788085</v>
      </c>
      <c r="F114" s="116">
        <f t="shared" si="4"/>
        <v>82.797006222807141</v>
      </c>
      <c r="G114" s="116">
        <f t="shared" si="4"/>
        <v>78.37110984143051</v>
      </c>
      <c r="H114" s="116">
        <f t="shared" si="4"/>
        <v>72.745765081562553</v>
      </c>
      <c r="I114" s="116">
        <f t="shared" si="4"/>
        <v>74.88117879111681</v>
      </c>
      <c r="J114" s="116">
        <f t="shared" si="3"/>
        <v>87.203737521981523</v>
      </c>
      <c r="K114" s="116">
        <f t="shared" si="3"/>
        <v>28.503806547495692</v>
      </c>
    </row>
    <row r="115" spans="3:11" x14ac:dyDescent="0.2">
      <c r="C115" s="87" t="s">
        <v>140</v>
      </c>
      <c r="D115" s="47">
        <f t="shared" si="4"/>
        <v>92.931283215589104</v>
      </c>
      <c r="E115" s="47">
        <f t="shared" si="4"/>
        <v>93.181112506154776</v>
      </c>
      <c r="F115" s="47">
        <f t="shared" si="4"/>
        <v>87.797131628335649</v>
      </c>
      <c r="G115" s="47">
        <f t="shared" si="4"/>
        <v>84.04928649533727</v>
      </c>
      <c r="H115" s="47">
        <f t="shared" si="4"/>
        <v>84.762522460042462</v>
      </c>
      <c r="I115" s="47">
        <f t="shared" si="4"/>
        <v>98.670300270957739</v>
      </c>
      <c r="J115" s="47">
        <f t="shared" si="3"/>
        <v>98.448609367783874</v>
      </c>
      <c r="K115" s="47">
        <f t="shared" si="3"/>
        <v>53.64954574266315</v>
      </c>
    </row>
    <row r="116" spans="3:11" x14ac:dyDescent="0.2">
      <c r="C116" s="88" t="s">
        <v>141</v>
      </c>
      <c r="D116" s="116">
        <f t="shared" si="4"/>
        <v>83.734973784918225</v>
      </c>
      <c r="E116" s="116">
        <f t="shared" si="4"/>
        <v>70.345885157399167</v>
      </c>
      <c r="F116" s="116">
        <f t="shared" si="4"/>
        <v>71.662303836358461</v>
      </c>
      <c r="G116" s="116">
        <f t="shared" si="4"/>
        <v>53.975553973375369</v>
      </c>
      <c r="H116" s="116">
        <f t="shared" si="4"/>
        <v>51.251282002749974</v>
      </c>
      <c r="I116" s="116">
        <f t="shared" si="4"/>
        <v>97.520749363380261</v>
      </c>
      <c r="J116" s="116">
        <f t="shared" si="3"/>
        <v>89.271627977127579</v>
      </c>
      <c r="K116" s="116">
        <f t="shared" si="3"/>
        <v>16.892787640571974</v>
      </c>
    </row>
    <row r="117" spans="3:11" x14ac:dyDescent="0.2">
      <c r="C117" s="87" t="s">
        <v>142</v>
      </c>
      <c r="D117" s="47">
        <f t="shared" ref="D117:I126" si="5">+IFERROR(IF(D76&gt;0,+((D76/D34)*100)," "),"0")</f>
        <v>95.175860838299997</v>
      </c>
      <c r="E117" s="47">
        <f t="shared" si="5"/>
        <v>89.301774360030933</v>
      </c>
      <c r="F117" s="47">
        <f t="shared" si="5"/>
        <v>40.806828683047101</v>
      </c>
      <c r="G117" s="47">
        <f t="shared" si="5"/>
        <v>67.737644237030906</v>
      </c>
      <c r="H117" s="47">
        <f t="shared" si="5"/>
        <v>90.033775489126143</v>
      </c>
      <c r="I117" s="47">
        <f t="shared" si="5"/>
        <v>87.576029135226634</v>
      </c>
      <c r="J117" s="47">
        <f t="shared" si="3"/>
        <v>87.708718364392183</v>
      </c>
      <c r="K117" s="47">
        <f t="shared" si="3"/>
        <v>34.017958458535411</v>
      </c>
    </row>
    <row r="118" spans="3:11" x14ac:dyDescent="0.2">
      <c r="C118" s="88" t="s">
        <v>143</v>
      </c>
      <c r="D118" s="116">
        <f t="shared" si="5"/>
        <v>60.474264110027235</v>
      </c>
      <c r="E118" s="116">
        <f t="shared" si="5"/>
        <v>33.997097763331396</v>
      </c>
      <c r="F118" s="116">
        <f t="shared" si="5"/>
        <v>60.227991300864701</v>
      </c>
      <c r="G118" s="116">
        <f t="shared" si="5"/>
        <v>58.72806690422108</v>
      </c>
      <c r="H118" s="116">
        <f t="shared" si="5"/>
        <v>10.818742756804509</v>
      </c>
      <c r="I118" s="116">
        <f t="shared" si="5"/>
        <v>17.780774409516674</v>
      </c>
      <c r="J118" s="116">
        <f t="shared" si="3"/>
        <v>55.425190969172434</v>
      </c>
      <c r="K118" s="116">
        <f t="shared" si="3"/>
        <v>8.6288595015249854</v>
      </c>
    </row>
    <row r="119" spans="3:11" x14ac:dyDescent="0.2">
      <c r="C119" s="87" t="s">
        <v>144</v>
      </c>
      <c r="D119" s="47" t="str">
        <f t="shared" si="5"/>
        <v xml:space="preserve"> </v>
      </c>
      <c r="E119" s="47" t="str">
        <f t="shared" si="5"/>
        <v xml:space="preserve"> </v>
      </c>
      <c r="F119" s="47" t="str">
        <f t="shared" si="5"/>
        <v xml:space="preserve"> </v>
      </c>
      <c r="G119" s="47" t="str">
        <f t="shared" si="5"/>
        <v xml:space="preserve"> </v>
      </c>
      <c r="H119" s="47" t="str">
        <f t="shared" si="5"/>
        <v xml:space="preserve"> </v>
      </c>
      <c r="I119" s="47" t="str">
        <f t="shared" si="5"/>
        <v xml:space="preserve"> </v>
      </c>
      <c r="J119" s="47" t="str">
        <f t="shared" si="3"/>
        <v xml:space="preserve"> </v>
      </c>
      <c r="K119" s="47" t="str">
        <f t="shared" si="3"/>
        <v xml:space="preserve"> </v>
      </c>
    </row>
    <row r="120" spans="3:11" x14ac:dyDescent="0.2">
      <c r="C120" s="88" t="s">
        <v>145</v>
      </c>
      <c r="D120" s="116">
        <f t="shared" si="5"/>
        <v>94.437783470980179</v>
      </c>
      <c r="E120" s="116">
        <f t="shared" si="5"/>
        <v>95.930372718482289</v>
      </c>
      <c r="F120" s="116">
        <f t="shared" si="5"/>
        <v>90.554242041542224</v>
      </c>
      <c r="G120" s="116">
        <f t="shared" si="5"/>
        <v>86.398584388123467</v>
      </c>
      <c r="H120" s="116">
        <f t="shared" si="5"/>
        <v>82.814565913971506</v>
      </c>
      <c r="I120" s="116">
        <f t="shared" si="5"/>
        <v>73.50662843991843</v>
      </c>
      <c r="J120" s="116">
        <f t="shared" si="3"/>
        <v>94.558702150315113</v>
      </c>
      <c r="K120" s="116">
        <f t="shared" si="3"/>
        <v>46.080181115829539</v>
      </c>
    </row>
    <row r="121" spans="3:11" x14ac:dyDescent="0.2">
      <c r="C121" s="87" t="s">
        <v>146</v>
      </c>
      <c r="D121" s="47">
        <f t="shared" si="5"/>
        <v>97.665923003076415</v>
      </c>
      <c r="E121" s="47">
        <f t="shared" si="5"/>
        <v>89.955444220862049</v>
      </c>
      <c r="F121" s="47">
        <f t="shared" si="5"/>
        <v>96.372268210150409</v>
      </c>
      <c r="G121" s="47">
        <f t="shared" si="5"/>
        <v>95.18023004666432</v>
      </c>
      <c r="H121" s="47">
        <f t="shared" si="5"/>
        <v>92.091126225492047</v>
      </c>
      <c r="I121" s="47">
        <f t="shared" si="5"/>
        <v>96.733516740111767</v>
      </c>
      <c r="J121" s="47">
        <f t="shared" si="3"/>
        <v>94.244772328672568</v>
      </c>
      <c r="K121" s="47">
        <f t="shared" si="3"/>
        <v>66.697935827773307</v>
      </c>
    </row>
    <row r="122" spans="3:11" x14ac:dyDescent="0.2">
      <c r="C122" s="88" t="s">
        <v>162</v>
      </c>
      <c r="D122" s="116">
        <f t="shared" si="5"/>
        <v>91.473054731637319</v>
      </c>
      <c r="E122" s="116">
        <f t="shared" si="5"/>
        <v>91.129625703568152</v>
      </c>
      <c r="F122" s="116">
        <f t="shared" si="5"/>
        <v>85.457231607861132</v>
      </c>
      <c r="G122" s="116">
        <f t="shared" si="5"/>
        <v>87.584556905552247</v>
      </c>
      <c r="H122" s="116">
        <f t="shared" si="5"/>
        <v>88.997108071908784</v>
      </c>
      <c r="I122" s="116">
        <f t="shared" si="5"/>
        <v>89.756883370273357</v>
      </c>
      <c r="J122" s="116">
        <f t="shared" si="3"/>
        <v>94.741961067689758</v>
      </c>
      <c r="K122" s="116">
        <f t="shared" si="3"/>
        <v>33.141906025044179</v>
      </c>
    </row>
    <row r="123" spans="3:11" x14ac:dyDescent="0.2">
      <c r="C123" s="87" t="s">
        <v>148</v>
      </c>
      <c r="D123" s="47" t="str">
        <f t="shared" si="5"/>
        <v xml:space="preserve"> </v>
      </c>
      <c r="E123" s="47" t="str">
        <f t="shared" si="5"/>
        <v xml:space="preserve"> </v>
      </c>
      <c r="F123" s="47" t="str">
        <f t="shared" si="5"/>
        <v xml:space="preserve"> </v>
      </c>
      <c r="G123" s="47" t="str">
        <f t="shared" si="5"/>
        <v xml:space="preserve"> </v>
      </c>
      <c r="H123" s="47" t="str">
        <f t="shared" si="5"/>
        <v xml:space="preserve"> </v>
      </c>
      <c r="I123" s="47" t="str">
        <f t="shared" si="5"/>
        <v xml:space="preserve"> </v>
      </c>
      <c r="J123" s="47" t="str">
        <f t="shared" si="3"/>
        <v xml:space="preserve"> </v>
      </c>
      <c r="K123" s="47" t="str">
        <f t="shared" si="3"/>
        <v xml:space="preserve"> </v>
      </c>
    </row>
    <row r="124" spans="3:11" x14ac:dyDescent="0.2">
      <c r="C124" s="88" t="s">
        <v>149</v>
      </c>
      <c r="D124" s="116">
        <f t="shared" si="5"/>
        <v>93.072635780883132</v>
      </c>
      <c r="E124" s="116">
        <f t="shared" si="5"/>
        <v>99.335284901892067</v>
      </c>
      <c r="F124" s="116">
        <f t="shared" si="5"/>
        <v>86.263827811955281</v>
      </c>
      <c r="G124" s="116">
        <f t="shared" si="5"/>
        <v>86.878075076587606</v>
      </c>
      <c r="H124" s="116">
        <f t="shared" si="5"/>
        <v>97.526460942612502</v>
      </c>
      <c r="I124" s="116">
        <f t="shared" si="5"/>
        <v>93.712958931205833</v>
      </c>
      <c r="J124" s="116">
        <f t="shared" si="3"/>
        <v>96.249391807182178</v>
      </c>
      <c r="K124" s="116">
        <f t="shared" si="3"/>
        <v>77.691541862413601</v>
      </c>
    </row>
    <row r="125" spans="3:11" x14ac:dyDescent="0.2">
      <c r="C125" s="87" t="s">
        <v>163</v>
      </c>
      <c r="D125" s="47">
        <f t="shared" si="5"/>
        <v>97.851080270677045</v>
      </c>
      <c r="E125" s="47">
        <f t="shared" si="5"/>
        <v>97.179590813080836</v>
      </c>
      <c r="F125" s="47">
        <f t="shared" si="5"/>
        <v>95.459031727305245</v>
      </c>
      <c r="G125" s="47">
        <f t="shared" si="5"/>
        <v>95.862949704428644</v>
      </c>
      <c r="H125" s="47">
        <f t="shared" si="5"/>
        <v>97.136481300078202</v>
      </c>
      <c r="I125" s="47">
        <f t="shared" si="5"/>
        <v>97.151007616973132</v>
      </c>
      <c r="J125" s="47">
        <f t="shared" si="3"/>
        <v>96.507092728403691</v>
      </c>
      <c r="K125" s="47">
        <f t="shared" si="3"/>
        <v>25.287576545791897</v>
      </c>
    </row>
    <row r="126" spans="3:11" x14ac:dyDescent="0.2">
      <c r="C126" s="88" t="s">
        <v>150</v>
      </c>
      <c r="D126" s="116">
        <f t="shared" si="5"/>
        <v>96.130059349958884</v>
      </c>
      <c r="E126" s="116">
        <f t="shared" si="5"/>
        <v>96.571589673810948</v>
      </c>
      <c r="F126" s="116">
        <f t="shared" si="5"/>
        <v>87.299567581781261</v>
      </c>
      <c r="G126" s="116">
        <f t="shared" si="5"/>
        <v>89.467148218617069</v>
      </c>
      <c r="H126" s="116">
        <f t="shared" si="5"/>
        <v>73.531344382557208</v>
      </c>
      <c r="I126" s="116">
        <f t="shared" si="5"/>
        <v>88.542174461722965</v>
      </c>
      <c r="J126" s="116">
        <f t="shared" si="3"/>
        <v>94.133717356835419</v>
      </c>
      <c r="K126" s="116">
        <f t="shared" si="3"/>
        <v>29.33770540352802</v>
      </c>
    </row>
    <row r="127" spans="3:11" x14ac:dyDescent="0.2">
      <c r="C127" s="87" t="s">
        <v>151</v>
      </c>
      <c r="D127" s="47" t="str">
        <f t="shared" ref="D127:I127" si="6">+IFERROR(IF(D86&gt;0,+((D86/D44)*100)," "),"0")</f>
        <v xml:space="preserve"> </v>
      </c>
      <c r="E127" s="47" t="str">
        <f t="shared" si="6"/>
        <v xml:space="preserve"> </v>
      </c>
      <c r="F127" s="47" t="str">
        <f t="shared" si="6"/>
        <v xml:space="preserve"> </v>
      </c>
      <c r="G127" s="47" t="str">
        <f t="shared" si="6"/>
        <v xml:space="preserve"> </v>
      </c>
      <c r="H127" s="47" t="str">
        <f t="shared" si="6"/>
        <v xml:space="preserve"> </v>
      </c>
      <c r="I127" s="47" t="str">
        <f t="shared" si="6"/>
        <v xml:space="preserve"> </v>
      </c>
      <c r="J127" s="47" t="str">
        <f t="shared" si="3"/>
        <v xml:space="preserve"> </v>
      </c>
      <c r="K127" s="47" t="str">
        <f t="shared" si="3"/>
        <v xml:space="preserve"> </v>
      </c>
    </row>
    <row r="128" spans="3:11" x14ac:dyDescent="0.2">
      <c r="C128" s="91" t="s">
        <v>154</v>
      </c>
      <c r="D128" s="74">
        <f t="shared" ref="D128:I128" si="7">+IFERROR(IF(D87&gt;0,+((D87/D45)*100)," "),"")</f>
        <v>94.958673517384696</v>
      </c>
      <c r="E128" s="74">
        <f t="shared" si="7"/>
        <v>95.245188649918006</v>
      </c>
      <c r="F128" s="74">
        <f t="shared" si="7"/>
        <v>84.098346723890486</v>
      </c>
      <c r="G128" s="74">
        <f t="shared" si="7"/>
        <v>89.38045010082007</v>
      </c>
      <c r="H128" s="74">
        <f t="shared" si="7"/>
        <v>87.515131410330085</v>
      </c>
      <c r="I128" s="74">
        <f t="shared" si="7"/>
        <v>91.80088736048701</v>
      </c>
      <c r="J128" s="74">
        <f t="shared" si="3"/>
        <v>95.959013295376238</v>
      </c>
      <c r="K128" s="74">
        <f t="shared" si="3"/>
        <v>41.496114877995076</v>
      </c>
    </row>
    <row r="129" spans="1:11" s="31" customFormat="1" x14ac:dyDescent="0.2">
      <c r="A129" s="5"/>
      <c r="B129" s="5"/>
      <c r="C129" s="72" t="str">
        <f>+'C1 Aprop Resumen 2000-2026'!B20</f>
        <v>* Información con corte a 30 de abril</v>
      </c>
      <c r="D129" s="47"/>
      <c r="E129" s="47"/>
      <c r="F129" s="47"/>
      <c r="G129" s="47"/>
      <c r="H129" s="47"/>
      <c r="I129" s="47"/>
    </row>
    <row r="130" spans="1:11" x14ac:dyDescent="0.2">
      <c r="C130" s="1" t="s">
        <v>52</v>
      </c>
      <c r="D130" s="11"/>
      <c r="E130" s="11"/>
      <c r="F130" s="11"/>
      <c r="G130" s="11"/>
      <c r="H130" s="11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customHeight="1" x14ac:dyDescent="0.2">
      <c r="D135" s="173" t="s">
        <v>156</v>
      </c>
      <c r="E135" s="178"/>
      <c r="F135" s="178"/>
      <c r="G135" s="178"/>
      <c r="H135" s="178"/>
      <c r="I135" s="178"/>
      <c r="J135" s="178"/>
      <c r="K135" s="178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76" t="s">
        <v>120</v>
      </c>
      <c r="D137" s="153">
        <v>2019</v>
      </c>
      <c r="E137" s="153">
        <v>2020</v>
      </c>
      <c r="F137" s="153">
        <v>2021</v>
      </c>
      <c r="G137" s="153">
        <v>2022</v>
      </c>
      <c r="H137" s="153">
        <v>2023</v>
      </c>
      <c r="I137" s="153">
        <v>2024</v>
      </c>
      <c r="J137" s="153">
        <v>2025</v>
      </c>
      <c r="K137" s="153" t="s">
        <v>10</v>
      </c>
    </row>
    <row r="138" spans="1:11" ht="12" customHeight="1" thickBot="1" x14ac:dyDescent="0.25">
      <c r="C138" s="160"/>
      <c r="D138" s="154"/>
      <c r="E138" s="154"/>
      <c r="F138" s="154"/>
      <c r="G138" s="154"/>
      <c r="H138" s="154"/>
      <c r="I138" s="154"/>
      <c r="J138" s="154"/>
      <c r="K138" s="154"/>
    </row>
    <row r="139" spans="1:11" x14ac:dyDescent="0.2">
      <c r="C139" s="87" t="s">
        <v>123</v>
      </c>
      <c r="D139" s="42">
        <f>49.61057772652*Deflactores!$T$5</f>
        <v>76.991950209923942</v>
      </c>
      <c r="E139" s="42">
        <f>83.59030179765*Deflactores!$U$5</f>
        <v>127.67047606511511</v>
      </c>
      <c r="F139" s="42">
        <f>86.5332466953299*Deflactores!$V$5</f>
        <v>125.13287418470041</v>
      </c>
      <c r="G139" s="42">
        <f>68.28185885982*Deflactores!$W$5</f>
        <v>87.287963371174968</v>
      </c>
      <c r="H139" s="42">
        <f>60.07193128048*Deflactores!$X$5</f>
        <v>70.271614745598086</v>
      </c>
      <c r="I139" s="42">
        <f>98.4904136306699*Deflactores!$Y$5</f>
        <v>109.5182662963182</v>
      </c>
      <c r="J139" s="42">
        <f>102.27154009939*Deflactores!$Z$5</f>
        <v>108.20328942515462</v>
      </c>
      <c r="K139" s="42">
        <f>14.84322040223*Deflactores!$AA$5</f>
        <v>14.843220402229999</v>
      </c>
    </row>
    <row r="140" spans="1:11" x14ac:dyDescent="0.2">
      <c r="C140" s="88" t="s">
        <v>124</v>
      </c>
      <c r="D140" s="50">
        <f>121.821190618349*Deflactores!$T$5</f>
        <v>189.05748476272584</v>
      </c>
      <c r="E140" s="50">
        <f>136.79034628072*Deflactores!$U$5</f>
        <v>208.9248184920711</v>
      </c>
      <c r="F140" s="50">
        <f>171.11267016216*Deflactores!$V$5</f>
        <v>247.44038903564311</v>
      </c>
      <c r="G140" s="50">
        <f>201.72709720802*Deflactores!$W$5</f>
        <v>257.87738890085512</v>
      </c>
      <c r="H140" s="50">
        <f>206.87078075747*Deflactores!$X$5</f>
        <v>241.995612553808</v>
      </c>
      <c r="I140" s="50">
        <f>226.36622079013*Deflactores!$Y$5</f>
        <v>251.71217314559669</v>
      </c>
      <c r="J140" s="50">
        <f>244.53433325218*Deflactores!$Z$5</f>
        <v>258.71732458080646</v>
      </c>
      <c r="K140" s="50">
        <f>130.09181433301*Deflactores!$AA$5</f>
        <v>130.09181433301001</v>
      </c>
    </row>
    <row r="141" spans="1:11" x14ac:dyDescent="0.2">
      <c r="C141" s="87" t="s">
        <v>125</v>
      </c>
      <c r="D141" s="42">
        <f>0*Deflactores!$T$5</f>
        <v>0</v>
      </c>
      <c r="E141" s="42">
        <f>0*Deflactores!$U$5</f>
        <v>0</v>
      </c>
      <c r="F141" s="42">
        <f>0*Deflactores!$V$5</f>
        <v>0</v>
      </c>
      <c r="G141" s="42">
        <f>0*Deflactores!$W$5</f>
        <v>0</v>
      </c>
      <c r="H141" s="42">
        <f>0*Deflactores!$X$5</f>
        <v>0</v>
      </c>
      <c r="I141" s="42">
        <f>0*Deflactores!$Y$5</f>
        <v>0</v>
      </c>
      <c r="J141" s="42">
        <f>0*Deflactores!$Z$5</f>
        <v>0</v>
      </c>
      <c r="K141" s="42">
        <f>0*Deflactores!$AA$5</f>
        <v>0</v>
      </c>
    </row>
    <row r="142" spans="1:11" x14ac:dyDescent="0.2">
      <c r="C142" s="88" t="s">
        <v>126</v>
      </c>
      <c r="D142" s="50">
        <f>334.10304250885*Deflactores!$T$5</f>
        <v>518.50323041238801</v>
      </c>
      <c r="E142" s="50">
        <f>345.55115459238*Deflactores!$U$5</f>
        <v>527.77271361520081</v>
      </c>
      <c r="F142" s="50">
        <f>369.67123296363*Deflactores!$V$5</f>
        <v>534.56937825305806</v>
      </c>
      <c r="G142" s="50">
        <f>403.41904846892*Deflactores!$W$5</f>
        <v>515.70984905788157</v>
      </c>
      <c r="H142" s="50">
        <f>433.94006209724*Deflactores!$X$5</f>
        <v>507.61925272555521</v>
      </c>
      <c r="I142" s="50">
        <f>453.698495143369*Deflactores!$Y$5</f>
        <v>504.49856770504408</v>
      </c>
      <c r="J142" s="50">
        <f>481.789806698059*Deflactores!$Z$5</f>
        <v>509.73361548654646</v>
      </c>
      <c r="K142" s="50">
        <f>103.97883408756*Deflactores!$AA$5</f>
        <v>103.97883408756</v>
      </c>
    </row>
    <row r="143" spans="1:11" x14ac:dyDescent="0.2">
      <c r="C143" s="87" t="s">
        <v>127</v>
      </c>
      <c r="D143" s="42">
        <f>0*Deflactores!$T$5</f>
        <v>0</v>
      </c>
      <c r="E143" s="42">
        <f>0*Deflactores!$U$5</f>
        <v>0</v>
      </c>
      <c r="F143" s="42">
        <f>0*Deflactores!$V$5</f>
        <v>0</v>
      </c>
      <c r="G143" s="42">
        <f>0*Deflactores!$W$5</f>
        <v>0</v>
      </c>
      <c r="H143" s="42">
        <f>0*Deflactores!$X$5</f>
        <v>0</v>
      </c>
      <c r="I143" s="42">
        <f>0*Deflactores!$Y$5</f>
        <v>0</v>
      </c>
      <c r="J143" s="42">
        <f>0*Deflactores!$Z$5</f>
        <v>0</v>
      </c>
      <c r="K143" s="42">
        <f>0*Deflactores!$AA$5</f>
        <v>0</v>
      </c>
    </row>
    <row r="144" spans="1:11" x14ac:dyDescent="0.2">
      <c r="C144" s="88" t="s">
        <v>128</v>
      </c>
      <c r="D144" s="50">
        <f>9.28942754715999*Deflactores!$T$5</f>
        <v>14.416505027058216</v>
      </c>
      <c r="E144" s="50">
        <f>10.29691158123*Deflactores!$U$5</f>
        <v>15.72684360870425</v>
      </c>
      <c r="F144" s="50">
        <f>10.1643318368199*Deflactores!$V$5</f>
        <v>14.698305050155618</v>
      </c>
      <c r="G144" s="50">
        <f>13.1794641353*Deflactores!$W$5</f>
        <v>16.847938850867031</v>
      </c>
      <c r="H144" s="50">
        <f>11.7315578921799*Deflactores!$X$5</f>
        <v>13.723472826531697</v>
      </c>
      <c r="I144" s="50">
        <f>10.34179552521*Deflactores!$Y$5</f>
        <v>11.499753880202249</v>
      </c>
      <c r="J144" s="50">
        <f>17.56177829004*Deflactores!$Z$5</f>
        <v>18.580361430862322</v>
      </c>
      <c r="K144" s="50">
        <f>2.03119752181*Deflactores!$AA$5</f>
        <v>2.0311975218099998</v>
      </c>
    </row>
    <row r="145" spans="3:11" x14ac:dyDescent="0.2">
      <c r="C145" s="87" t="s">
        <v>129</v>
      </c>
      <c r="D145" s="42">
        <f>2031.34138262102*Deflactores!$T$5</f>
        <v>3152.4917015129131</v>
      </c>
      <c r="E145" s="42">
        <f>1806.67559357634*Deflactores!$U$5</f>
        <v>2759.4006501553308</v>
      </c>
      <c r="F145" s="42">
        <f>1749.70744599179*Deflactores!$V$5</f>
        <v>2530.1942323994695</v>
      </c>
      <c r="G145" s="42">
        <f>2438.22402907456*Deflactores!$W$5</f>
        <v>3116.8982991149323</v>
      </c>
      <c r="H145" s="42">
        <f>2249.97417191694*Deflactores!$X$5</f>
        <v>2631.999917869628</v>
      </c>
      <c r="I145" s="42">
        <f>2501.24948020647*Deflactores!$Y$5</f>
        <v>2781.3113637028841</v>
      </c>
      <c r="J145" s="42">
        <f>2599.64048179404*Deflactores!$Z$5</f>
        <v>2750.4196297380945</v>
      </c>
      <c r="K145" s="42">
        <f>593.43431768043*Deflactores!$AA$5</f>
        <v>593.43431768043001</v>
      </c>
    </row>
    <row r="146" spans="3:11" x14ac:dyDescent="0.2">
      <c r="C146" s="88" t="s">
        <v>130</v>
      </c>
      <c r="D146" s="50">
        <f>0*Deflactores!$T$5</f>
        <v>0</v>
      </c>
      <c r="E146" s="50">
        <f>0*Deflactores!$U$5</f>
        <v>0</v>
      </c>
      <c r="F146" s="50">
        <f>0*Deflactores!$V$5</f>
        <v>0</v>
      </c>
      <c r="G146" s="50">
        <f>0*Deflactores!$W$5</f>
        <v>0</v>
      </c>
      <c r="H146" s="50">
        <f>0*Deflactores!$X$5</f>
        <v>0</v>
      </c>
      <c r="I146" s="50">
        <f>0*Deflactores!$Y$5</f>
        <v>0</v>
      </c>
      <c r="J146" s="50">
        <f>0*Deflactores!$Z$5</f>
        <v>0</v>
      </c>
      <c r="K146" s="50">
        <f>0*Deflactores!$AA$5</f>
        <v>0</v>
      </c>
    </row>
    <row r="147" spans="3:11" x14ac:dyDescent="0.2">
      <c r="C147" s="87" t="s">
        <v>131</v>
      </c>
      <c r="D147" s="42">
        <f>19.96924571948*Deflactores!$T$5</f>
        <v>30.990793548894015</v>
      </c>
      <c r="E147" s="42">
        <f>16.55172919757*Deflactores!$U$5</f>
        <v>25.280051643670891</v>
      </c>
      <c r="F147" s="42">
        <f>19.7144775911099*Deflactores!$V$5</f>
        <v>28.508455862185841</v>
      </c>
      <c r="G147" s="42">
        <f>23.33597948013*Deflactores!$W$5</f>
        <v>29.831497796125575</v>
      </c>
      <c r="H147" s="42">
        <f>30.10181859116*Deflactores!$X$5</f>
        <v>35.21284157326955</v>
      </c>
      <c r="I147" s="42">
        <f>37.9719214156*Deflactores!$Y$5</f>
        <v>42.223591597157792</v>
      </c>
      <c r="J147" s="42">
        <f>42.5251876634099*Deflactores!$Z$5</f>
        <v>44.991648547887678</v>
      </c>
      <c r="K147" s="42">
        <f>10.8237450431999*Deflactores!$AA$5</f>
        <v>10.823745043199899</v>
      </c>
    </row>
    <row r="148" spans="3:11" x14ac:dyDescent="0.2">
      <c r="C148" s="88" t="s">
        <v>132</v>
      </c>
      <c r="D148" s="50">
        <f>313.17791891757*Deflactores!$T$5</f>
        <v>486.02898504968755</v>
      </c>
      <c r="E148" s="50">
        <f>204.14320955294*Deflactores!$U$5</f>
        <v>311.79527036732293</v>
      </c>
      <c r="F148" s="50">
        <f>247.77738365886*Deflactores!$V$5</f>
        <v>358.30270282545268</v>
      </c>
      <c r="G148" s="50">
        <f>297.44479535998*Deflactores!$W$5</f>
        <v>380.2378967981864</v>
      </c>
      <c r="H148" s="50">
        <f>357.84885846881*Deflactores!$X$5</f>
        <v>418.6084346458079</v>
      </c>
      <c r="I148" s="50">
        <f>440.227254720059*Deflactores!$Y$5</f>
        <v>489.51896876098641</v>
      </c>
      <c r="J148" s="50">
        <f>463.574945478709*Deflactores!$Z$5</f>
        <v>490.46229231647419</v>
      </c>
      <c r="K148" s="50">
        <f>90.4829331226299*Deflactores!$AA$5</f>
        <v>90.482933122629902</v>
      </c>
    </row>
    <row r="149" spans="3:11" x14ac:dyDescent="0.2">
      <c r="C149" s="87" t="s">
        <v>133</v>
      </c>
      <c r="D149" s="42">
        <f>57.1027592465399*Deflactores!$T$5</f>
        <v>88.619262226585434</v>
      </c>
      <c r="E149" s="42">
        <f>47.07793453358*Deflactores!$U$5</f>
        <v>71.90382358726518</v>
      </c>
      <c r="F149" s="42">
        <f>79.47330531121*Deflactores!$V$5</f>
        <v>114.92372578557867</v>
      </c>
      <c r="G149" s="42">
        <f>35.41600876138*Deflactores!$W$5</f>
        <v>45.273976531058636</v>
      </c>
      <c r="H149" s="42">
        <f>47.12565268805*Deflactores!$X$5</f>
        <v>55.127172370527589</v>
      </c>
      <c r="I149" s="42">
        <f>42.42664916712*Deflactores!$Y$5</f>
        <v>47.177109834963645</v>
      </c>
      <c r="J149" s="42">
        <f>37.33652000296*Deflactores!$Z$5</f>
        <v>39.502038163131679</v>
      </c>
      <c r="K149" s="42">
        <f>7.14858486181*Deflactores!$AA$5</f>
        <v>7.1485848618099999</v>
      </c>
    </row>
    <row r="150" spans="3:11" x14ac:dyDescent="0.2">
      <c r="C150" s="88" t="s">
        <v>134</v>
      </c>
      <c r="D150" s="50">
        <f>224.778987212819*Deflactores!$T$5</f>
        <v>348.84037608123333</v>
      </c>
      <c r="E150" s="50">
        <f>247.558724183219*Deflactores!$U$5</f>
        <v>378.10534823828857</v>
      </c>
      <c r="F150" s="50">
        <f>266.95374552969*Deflactores!$V$5</f>
        <v>386.03300729156678</v>
      </c>
      <c r="G150" s="50">
        <f>324.817976983119*Deflactores!$W$5</f>
        <v>415.2303430316482</v>
      </c>
      <c r="H150" s="50">
        <f>350.006053039969*Deflactores!$X$5</f>
        <v>409.43399011118902</v>
      </c>
      <c r="I150" s="50">
        <f>378.109309925339*Deflactores!$Y$5</f>
        <v>420.44575270851902</v>
      </c>
      <c r="J150" s="50">
        <f>391.39056520795*Deflactores!$Z$5</f>
        <v>414.0912179900111</v>
      </c>
      <c r="K150" s="50">
        <f>100.79535328892*Deflactores!$AA$5</f>
        <v>100.79535328892</v>
      </c>
    </row>
    <row r="151" spans="3:11" x14ac:dyDescent="0.2">
      <c r="C151" s="87" t="s">
        <v>135</v>
      </c>
      <c r="D151" s="42">
        <f>0*Deflactores!$T$5</f>
        <v>0</v>
      </c>
      <c r="E151" s="42">
        <f>0*Deflactores!$U$5</f>
        <v>0</v>
      </c>
      <c r="F151" s="42">
        <f>0*Deflactores!$V$5</f>
        <v>0</v>
      </c>
      <c r="G151" s="42">
        <f>0*Deflactores!$W$5</f>
        <v>0</v>
      </c>
      <c r="H151" s="42">
        <f>0*Deflactores!$X$5</f>
        <v>0</v>
      </c>
      <c r="I151" s="42">
        <f>3975.39102456501*Deflactores!$Y$5</f>
        <v>4420.5107564369837</v>
      </c>
      <c r="J151" s="42">
        <f>4196.82774082473*Deflactores!$Z$5</f>
        <v>4440.2437497925648</v>
      </c>
      <c r="K151" s="42">
        <f>1055.4847903587*Deflactores!$AA$5</f>
        <v>1055.4847903586999</v>
      </c>
    </row>
    <row r="152" spans="3:11" x14ac:dyDescent="0.2">
      <c r="C152" s="88" t="s">
        <v>136</v>
      </c>
      <c r="D152" s="50">
        <f>2456.13971288237*Deflactores!$T$5</f>
        <v>3811.7473157698951</v>
      </c>
      <c r="E152" s="50">
        <f>2379.93853794639*Deflactores!$U$5</f>
        <v>3634.9657748678187</v>
      </c>
      <c r="F152" s="50">
        <f>2530.57636761098*Deflactores!$V$5</f>
        <v>3659.3830269416048</v>
      </c>
      <c r="G152" s="50">
        <f>2953.84750370085*Deflactores!$W$5</f>
        <v>3776.0444283803449</v>
      </c>
      <c r="H152" s="50">
        <f>3509.56740052714*Deflactores!$X$5</f>
        <v>4105.4609538363875</v>
      </c>
      <c r="I152" s="50">
        <f>0.83410458289*Deflactores!$Y$5</f>
        <v>0.92749826567364679</v>
      </c>
      <c r="J152" s="50">
        <f>31.62720305825*Deflactores!$Z$5</f>
        <v>33.461580835628503</v>
      </c>
      <c r="K152" s="50">
        <f>0*Deflactores!$AA$5</f>
        <v>0</v>
      </c>
    </row>
    <row r="153" spans="3:11" x14ac:dyDescent="0.2">
      <c r="C153" s="87" t="s">
        <v>137</v>
      </c>
      <c r="D153" s="42">
        <f>27.79769840714*Deflactores!$T$5</f>
        <v>43.139973565938398</v>
      </c>
      <c r="E153" s="42">
        <f>28.04238609993*Deflactores!$U$5</f>
        <v>42.830145440155356</v>
      </c>
      <c r="F153" s="42">
        <f>58.62941256624*Deflactores!$V$5</f>
        <v>84.782059917441472</v>
      </c>
      <c r="G153" s="42">
        <f>31.6200882098199*Deflactores!$W$5</f>
        <v>40.421469882921066</v>
      </c>
      <c r="H153" s="42">
        <f>12.2204430265699*Deflactores!$X$5</f>
        <v>14.295366339631839</v>
      </c>
      <c r="I153" s="42">
        <f>43.72305862044*Deflactores!$Y$5</f>
        <v>48.618676689075748</v>
      </c>
      <c r="J153" s="42">
        <f>43.45905880279*Deflactores!$Z$5</f>
        <v>45.979684213351817</v>
      </c>
      <c r="K153" s="42">
        <f>13.26985935751*Deflactores!$AA$5</f>
        <v>13.269859357510001</v>
      </c>
    </row>
    <row r="154" spans="3:11" x14ac:dyDescent="0.2">
      <c r="C154" s="88" t="s">
        <v>138</v>
      </c>
      <c r="D154" s="50">
        <f>0*Deflactores!$T$5</f>
        <v>0</v>
      </c>
      <c r="E154" s="50">
        <f>0*Deflactores!$U$5</f>
        <v>0</v>
      </c>
      <c r="F154" s="50">
        <f>0*Deflactores!$V$5</f>
        <v>0</v>
      </c>
      <c r="G154" s="50">
        <f>0*Deflactores!$W$5</f>
        <v>0</v>
      </c>
      <c r="H154" s="50">
        <f>0*Deflactores!$X$5</f>
        <v>0</v>
      </c>
      <c r="I154" s="50">
        <f>0*Deflactores!$Y$5</f>
        <v>0</v>
      </c>
      <c r="J154" s="50">
        <f>0*Deflactores!$Z$5</f>
        <v>0</v>
      </c>
      <c r="K154" s="50">
        <f>0*Deflactores!$AA$5</f>
        <v>0</v>
      </c>
    </row>
    <row r="155" spans="3:11" x14ac:dyDescent="0.2">
      <c r="C155" s="87" t="s">
        <v>160</v>
      </c>
      <c r="D155" s="42">
        <f>84.2431983062399*Deflactores!$T$5</f>
        <v>130.73921785941164</v>
      </c>
      <c r="E155" s="42">
        <f>54.02429625702*Deflactores!$U$5</f>
        <v>82.513251823316963</v>
      </c>
      <c r="F155" s="42">
        <f>106.49085893182*Deflactores!$V$5</f>
        <v>153.99291903900419</v>
      </c>
      <c r="G155" s="42">
        <f>109.88018076664*Deflactores!$W$5</f>
        <v>140.465086248852</v>
      </c>
      <c r="H155" s="42">
        <f>140.13500993934*Deflactores!$X$5</f>
        <v>163.92869716222603</v>
      </c>
      <c r="I155" s="42">
        <f>182.97525315366*Deflactores!$Y$5</f>
        <v>203.46277126689404</v>
      </c>
      <c r="J155" s="42">
        <f>161.13235430921*Deflactores!$Z$5</f>
        <v>170.47803085914418</v>
      </c>
      <c r="K155" s="42">
        <f>43.31680712955*Deflactores!$AA$5</f>
        <v>43.31680712955</v>
      </c>
    </row>
    <row r="156" spans="3:11" x14ac:dyDescent="0.2">
      <c r="C156" s="88" t="s">
        <v>161</v>
      </c>
      <c r="D156" s="50">
        <f>395.880859350459*Deflactores!$T$5</f>
        <v>614.37783652092298</v>
      </c>
      <c r="E156" s="50">
        <f>414.63186890001*Deflactores!$U$5</f>
        <v>633.28217455629385</v>
      </c>
      <c r="F156" s="50">
        <f>427.00114778586*Deflactores!$V$5</f>
        <v>617.47227734024625</v>
      </c>
      <c r="G156" s="50">
        <f>520.36673021889*Deflactores!$W$5</f>
        <v>665.20965956966177</v>
      </c>
      <c r="H156" s="50">
        <f>587.02299024045*Deflactores!$X$5</f>
        <v>686.69431026583561</v>
      </c>
      <c r="I156" s="50">
        <f>666.50934930516*Deflactores!$Y$5</f>
        <v>741.13759619197765</v>
      </c>
      <c r="J156" s="50">
        <f>706.45754667322*Deflactores!$Z$5</f>
        <v>747.43208438026682</v>
      </c>
      <c r="K156" s="50">
        <f>148.23662713801*Deflactores!$AA$5</f>
        <v>148.23662713800999</v>
      </c>
    </row>
    <row r="157" spans="3:11" x14ac:dyDescent="0.2">
      <c r="C157" s="87" t="s">
        <v>140</v>
      </c>
      <c r="D157" s="42">
        <f>699.49102921225*Deflactores!$T$5</f>
        <v>1085.5583821312568</v>
      </c>
      <c r="E157" s="42">
        <f>1042.73026013433*Deflactores!$U$5</f>
        <v>1592.599450605092</v>
      </c>
      <c r="F157" s="42">
        <f>1267.83259333367*Deflactores!$V$5</f>
        <v>1833.3709001750262</v>
      </c>
      <c r="G157" s="42">
        <f>964.60817992651*Deflactores!$W$5</f>
        <v>1233.1047350339068</v>
      </c>
      <c r="H157" s="42">
        <f>1636.04083366758*Deflactores!$X$5</f>
        <v>1913.8261201352984</v>
      </c>
      <c r="I157" s="42">
        <f>4541.92028395739*Deflactores!$Y$5</f>
        <v>5050.4736127963333</v>
      </c>
      <c r="J157" s="42">
        <f>3763.50392846767*Deflactores!$Z$5</f>
        <v>3981.787156318795</v>
      </c>
      <c r="K157" s="42">
        <f>1697.7674018357*Deflactores!$AA$5</f>
        <v>1697.7674018357</v>
      </c>
    </row>
    <row r="158" spans="3:11" x14ac:dyDescent="0.2">
      <c r="C158" s="88" t="s">
        <v>141</v>
      </c>
      <c r="D158" s="50">
        <f>16.4553359166*Deflactores!$T$5</f>
        <v>25.537465226920485</v>
      </c>
      <c r="E158" s="50">
        <f>12.89562348719*Deflactores!$U$5</f>
        <v>19.695949821445826</v>
      </c>
      <c r="F158" s="50">
        <f>11.9064471589599*Deflactores!$V$5</f>
        <v>17.217520562640814</v>
      </c>
      <c r="G158" s="50">
        <f>16.07636319398*Deflactores!$W$5</f>
        <v>20.551183360410509</v>
      </c>
      <c r="H158" s="50">
        <f>23.34408193986*Deflactores!$X$5</f>
        <v>27.307700912898106</v>
      </c>
      <c r="I158" s="50">
        <f>17.14936840246*Deflactores!$Y$5</f>
        <v>19.069562470894301</v>
      </c>
      <c r="J158" s="50">
        <f>17.2380957990599*Deflactores!$Z$5</f>
        <v>18.237905355405374</v>
      </c>
      <c r="K158" s="50">
        <f>3.763030055*Deflactores!$AA$5</f>
        <v>3.7630300550000002</v>
      </c>
    </row>
    <row r="159" spans="3:11" x14ac:dyDescent="0.2">
      <c r="C159" s="87" t="s">
        <v>142</v>
      </c>
      <c r="D159" s="42">
        <f>132.20875046588*Deflactores!$T$5</f>
        <v>205.17820996355715</v>
      </c>
      <c r="E159" s="42">
        <f>306.27322875795*Deflactores!$U$5</f>
        <v>467.78212400982937</v>
      </c>
      <c r="F159" s="42">
        <f>290.51699137718*Deflactores!$V$5</f>
        <v>420.10703999715179</v>
      </c>
      <c r="G159" s="42">
        <f>202.81481433027*Deflactores!$W$5</f>
        <v>259.26786968023862</v>
      </c>
      <c r="H159" s="42">
        <f>293.54689345355*Deflactores!$X$5</f>
        <v>343.38856379065578</v>
      </c>
      <c r="I159" s="42">
        <f>259.38453810125*Deflactores!$Y$5</f>
        <v>288.42751156924925</v>
      </c>
      <c r="J159" s="42">
        <f>225.84207716947*Deflactores!$Z$5</f>
        <v>238.94091764529927</v>
      </c>
      <c r="K159" s="42">
        <f>71.08931084117*Deflactores!$AA$5</f>
        <v>71.089310841170004</v>
      </c>
    </row>
    <row r="160" spans="3:11" x14ac:dyDescent="0.2">
      <c r="C160" s="88" t="s">
        <v>143</v>
      </c>
      <c r="D160" s="50">
        <f>34.37731507223*Deflactores!$T$5</f>
        <v>53.351052369969281</v>
      </c>
      <c r="E160" s="50">
        <f>9.04283904153*Deflactores!$U$5</f>
        <v>13.811453489031441</v>
      </c>
      <c r="F160" s="50">
        <f>49.21251642515*Deflactores!$V$5</f>
        <v>71.164596976495318</v>
      </c>
      <c r="G160" s="50">
        <f>69.58122759627*Deflactores!$W$5</f>
        <v>88.94900852382294</v>
      </c>
      <c r="H160" s="50">
        <f>6.69529607481*Deflactores!$X$5</f>
        <v>7.8320982253761162</v>
      </c>
      <c r="I160" s="50">
        <f>9.3469045964*Deflactores!$Y$5</f>
        <v>10.393466215640395</v>
      </c>
      <c r="J160" s="50">
        <f>4.44491553261*Deflactores!$Z$5</f>
        <v>4.7027206335013796</v>
      </c>
      <c r="K160" s="50">
        <f>0.7308084886*Deflactores!$AA$5</f>
        <v>0.73080848860000003</v>
      </c>
    </row>
    <row r="161" spans="1:11" x14ac:dyDescent="0.2">
      <c r="C161" s="87" t="s">
        <v>144</v>
      </c>
      <c r="D161" s="42">
        <f>0*Deflactores!$T$5</f>
        <v>0</v>
      </c>
      <c r="E161" s="42">
        <f>0*Deflactores!$U$5</f>
        <v>0</v>
      </c>
      <c r="F161" s="42">
        <f>0*Deflactores!$V$5</f>
        <v>0</v>
      </c>
      <c r="G161" s="42">
        <f>0*Deflactores!$W$5</f>
        <v>0</v>
      </c>
      <c r="H161" s="42">
        <f>0*Deflactores!$X$5</f>
        <v>0</v>
      </c>
      <c r="I161" s="42">
        <f>0*Deflactores!$Y$5</f>
        <v>0</v>
      </c>
      <c r="J161" s="42">
        <f>0*Deflactores!$Z$5</f>
        <v>0</v>
      </c>
      <c r="K161" s="42">
        <f>0*Deflactores!$AA$5</f>
        <v>0</v>
      </c>
    </row>
    <row r="162" spans="1:11" x14ac:dyDescent="0.2">
      <c r="C162" s="88" t="s">
        <v>145</v>
      </c>
      <c r="D162" s="50">
        <f>91.47373231699*Deflactores!$T$5</f>
        <v>141.96047227849181</v>
      </c>
      <c r="E162" s="50">
        <f>73.58368807993*Deflactores!$U$5</f>
        <v>112.38701483017864</v>
      </c>
      <c r="F162" s="50">
        <f>74.94174735737*Deflactores!$V$5</f>
        <v>108.37078927904699</v>
      </c>
      <c r="G162" s="50">
        <f>99.19816010856*Deflactores!$W$5</f>
        <v>126.80974874776221</v>
      </c>
      <c r="H162" s="50">
        <f>127.391837396459*Deflactores!$X$5</f>
        <v>149.02184645038619</v>
      </c>
      <c r="I162" s="50">
        <f>118.10396811954*Deflactores!$Y$5</f>
        <v>131.32792679367773</v>
      </c>
      <c r="J162" s="50">
        <f>168.1990992228*Deflactores!$Z$5</f>
        <v>177.9546469777224</v>
      </c>
      <c r="K162" s="50">
        <f>34.77099661448*Deflactores!$AA$5</f>
        <v>34.770996614479998</v>
      </c>
    </row>
    <row r="163" spans="1:11" x14ac:dyDescent="0.2">
      <c r="C163" s="87" t="s">
        <v>146</v>
      </c>
      <c r="D163" s="42">
        <f>215.32947305473*Deflactores!$T$5</f>
        <v>334.17542846505899</v>
      </c>
      <c r="E163" s="42">
        <f>119.46329284322*Deflactores!$U$5</f>
        <v>182.46058623548285</v>
      </c>
      <c r="F163" s="42">
        <f>218.12428682316*Deflactores!$V$5</f>
        <v>315.42233744874665</v>
      </c>
      <c r="G163" s="42">
        <f>192.19723051931*Deflactores!$W$5</f>
        <v>245.69490488025986</v>
      </c>
      <c r="H163" s="42">
        <f>220.86208339093*Deflactores!$X$5</f>
        <v>258.36251482397114</v>
      </c>
      <c r="I163" s="42">
        <f>388.63239332129*Deflactores!$Y$5</f>
        <v>432.14709304340465</v>
      </c>
      <c r="J163" s="42">
        <f>541.55910581915*Deflactores!$Z$5</f>
        <v>572.96953395666071</v>
      </c>
      <c r="K163" s="42">
        <f>173.66456055216*Deflactores!$AA$5</f>
        <v>173.66456055216</v>
      </c>
    </row>
    <row r="164" spans="1:11" x14ac:dyDescent="0.2">
      <c r="C164" s="88" t="s">
        <v>162</v>
      </c>
      <c r="D164" s="50">
        <f>548.24235006656*Deflactores!$T$5</f>
        <v>850.8316099840988</v>
      </c>
      <c r="E164" s="50">
        <f>473.635573172769*Deflactores!$U$5</f>
        <v>723.40065543394257</v>
      </c>
      <c r="F164" s="50">
        <f>487.87872383837*Deflactores!$V$5</f>
        <v>705.50533233088242</v>
      </c>
      <c r="G164" s="50">
        <f>557.27973769128*Deflactores!$W$5</f>
        <v>712.3973210945868</v>
      </c>
      <c r="H164" s="50">
        <f>655.11827281907*Deflactores!$X$5</f>
        <v>766.35157050964483</v>
      </c>
      <c r="I164" s="50">
        <f>702.60511774495*Deflactores!$Y$5</f>
        <v>781.27496423048649</v>
      </c>
      <c r="J164" s="50">
        <f>762.3533202902*Deflactores!$Z$5</f>
        <v>806.56981286703171</v>
      </c>
      <c r="K164" s="50">
        <f>187.04799836013*Deflactores!$AA$5</f>
        <v>187.04799836013001</v>
      </c>
    </row>
    <row r="165" spans="1:11" x14ac:dyDescent="0.2">
      <c r="C165" s="87" t="s">
        <v>148</v>
      </c>
      <c r="D165" s="42">
        <f>0*Deflactores!$T$5</f>
        <v>0</v>
      </c>
      <c r="E165" s="42">
        <f>0*Deflactores!$U$5</f>
        <v>0</v>
      </c>
      <c r="F165" s="42">
        <f>0*Deflactores!$V$5</f>
        <v>0</v>
      </c>
      <c r="G165" s="42">
        <f>0*Deflactores!$W$5</f>
        <v>0</v>
      </c>
      <c r="H165" s="42">
        <f>0*Deflactores!$X$5</f>
        <v>0</v>
      </c>
      <c r="I165" s="42">
        <f>0*Deflactores!$Y$5</f>
        <v>0</v>
      </c>
      <c r="J165" s="42">
        <f>0*Deflactores!$Z$5</f>
        <v>0</v>
      </c>
      <c r="K165" s="42">
        <f>0*Deflactores!$AA$5</f>
        <v>0</v>
      </c>
    </row>
    <row r="166" spans="1:11" x14ac:dyDescent="0.2">
      <c r="C166" s="88" t="s">
        <v>149</v>
      </c>
      <c r="D166" s="50">
        <f>1398.74309314629*Deflactores!$T$5</f>
        <v>2170.7459078112288</v>
      </c>
      <c r="E166" s="50">
        <f>1446.65410521725*Deflactores!$U$5</f>
        <v>2209.526875040327</v>
      </c>
      <c r="F166" s="50">
        <f>1896.87109434472*Deflactores!$V$5</f>
        <v>2743.0027308341241</v>
      </c>
      <c r="G166" s="50">
        <f>1923.36549638492*Deflactores!$W$5</f>
        <v>2458.7300316837218</v>
      </c>
      <c r="H166" s="50">
        <f>2211.3509788327*Deflactores!$X$5</f>
        <v>2586.8188476625096</v>
      </c>
      <c r="I166" s="50">
        <f>2599.87672683293*Deflactores!$Y$5</f>
        <v>2890.9817840202759</v>
      </c>
      <c r="J166" s="50">
        <f>1502.19468582512*Deflactores!$Z$5</f>
        <v>1589.3219776029769</v>
      </c>
      <c r="K166" s="50">
        <f>527.97394387789*Deflactores!$AA$5</f>
        <v>527.97394387788995</v>
      </c>
    </row>
    <row r="167" spans="1:11" x14ac:dyDescent="0.2">
      <c r="C167" s="87" t="s">
        <v>163</v>
      </c>
      <c r="D167" s="42">
        <f>1446.879506759*Deflactores!$T$5</f>
        <v>2245.4500642631888</v>
      </c>
      <c r="E167" s="42">
        <f>1462.99955831022*Deflactores!$U$5</f>
        <v>2234.4918737662692</v>
      </c>
      <c r="F167" s="42">
        <f>1516.27015030322*Deflactores!$V$5</f>
        <v>2192.6282578525902</v>
      </c>
      <c r="G167" s="42">
        <f>1642.93222241793*Deflactores!$W$5</f>
        <v>2100.2387756629596</v>
      </c>
      <c r="H167" s="42">
        <f>2120.33202555315*Deflactores!$X$5</f>
        <v>2480.345679860653</v>
      </c>
      <c r="I167" s="42">
        <f>2072.51670108476*Deflactores!$Y$5</f>
        <v>2304.573893090917</v>
      </c>
      <c r="J167" s="42">
        <f>2679.1369046797*Deflactores!$Z$5</f>
        <v>2834.5268451511224</v>
      </c>
      <c r="K167" s="42">
        <f>449.38090407638*Deflactores!$AA$5</f>
        <v>449.38090407637998</v>
      </c>
    </row>
    <row r="168" spans="1:11" x14ac:dyDescent="0.2">
      <c r="C168" s="88" t="s">
        <v>150</v>
      </c>
      <c r="D168" s="50">
        <f>2243.91091664753*Deflactores!$T$5</f>
        <v>3482.3839085767918</v>
      </c>
      <c r="E168" s="50">
        <f>2072.55515565501*Deflactores!$U$5</f>
        <v>3165.4880734157459</v>
      </c>
      <c r="F168" s="50">
        <f>2290.43020684739*Deflactores!$V$5</f>
        <v>3312.1155838677173</v>
      </c>
      <c r="G168" s="50">
        <f>1928.22927244582*Deflactores!$W$5</f>
        <v>2464.9476290622733</v>
      </c>
      <c r="H168" s="50">
        <f>1913.07986061319*Deflactores!$X$5</f>
        <v>2237.9039274579886</v>
      </c>
      <c r="I168" s="50">
        <f>2386.91321570537*Deflactores!$Y$5</f>
        <v>2654.1730057514828</v>
      </c>
      <c r="J168" s="50">
        <f>3061.48649292441*Deflactores!$Z$5</f>
        <v>3239.052709514026</v>
      </c>
      <c r="K168" s="50">
        <f>873.543253142539*Deflactores!$AA$5</f>
        <v>873.54325314253902</v>
      </c>
    </row>
    <row r="169" spans="1:11" x14ac:dyDescent="0.2">
      <c r="C169" s="87" t="s">
        <v>151</v>
      </c>
      <c r="D169" s="42">
        <f>0*Deflactores!$T$5</f>
        <v>0</v>
      </c>
      <c r="E169" s="42">
        <f>0*Deflactores!$U$5</f>
        <v>0</v>
      </c>
      <c r="F169" s="42">
        <f>0*Deflactores!$V$5</f>
        <v>0</v>
      </c>
      <c r="G169" s="42">
        <f>0*Deflactores!$W$5</f>
        <v>0</v>
      </c>
      <c r="H169" s="42">
        <f>0*Deflactores!$X$5</f>
        <v>0</v>
      </c>
      <c r="I169" s="42">
        <f>0*Deflactores!$Y$5</f>
        <v>0</v>
      </c>
      <c r="J169" s="42">
        <f>0*Deflactores!$Z$5</f>
        <v>0</v>
      </c>
      <c r="K169" s="42">
        <f>0*Deflactores!$AA$5</f>
        <v>0</v>
      </c>
    </row>
    <row r="170" spans="1:11" x14ac:dyDescent="0.2">
      <c r="C170" s="79" t="s">
        <v>152</v>
      </c>
      <c r="D170" s="44">
        <f t="shared" ref="D170:K170" si="8">SUM(D139:D169)</f>
        <v>20101.117133618143</v>
      </c>
      <c r="E170" s="44">
        <f t="shared" si="8"/>
        <v>19541.815399107898</v>
      </c>
      <c r="F170" s="44">
        <f t="shared" si="8"/>
        <v>20574.33844325053</v>
      </c>
      <c r="G170" s="44">
        <f t="shared" si="8"/>
        <v>19198.027005264452</v>
      </c>
      <c r="H170" s="44">
        <f t="shared" si="8"/>
        <v>20125.530506855375</v>
      </c>
      <c r="I170" s="44">
        <f t="shared" si="8"/>
        <v>24635.405666464641</v>
      </c>
      <c r="J170" s="44">
        <f t="shared" si="8"/>
        <v>23536.360773782464</v>
      </c>
      <c r="K170" s="44">
        <f t="shared" si="8"/>
        <v>6333.6702921694177</v>
      </c>
    </row>
    <row r="171" spans="1:11" s="31" customFormat="1" x14ac:dyDescent="0.2">
      <c r="A171" s="5"/>
      <c r="B171" s="5"/>
      <c r="C171" s="72" t="str">
        <f>+'C1 Aprop Resumen 2000-2026'!B20</f>
        <v>* Información con corte a 30 de abril</v>
      </c>
      <c r="D171" s="123">
        <f>+D170-'C7 Ejec. Prop 19-26'!D98</f>
        <v>0</v>
      </c>
      <c r="E171" s="123">
        <f>+E170-'C7 Ejec. Prop 19-26'!E98</f>
        <v>-3.2741809263825417E-11</v>
      </c>
      <c r="F171" s="123">
        <f>+F170-'C7 Ejec. Prop 19-26'!F98</f>
        <v>0</v>
      </c>
      <c r="G171" s="123">
        <f>+G170-'C7 Ejec. Prop 19-26'!G98</f>
        <v>0</v>
      </c>
      <c r="H171" s="123">
        <f>+H170-'C7 Ejec. Prop 19-26'!H98</f>
        <v>0</v>
      </c>
      <c r="I171" s="123">
        <f>+I170-'C7 Ejec. Prop 19-26'!I98</f>
        <v>4.3655745685100555E-11</v>
      </c>
      <c r="J171" s="123">
        <f>+J170-'C7 Ejec. Prop 19-26'!J98</f>
        <v>5.8207660913467407E-11</v>
      </c>
      <c r="K171" s="123">
        <f>+K170-'C7 Ejec. Prop 19-26'!K98</f>
        <v>9.0949470177292824E-12</v>
      </c>
    </row>
    <row r="172" spans="1:11" x14ac:dyDescent="0.2">
      <c r="C172" s="1" t="s">
        <v>52</v>
      </c>
      <c r="D172" s="11"/>
      <c r="E172" s="11"/>
      <c r="F172" s="11"/>
      <c r="G172" s="11"/>
      <c r="H172" s="11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customHeight="1" x14ac:dyDescent="0.2">
      <c r="D176" s="155" t="s">
        <v>157</v>
      </c>
      <c r="E176" s="178"/>
      <c r="F176" s="178"/>
      <c r="G176" s="178"/>
      <c r="H176" s="178"/>
      <c r="I176" s="178"/>
      <c r="J176" s="178"/>
      <c r="K176" s="178"/>
    </row>
    <row r="177" spans="3:11" x14ac:dyDescent="0.2">
      <c r="D177" s="28"/>
      <c r="E177" s="28"/>
      <c r="F177" s="28"/>
      <c r="G177" s="28"/>
      <c r="H177" s="28"/>
    </row>
    <row r="178" spans="3:11" ht="0.75" customHeight="1" x14ac:dyDescent="0.2">
      <c r="D178" s="29"/>
      <c r="E178" s="29"/>
      <c r="F178" s="29"/>
      <c r="G178" s="29"/>
      <c r="H178" s="29"/>
    </row>
    <row r="179" spans="3:11" x14ac:dyDescent="0.2">
      <c r="C179" s="176" t="s">
        <v>120</v>
      </c>
      <c r="D179" s="153">
        <v>2019</v>
      </c>
      <c r="E179" s="153">
        <v>2020</v>
      </c>
      <c r="F179" s="153">
        <v>2021</v>
      </c>
      <c r="G179" s="153">
        <v>2022</v>
      </c>
      <c r="H179" s="153">
        <v>2023</v>
      </c>
      <c r="I179" s="153">
        <v>2024</v>
      </c>
      <c r="J179" s="153">
        <v>2025</v>
      </c>
      <c r="K179" s="153" t="s">
        <v>10</v>
      </c>
    </row>
    <row r="180" spans="3:11" ht="12" customHeight="1" thickBot="1" x14ac:dyDescent="0.25">
      <c r="C180" s="160"/>
      <c r="D180" s="154"/>
      <c r="E180" s="154"/>
      <c r="F180" s="154"/>
      <c r="G180" s="154"/>
      <c r="H180" s="154"/>
      <c r="I180" s="154"/>
      <c r="J180" s="154"/>
      <c r="K180" s="154"/>
    </row>
    <row r="181" spans="3:11" x14ac:dyDescent="0.2">
      <c r="C181" s="87" t="s">
        <v>123</v>
      </c>
      <c r="D181" s="47">
        <f t="shared" ref="D181:D211" si="9">+IFERROR(IF(D139&gt;0,+((D139/D14)*100),""),"0")</f>
        <v>71.623279004580041</v>
      </c>
      <c r="E181" s="47">
        <f t="shared" ref="E181:K190" si="10">+IFERROR(IF(E139&gt;0,+((E139/E14)*100)," "),"0")</f>
        <v>88.948786844435929</v>
      </c>
      <c r="F181" s="47">
        <f t="shared" si="10"/>
        <v>94.903818683107247</v>
      </c>
      <c r="G181" s="47">
        <f t="shared" si="10"/>
        <v>88.701318623753494</v>
      </c>
      <c r="H181" s="47">
        <f t="shared" si="10"/>
        <v>73.762851635186593</v>
      </c>
      <c r="I181" s="47">
        <f t="shared" si="10"/>
        <v>78.826566718366436</v>
      </c>
      <c r="J181" s="47">
        <f t="shared" si="10"/>
        <v>83.131979920218228</v>
      </c>
      <c r="K181" s="47">
        <f t="shared" si="10"/>
        <v>14.913010907193922</v>
      </c>
    </row>
    <row r="182" spans="3:11" x14ac:dyDescent="0.2">
      <c r="C182" s="88" t="s">
        <v>124</v>
      </c>
      <c r="D182" s="116">
        <f t="shared" si="9"/>
        <v>94.334344926980151</v>
      </c>
      <c r="E182" s="116">
        <f t="shared" si="10"/>
        <v>91.330009037862013</v>
      </c>
      <c r="F182" s="116">
        <f t="shared" si="10"/>
        <v>84.732825067387523</v>
      </c>
      <c r="G182" s="116">
        <f t="shared" si="10"/>
        <v>84.669599989604023</v>
      </c>
      <c r="H182" s="116">
        <f t="shared" si="10"/>
        <v>81.20420890692246</v>
      </c>
      <c r="I182" s="116">
        <f t="shared" si="10"/>
        <v>80.762161985705575</v>
      </c>
      <c r="J182" s="116">
        <f t="shared" si="10"/>
        <v>91.461226372012774</v>
      </c>
      <c r="K182" s="116">
        <f t="shared" si="10"/>
        <v>44.070525652178205</v>
      </c>
    </row>
    <row r="183" spans="3:11" x14ac:dyDescent="0.2">
      <c r="C183" s="87" t="s">
        <v>125</v>
      </c>
      <c r="D183" s="47" t="str">
        <f t="shared" si="9"/>
        <v/>
      </c>
      <c r="E183" s="47" t="str">
        <f t="shared" si="10"/>
        <v xml:space="preserve"> </v>
      </c>
      <c r="F183" s="47" t="str">
        <f t="shared" si="10"/>
        <v xml:space="preserve"> </v>
      </c>
      <c r="G183" s="47" t="str">
        <f t="shared" si="10"/>
        <v xml:space="preserve"> </v>
      </c>
      <c r="H183" s="47" t="str">
        <f t="shared" si="10"/>
        <v xml:space="preserve"> </v>
      </c>
      <c r="I183" s="47" t="str">
        <f t="shared" si="10"/>
        <v xml:space="preserve"> </v>
      </c>
      <c r="J183" s="47" t="str">
        <f t="shared" si="10"/>
        <v xml:space="preserve"> </v>
      </c>
      <c r="K183" s="47" t="str">
        <f t="shared" si="10"/>
        <v xml:space="preserve"> </v>
      </c>
    </row>
    <row r="184" spans="3:11" x14ac:dyDescent="0.2">
      <c r="C184" s="88" t="s">
        <v>126</v>
      </c>
      <c r="D184" s="116">
        <f t="shared" si="9"/>
        <v>94.966124051802552</v>
      </c>
      <c r="E184" s="116">
        <f t="shared" si="10"/>
        <v>90.903978343851705</v>
      </c>
      <c r="F184" s="116">
        <f t="shared" si="10"/>
        <v>87.265226864075132</v>
      </c>
      <c r="G184" s="116">
        <f t="shared" si="10"/>
        <v>90.722619834234436</v>
      </c>
      <c r="H184" s="116">
        <f t="shared" si="10"/>
        <v>88.835453144095951</v>
      </c>
      <c r="I184" s="116">
        <f t="shared" si="10"/>
        <v>88.445695312859229</v>
      </c>
      <c r="J184" s="116">
        <f t="shared" si="10"/>
        <v>88.482279968909623</v>
      </c>
      <c r="K184" s="116">
        <f t="shared" si="10"/>
        <v>17.964955210468585</v>
      </c>
    </row>
    <row r="185" spans="3:11" x14ac:dyDescent="0.2">
      <c r="C185" s="87" t="s">
        <v>127</v>
      </c>
      <c r="D185" s="47" t="str">
        <f t="shared" si="9"/>
        <v/>
      </c>
      <c r="E185" s="47" t="str">
        <f t="shared" si="10"/>
        <v xml:space="preserve"> </v>
      </c>
      <c r="F185" s="47" t="str">
        <f t="shared" si="10"/>
        <v xml:space="preserve"> </v>
      </c>
      <c r="G185" s="47" t="str">
        <f t="shared" si="10"/>
        <v xml:space="preserve"> </v>
      </c>
      <c r="H185" s="47" t="str">
        <f t="shared" si="10"/>
        <v xml:space="preserve"> </v>
      </c>
      <c r="I185" s="47" t="str">
        <f t="shared" si="10"/>
        <v xml:space="preserve"> </v>
      </c>
      <c r="J185" s="47" t="str">
        <f t="shared" si="10"/>
        <v xml:space="preserve"> </v>
      </c>
      <c r="K185" s="47" t="str">
        <f t="shared" si="10"/>
        <v xml:space="preserve"> </v>
      </c>
    </row>
    <row r="186" spans="3:11" x14ac:dyDescent="0.2">
      <c r="C186" s="88" t="s">
        <v>128</v>
      </c>
      <c r="D186" s="116">
        <f t="shared" si="9"/>
        <v>92.141774844339466</v>
      </c>
      <c r="E186" s="116">
        <f t="shared" si="10"/>
        <v>90.645734425950593</v>
      </c>
      <c r="F186" s="116">
        <f t="shared" si="10"/>
        <v>61.955396309385883</v>
      </c>
      <c r="G186" s="116">
        <f t="shared" si="10"/>
        <v>55.548724624006887</v>
      </c>
      <c r="H186" s="116">
        <f t="shared" si="10"/>
        <v>73.397239814052469</v>
      </c>
      <c r="I186" s="116">
        <f t="shared" si="10"/>
        <v>55.362626013660545</v>
      </c>
      <c r="J186" s="116">
        <f t="shared" si="10"/>
        <v>88.818952210015027</v>
      </c>
      <c r="K186" s="116">
        <f t="shared" si="10"/>
        <v>8.4677774112840591</v>
      </c>
    </row>
    <row r="187" spans="3:11" x14ac:dyDescent="0.2">
      <c r="C187" s="87" t="s">
        <v>129</v>
      </c>
      <c r="D187" s="47">
        <f t="shared" si="9"/>
        <v>92.080529538048197</v>
      </c>
      <c r="E187" s="47">
        <f t="shared" si="10"/>
        <v>95.46775408421766</v>
      </c>
      <c r="F187" s="47">
        <f t="shared" si="10"/>
        <v>74.382031376474714</v>
      </c>
      <c r="G187" s="47">
        <f t="shared" si="10"/>
        <v>88.812845523740307</v>
      </c>
      <c r="H187" s="47">
        <f t="shared" si="10"/>
        <v>84.940883370295879</v>
      </c>
      <c r="I187" s="47">
        <f t="shared" si="10"/>
        <v>85.407550274173531</v>
      </c>
      <c r="J187" s="47">
        <f t="shared" si="10"/>
        <v>93.998966897719072</v>
      </c>
      <c r="K187" s="47">
        <f t="shared" si="10"/>
        <v>18.812190687661833</v>
      </c>
    </row>
    <row r="188" spans="3:11" x14ac:dyDescent="0.2">
      <c r="C188" s="88" t="s">
        <v>130</v>
      </c>
      <c r="D188" s="116" t="str">
        <f t="shared" si="9"/>
        <v/>
      </c>
      <c r="E188" s="116" t="str">
        <f t="shared" si="10"/>
        <v xml:space="preserve"> </v>
      </c>
      <c r="F188" s="116" t="str">
        <f t="shared" si="10"/>
        <v xml:space="preserve"> </v>
      </c>
      <c r="G188" s="116" t="str">
        <f t="shared" si="10"/>
        <v xml:space="preserve"> </v>
      </c>
      <c r="H188" s="116" t="str">
        <f t="shared" si="10"/>
        <v xml:space="preserve"> </v>
      </c>
      <c r="I188" s="116" t="str">
        <f t="shared" si="10"/>
        <v xml:space="preserve"> </v>
      </c>
      <c r="J188" s="116" t="str">
        <f t="shared" si="10"/>
        <v xml:space="preserve"> </v>
      </c>
      <c r="K188" s="116" t="str">
        <f t="shared" si="10"/>
        <v xml:space="preserve"> </v>
      </c>
    </row>
    <row r="189" spans="3:11" x14ac:dyDescent="0.2">
      <c r="C189" s="87" t="s">
        <v>131</v>
      </c>
      <c r="D189" s="47">
        <f t="shared" si="9"/>
        <v>83.46630387455248</v>
      </c>
      <c r="E189" s="47">
        <f t="shared" si="10"/>
        <v>65.683751930347128</v>
      </c>
      <c r="F189" s="47">
        <f t="shared" si="10"/>
        <v>66.836983767318415</v>
      </c>
      <c r="G189" s="47">
        <f t="shared" si="10"/>
        <v>71.587060493951284</v>
      </c>
      <c r="H189" s="47">
        <f t="shared" si="10"/>
        <v>76.083576271480041</v>
      </c>
      <c r="I189" s="47">
        <f t="shared" si="10"/>
        <v>76.887312017802927</v>
      </c>
      <c r="J189" s="47">
        <f t="shared" si="10"/>
        <v>72.033015984416693</v>
      </c>
      <c r="K189" s="47">
        <f t="shared" si="10"/>
        <v>13.634224962024625</v>
      </c>
    </row>
    <row r="190" spans="3:11" x14ac:dyDescent="0.2">
      <c r="C190" s="88" t="s">
        <v>132</v>
      </c>
      <c r="D190" s="116">
        <f t="shared" si="9"/>
        <v>85.050742965668917</v>
      </c>
      <c r="E190" s="116">
        <f t="shared" si="10"/>
        <v>67.309730756216652</v>
      </c>
      <c r="F190" s="116">
        <f t="shared" si="10"/>
        <v>55.20305495074944</v>
      </c>
      <c r="G190" s="116">
        <f t="shared" si="10"/>
        <v>65.035178549979761</v>
      </c>
      <c r="H190" s="116">
        <f t="shared" si="10"/>
        <v>68.775195689736492</v>
      </c>
      <c r="I190" s="116">
        <f t="shared" si="10"/>
        <v>83.968715431824549</v>
      </c>
      <c r="J190" s="116">
        <f t="shared" si="10"/>
        <v>83.337039301668185</v>
      </c>
      <c r="K190" s="116">
        <f t="shared" si="10"/>
        <v>15.112000068888628</v>
      </c>
    </row>
    <row r="191" spans="3:11" x14ac:dyDescent="0.2">
      <c r="C191" s="87" t="s">
        <v>133</v>
      </c>
      <c r="D191" s="47">
        <f t="shared" si="9"/>
        <v>83.825457908891536</v>
      </c>
      <c r="E191" s="47">
        <f t="shared" ref="E191:K200" si="11">+IFERROR(IF(E149&gt;0,+((E149/E24)*100)," "),"0")</f>
        <v>75.376781876334491</v>
      </c>
      <c r="F191" s="47">
        <f t="shared" si="11"/>
        <v>81.606173079795397</v>
      </c>
      <c r="G191" s="47">
        <f t="shared" si="11"/>
        <v>75.345930751822166</v>
      </c>
      <c r="H191" s="47">
        <f t="shared" si="11"/>
        <v>79.448678104943198</v>
      </c>
      <c r="I191" s="47">
        <f t="shared" si="11"/>
        <v>87.454453564967352</v>
      </c>
      <c r="J191" s="47">
        <f t="shared" si="11"/>
        <v>90.041905711646336</v>
      </c>
      <c r="K191" s="47">
        <f t="shared" si="11"/>
        <v>16.79469544240051</v>
      </c>
    </row>
    <row r="192" spans="3:11" x14ac:dyDescent="0.2">
      <c r="C192" s="88" t="s">
        <v>134</v>
      </c>
      <c r="D192" s="116">
        <f t="shared" si="9"/>
        <v>88.963246675566083</v>
      </c>
      <c r="E192" s="116">
        <f t="shared" si="11"/>
        <v>84.388442389497527</v>
      </c>
      <c r="F192" s="116">
        <f t="shared" si="11"/>
        <v>77.115277043842781</v>
      </c>
      <c r="G192" s="116">
        <f t="shared" si="11"/>
        <v>88.95436660490607</v>
      </c>
      <c r="H192" s="116">
        <f t="shared" si="11"/>
        <v>85.932370593976032</v>
      </c>
      <c r="I192" s="116">
        <f t="shared" si="11"/>
        <v>76.663185097357513</v>
      </c>
      <c r="J192" s="116">
        <f t="shared" si="11"/>
        <v>88.532095040488457</v>
      </c>
      <c r="K192" s="116">
        <f t="shared" si="11"/>
        <v>16.826291507401383</v>
      </c>
    </row>
    <row r="193" spans="3:11" x14ac:dyDescent="0.2">
      <c r="C193" s="87" t="s">
        <v>135</v>
      </c>
      <c r="D193" s="47" t="str">
        <f t="shared" si="9"/>
        <v/>
      </c>
      <c r="E193" s="47" t="str">
        <f t="shared" si="11"/>
        <v xml:space="preserve"> </v>
      </c>
      <c r="F193" s="47" t="str">
        <f t="shared" si="11"/>
        <v xml:space="preserve"> </v>
      </c>
      <c r="G193" s="47" t="str">
        <f t="shared" si="11"/>
        <v xml:space="preserve"> </v>
      </c>
      <c r="H193" s="47" t="str">
        <f t="shared" si="11"/>
        <v xml:space="preserve"> </v>
      </c>
      <c r="I193" s="47">
        <f t="shared" si="11"/>
        <v>87.675894697187744</v>
      </c>
      <c r="J193" s="47">
        <f t="shared" si="11"/>
        <v>95.530606307142236</v>
      </c>
      <c r="K193" s="47">
        <f t="shared" si="11"/>
        <v>22.772539151590127</v>
      </c>
    </row>
    <row r="194" spans="3:11" x14ac:dyDescent="0.2">
      <c r="C194" s="88" t="s">
        <v>136</v>
      </c>
      <c r="D194" s="116">
        <f t="shared" si="9"/>
        <v>93.035994914301838</v>
      </c>
      <c r="E194" s="116">
        <f t="shared" si="11"/>
        <v>92.58810747113094</v>
      </c>
      <c r="F194" s="116">
        <f t="shared" si="11"/>
        <v>84.978297443306033</v>
      </c>
      <c r="G194" s="116">
        <f t="shared" si="11"/>
        <v>92.289905132882936</v>
      </c>
      <c r="H194" s="116">
        <f t="shared" si="11"/>
        <v>90.05962027877581</v>
      </c>
      <c r="I194" s="116">
        <f t="shared" si="11"/>
        <v>1.3009201506773242</v>
      </c>
      <c r="J194" s="116">
        <f t="shared" si="11"/>
        <v>86.041566397993051</v>
      </c>
      <c r="K194" s="116" t="str">
        <f t="shared" si="11"/>
        <v xml:space="preserve"> </v>
      </c>
    </row>
    <row r="195" spans="3:11" x14ac:dyDescent="0.2">
      <c r="C195" s="87" t="s">
        <v>137</v>
      </c>
      <c r="D195" s="47">
        <f t="shared" si="9"/>
        <v>61.565474023021871</v>
      </c>
      <c r="E195" s="47">
        <f t="shared" si="11"/>
        <v>72.974030608825331</v>
      </c>
      <c r="F195" s="47">
        <f t="shared" si="11"/>
        <v>53.304583753540783</v>
      </c>
      <c r="G195" s="47">
        <f t="shared" si="11"/>
        <v>32.141291791237435</v>
      </c>
      <c r="H195" s="47">
        <f t="shared" si="11"/>
        <v>22.270805580213544</v>
      </c>
      <c r="I195" s="47">
        <f t="shared" si="11"/>
        <v>66.008994918351192</v>
      </c>
      <c r="J195" s="47">
        <f t="shared" si="11"/>
        <v>70.553171797436249</v>
      </c>
      <c r="K195" s="47">
        <f t="shared" si="11"/>
        <v>19.630711132947241</v>
      </c>
    </row>
    <row r="196" spans="3:11" x14ac:dyDescent="0.2">
      <c r="C196" s="88" t="s">
        <v>138</v>
      </c>
      <c r="D196" s="116" t="str">
        <f t="shared" si="9"/>
        <v/>
      </c>
      <c r="E196" s="116" t="str">
        <f t="shared" si="11"/>
        <v xml:space="preserve"> </v>
      </c>
      <c r="F196" s="116" t="str">
        <f t="shared" si="11"/>
        <v xml:space="preserve"> </v>
      </c>
      <c r="G196" s="116" t="str">
        <f t="shared" si="11"/>
        <v xml:space="preserve"> </v>
      </c>
      <c r="H196" s="116" t="str">
        <f t="shared" si="11"/>
        <v xml:space="preserve"> </v>
      </c>
      <c r="I196" s="116" t="str">
        <f t="shared" si="11"/>
        <v xml:space="preserve"> </v>
      </c>
      <c r="J196" s="116" t="str">
        <f t="shared" si="11"/>
        <v xml:space="preserve"> </v>
      </c>
      <c r="K196" s="116" t="str">
        <f t="shared" si="11"/>
        <v xml:space="preserve"> </v>
      </c>
    </row>
    <row r="197" spans="3:11" x14ac:dyDescent="0.2">
      <c r="C197" s="87" t="s">
        <v>160</v>
      </c>
      <c r="D197" s="47">
        <f t="shared" si="9"/>
        <v>79.049369598101933</v>
      </c>
      <c r="E197" s="47">
        <f t="shared" si="11"/>
        <v>46.544666557463714</v>
      </c>
      <c r="F197" s="47">
        <f t="shared" si="11"/>
        <v>81.201338003968417</v>
      </c>
      <c r="G197" s="47">
        <f t="shared" si="11"/>
        <v>66.924871578796342</v>
      </c>
      <c r="H197" s="47">
        <f t="shared" si="11"/>
        <v>80.724658285339757</v>
      </c>
      <c r="I197" s="47">
        <f t="shared" si="11"/>
        <v>79.908212582377203</v>
      </c>
      <c r="J197" s="47">
        <f t="shared" si="11"/>
        <v>73.925377635303136</v>
      </c>
      <c r="K197" s="47">
        <f t="shared" si="11"/>
        <v>21.135717276526499</v>
      </c>
    </row>
    <row r="198" spans="3:11" x14ac:dyDescent="0.2">
      <c r="C198" s="88" t="s">
        <v>161</v>
      </c>
      <c r="D198" s="116">
        <f t="shared" si="9"/>
        <v>89.098092540804984</v>
      </c>
      <c r="E198" s="116">
        <f t="shared" si="11"/>
        <v>86.614197019853009</v>
      </c>
      <c r="F198" s="116">
        <f t="shared" si="11"/>
        <v>77.290199807455608</v>
      </c>
      <c r="G198" s="116">
        <f t="shared" si="11"/>
        <v>73.583931550843886</v>
      </c>
      <c r="H198" s="116">
        <f t="shared" si="11"/>
        <v>54.533285778077733</v>
      </c>
      <c r="I198" s="116">
        <f t="shared" si="11"/>
        <v>71.705286276468954</v>
      </c>
      <c r="J198" s="116">
        <f t="shared" si="11"/>
        <v>83.308859858308153</v>
      </c>
      <c r="K198" s="116">
        <f t="shared" si="11"/>
        <v>14.59930655983813</v>
      </c>
    </row>
    <row r="199" spans="3:11" x14ac:dyDescent="0.2">
      <c r="C199" s="87" t="s">
        <v>140</v>
      </c>
      <c r="D199" s="47">
        <f t="shared" si="9"/>
        <v>86.476187223922452</v>
      </c>
      <c r="E199" s="47">
        <f t="shared" si="11"/>
        <v>90.255539751842463</v>
      </c>
      <c r="F199" s="47">
        <f t="shared" si="11"/>
        <v>82.052997734505794</v>
      </c>
      <c r="G199" s="47">
        <f t="shared" si="11"/>
        <v>80.494362138508237</v>
      </c>
      <c r="H199" s="47">
        <f t="shared" si="11"/>
        <v>81.130206749422697</v>
      </c>
      <c r="I199" s="47">
        <f t="shared" si="11"/>
        <v>95.742011352116705</v>
      </c>
      <c r="J199" s="47">
        <f t="shared" si="11"/>
        <v>94.951451364829623</v>
      </c>
      <c r="K199" s="47">
        <f t="shared" si="11"/>
        <v>49.628033996504584</v>
      </c>
    </row>
    <row r="200" spans="3:11" x14ac:dyDescent="0.2">
      <c r="C200" s="88" t="s">
        <v>141</v>
      </c>
      <c r="D200" s="116">
        <f t="shared" si="9"/>
        <v>79.390823161094232</v>
      </c>
      <c r="E200" s="116">
        <f t="shared" si="11"/>
        <v>60.409535237691479</v>
      </c>
      <c r="F200" s="116">
        <f t="shared" si="11"/>
        <v>56.878484770122299</v>
      </c>
      <c r="G200" s="116">
        <f t="shared" si="11"/>
        <v>52.575072862152595</v>
      </c>
      <c r="H200" s="116">
        <f t="shared" si="11"/>
        <v>46.861551620716654</v>
      </c>
      <c r="I200" s="116">
        <f t="shared" si="11"/>
        <v>96.616160013859158</v>
      </c>
      <c r="J200" s="116">
        <f t="shared" si="11"/>
        <v>88.071609157129387</v>
      </c>
      <c r="K200" s="116">
        <f t="shared" si="11"/>
        <v>16.892787640571974</v>
      </c>
    </row>
    <row r="201" spans="3:11" x14ac:dyDescent="0.2">
      <c r="C201" s="87" t="s">
        <v>142</v>
      </c>
      <c r="D201" s="47">
        <f t="shared" si="9"/>
        <v>93.448784289647364</v>
      </c>
      <c r="E201" s="47">
        <f t="shared" ref="E201:K210" si="12">+IFERROR(IF(E159&gt;0,+((E159/E34)*100)," "),"0")</f>
        <v>89.155297328457848</v>
      </c>
      <c r="F201" s="47">
        <f t="shared" si="12"/>
        <v>40.031188138507936</v>
      </c>
      <c r="G201" s="47">
        <f t="shared" si="12"/>
        <v>66.84276226738703</v>
      </c>
      <c r="H201" s="47">
        <f t="shared" si="12"/>
        <v>89.246440579437632</v>
      </c>
      <c r="I201" s="47">
        <f t="shared" si="12"/>
        <v>87.222774825987798</v>
      </c>
      <c r="J201" s="47">
        <f t="shared" si="12"/>
        <v>87.14867308668542</v>
      </c>
      <c r="K201" s="47">
        <f t="shared" si="12"/>
        <v>19.968239762958245</v>
      </c>
    </row>
    <row r="202" spans="3:11" x14ac:dyDescent="0.2">
      <c r="C202" s="88" t="s">
        <v>143</v>
      </c>
      <c r="D202" s="116">
        <f t="shared" si="9"/>
        <v>52.544152794046241</v>
      </c>
      <c r="E202" s="116">
        <f t="shared" si="12"/>
        <v>24.32455681274983</v>
      </c>
      <c r="F202" s="116">
        <f t="shared" si="12"/>
        <v>35.086537670138668</v>
      </c>
      <c r="G202" s="116">
        <f t="shared" si="12"/>
        <v>53.551141238635893</v>
      </c>
      <c r="H202" s="116">
        <f t="shared" si="12"/>
        <v>7.8253599561365812</v>
      </c>
      <c r="I202" s="116">
        <f t="shared" si="12"/>
        <v>16.651080893497301</v>
      </c>
      <c r="J202" s="116">
        <f t="shared" si="12"/>
        <v>49.498392997229644</v>
      </c>
      <c r="K202" s="116">
        <f t="shared" si="12"/>
        <v>1.353286476971207</v>
      </c>
    </row>
    <row r="203" spans="3:11" x14ac:dyDescent="0.2">
      <c r="C203" s="87" t="s">
        <v>144</v>
      </c>
      <c r="D203" s="47" t="str">
        <f t="shared" si="9"/>
        <v/>
      </c>
      <c r="E203" s="47" t="str">
        <f t="shared" si="12"/>
        <v xml:space="preserve"> </v>
      </c>
      <c r="F203" s="47" t="str">
        <f t="shared" si="12"/>
        <v xml:space="preserve"> </v>
      </c>
      <c r="G203" s="47" t="str">
        <f t="shared" si="12"/>
        <v xml:space="preserve"> </v>
      </c>
      <c r="H203" s="47" t="str">
        <f t="shared" si="12"/>
        <v xml:space="preserve"> </v>
      </c>
      <c r="I203" s="47" t="str">
        <f t="shared" si="12"/>
        <v xml:space="preserve"> </v>
      </c>
      <c r="J203" s="47" t="str">
        <f t="shared" si="12"/>
        <v xml:space="preserve"> </v>
      </c>
      <c r="K203" s="47" t="str">
        <f t="shared" si="12"/>
        <v xml:space="preserve"> </v>
      </c>
    </row>
    <row r="204" spans="3:11" x14ac:dyDescent="0.2">
      <c r="C204" s="88" t="s">
        <v>145</v>
      </c>
      <c r="D204" s="116">
        <f t="shared" si="9"/>
        <v>94.0558430583676</v>
      </c>
      <c r="E204" s="116">
        <f t="shared" si="12"/>
        <v>94.48439026420408</v>
      </c>
      <c r="F204" s="116">
        <f t="shared" si="12"/>
        <v>69.109525399390066</v>
      </c>
      <c r="G204" s="116">
        <f t="shared" si="12"/>
        <v>72.494147714224312</v>
      </c>
      <c r="H204" s="116">
        <f t="shared" si="12"/>
        <v>73.268320856207112</v>
      </c>
      <c r="I204" s="116">
        <f t="shared" si="12"/>
        <v>53.776348813812106</v>
      </c>
      <c r="J204" s="116">
        <f t="shared" si="12"/>
        <v>66.944969684160611</v>
      </c>
      <c r="K204" s="116">
        <f t="shared" si="12"/>
        <v>13.408989911481283</v>
      </c>
    </row>
    <row r="205" spans="3:11" x14ac:dyDescent="0.2">
      <c r="C205" s="87" t="s">
        <v>146</v>
      </c>
      <c r="D205" s="47">
        <f t="shared" si="9"/>
        <v>96.56636428059609</v>
      </c>
      <c r="E205" s="47">
        <f t="shared" si="12"/>
        <v>63.000543185309041</v>
      </c>
      <c r="F205" s="47">
        <f t="shared" si="12"/>
        <v>95.962210600224608</v>
      </c>
      <c r="G205" s="47">
        <f t="shared" si="12"/>
        <v>94.467631600079642</v>
      </c>
      <c r="H205" s="47">
        <f t="shared" si="12"/>
        <v>90.384696905010685</v>
      </c>
      <c r="I205" s="47">
        <f t="shared" si="12"/>
        <v>92.39504774371197</v>
      </c>
      <c r="J205" s="47">
        <f t="shared" si="12"/>
        <v>89.62612891027608</v>
      </c>
      <c r="K205" s="47">
        <f t="shared" si="12"/>
        <v>26.672324359518594</v>
      </c>
    </row>
    <row r="206" spans="3:11" x14ac:dyDescent="0.2">
      <c r="C206" s="88" t="s">
        <v>162</v>
      </c>
      <c r="D206" s="116">
        <f t="shared" si="9"/>
        <v>88.604159938784619</v>
      </c>
      <c r="E206" s="116">
        <f t="shared" si="12"/>
        <v>87.62437659853039</v>
      </c>
      <c r="F206" s="116">
        <f t="shared" si="12"/>
        <v>83.087784450868611</v>
      </c>
      <c r="G206" s="116">
        <f t="shared" si="12"/>
        <v>83.106935158337919</v>
      </c>
      <c r="H206" s="116">
        <f t="shared" si="12"/>
        <v>83.268299227002061</v>
      </c>
      <c r="I206" s="116">
        <f t="shared" si="12"/>
        <v>84.054964784186751</v>
      </c>
      <c r="J206" s="116">
        <f t="shared" si="12"/>
        <v>88.345581885141016</v>
      </c>
      <c r="K206" s="116">
        <f t="shared" si="12"/>
        <v>16.152186003567341</v>
      </c>
    </row>
    <row r="207" spans="3:11" x14ac:dyDescent="0.2">
      <c r="C207" s="87" t="s">
        <v>148</v>
      </c>
      <c r="D207" s="47" t="str">
        <f t="shared" si="9"/>
        <v/>
      </c>
      <c r="E207" s="47" t="str">
        <f t="shared" si="12"/>
        <v xml:space="preserve"> </v>
      </c>
      <c r="F207" s="47" t="str">
        <f t="shared" si="12"/>
        <v xml:space="preserve"> </v>
      </c>
      <c r="G207" s="47" t="str">
        <f t="shared" si="12"/>
        <v xml:space="preserve"> </v>
      </c>
      <c r="H207" s="47" t="str">
        <f t="shared" si="12"/>
        <v xml:space="preserve"> </v>
      </c>
      <c r="I207" s="47" t="str">
        <f t="shared" si="12"/>
        <v xml:space="preserve"> </v>
      </c>
      <c r="J207" s="47" t="str">
        <f t="shared" si="12"/>
        <v xml:space="preserve"> </v>
      </c>
      <c r="K207" s="47" t="str">
        <f t="shared" si="12"/>
        <v xml:space="preserve"> </v>
      </c>
    </row>
    <row r="208" spans="3:11" x14ac:dyDescent="0.2">
      <c r="C208" s="88" t="s">
        <v>149</v>
      </c>
      <c r="D208" s="116">
        <f t="shared" si="9"/>
        <v>89.523052455642812</v>
      </c>
      <c r="E208" s="116">
        <f t="shared" si="12"/>
        <v>94.444317304854124</v>
      </c>
      <c r="F208" s="116">
        <f t="shared" si="12"/>
        <v>79.697518179196464</v>
      </c>
      <c r="G208" s="116">
        <f t="shared" si="12"/>
        <v>80.480964933864414</v>
      </c>
      <c r="H208" s="116">
        <f t="shared" si="12"/>
        <v>91.531259033104234</v>
      </c>
      <c r="I208" s="116">
        <f t="shared" si="12"/>
        <v>83.151344091963438</v>
      </c>
      <c r="J208" s="116">
        <f t="shared" si="12"/>
        <v>71.992743647907915</v>
      </c>
      <c r="K208" s="116">
        <f t="shared" si="12"/>
        <v>26.704709064366849</v>
      </c>
    </row>
    <row r="209" spans="1:11" x14ac:dyDescent="0.2">
      <c r="C209" s="87" t="s">
        <v>163</v>
      </c>
      <c r="D209" s="47">
        <f t="shared" si="9"/>
        <v>87.270515717403455</v>
      </c>
      <c r="E209" s="47">
        <f t="shared" si="12"/>
        <v>90.595882222460915</v>
      </c>
      <c r="F209" s="47">
        <f t="shared" si="12"/>
        <v>88.890757377441872</v>
      </c>
      <c r="G209" s="47">
        <f t="shared" si="12"/>
        <v>93.113723087075968</v>
      </c>
      <c r="H209" s="47">
        <f t="shared" si="12"/>
        <v>91.907932992861319</v>
      </c>
      <c r="I209" s="47">
        <f t="shared" si="12"/>
        <v>90.704262151569139</v>
      </c>
      <c r="J209" s="47">
        <f t="shared" si="12"/>
        <v>87.256640569871891</v>
      </c>
      <c r="K209" s="47">
        <f t="shared" si="12"/>
        <v>14.718563534589896</v>
      </c>
    </row>
    <row r="210" spans="1:11" x14ac:dyDescent="0.2">
      <c r="C210" s="88" t="s">
        <v>150</v>
      </c>
      <c r="D210" s="116">
        <f t="shared" si="9"/>
        <v>76.262397240165143</v>
      </c>
      <c r="E210" s="116">
        <f t="shared" si="12"/>
        <v>71.975222090810647</v>
      </c>
      <c r="F210" s="116">
        <f t="shared" si="12"/>
        <v>65.147873613847395</v>
      </c>
      <c r="G210" s="116">
        <f t="shared" si="12"/>
        <v>55.878510372112757</v>
      </c>
      <c r="H210" s="116">
        <f t="shared" si="12"/>
        <v>53.15352262017975</v>
      </c>
      <c r="I210" s="116">
        <f t="shared" si="12"/>
        <v>57.131744268121984</v>
      </c>
      <c r="J210" s="116">
        <f t="shared" si="12"/>
        <v>63.460301125560633</v>
      </c>
      <c r="K210" s="116">
        <f t="shared" si="12"/>
        <v>12.060069892816621</v>
      </c>
    </row>
    <row r="211" spans="1:11" x14ac:dyDescent="0.2">
      <c r="C211" s="87" t="s">
        <v>151</v>
      </c>
      <c r="D211" s="47" t="str">
        <f t="shared" si="9"/>
        <v/>
      </c>
      <c r="E211" s="47" t="str">
        <f t="shared" ref="E211:K211" si="13">+IFERROR(IF(E169&gt;0,+((E169/E44)*100)," "),"0")</f>
        <v xml:space="preserve"> </v>
      </c>
      <c r="F211" s="47" t="str">
        <f t="shared" si="13"/>
        <v xml:space="preserve"> </v>
      </c>
      <c r="G211" s="47" t="str">
        <f t="shared" si="13"/>
        <v xml:space="preserve"> </v>
      </c>
      <c r="H211" s="47" t="str">
        <f t="shared" si="13"/>
        <v xml:space="preserve"> </v>
      </c>
      <c r="I211" s="47" t="str">
        <f t="shared" si="13"/>
        <v xml:space="preserve"> </v>
      </c>
      <c r="J211" s="47" t="str">
        <f t="shared" si="13"/>
        <v xml:space="preserve"> </v>
      </c>
      <c r="K211" s="47" t="str">
        <f t="shared" si="13"/>
        <v xml:space="preserve"> </v>
      </c>
    </row>
    <row r="212" spans="1:11" x14ac:dyDescent="0.2">
      <c r="C212" s="91" t="s">
        <v>154</v>
      </c>
      <c r="D212" s="74">
        <f t="shared" ref="D212:K212" si="14">+IFERROR(IF(D170&gt;0,+((D170/D45)*100)," "),"")</f>
        <v>87.200538224514858</v>
      </c>
      <c r="E212" s="74">
        <f t="shared" si="14"/>
        <v>86.408679619437109</v>
      </c>
      <c r="F212" s="74">
        <f t="shared" si="14"/>
        <v>75.94040994561486</v>
      </c>
      <c r="G212" s="74">
        <f t="shared" si="14"/>
        <v>79.545294240649895</v>
      </c>
      <c r="H212" s="74">
        <f t="shared" si="14"/>
        <v>79.18853806564924</v>
      </c>
      <c r="I212" s="74">
        <f t="shared" si="14"/>
        <v>82.101128618604221</v>
      </c>
      <c r="J212" s="74">
        <f t="shared" si="14"/>
        <v>84.497214983176903</v>
      </c>
      <c r="K212" s="74">
        <f t="shared" si="14"/>
        <v>21.356096661039871</v>
      </c>
    </row>
    <row r="213" spans="1:11" s="31" customFormat="1" x14ac:dyDescent="0.2">
      <c r="A213" s="5"/>
      <c r="B213" s="5"/>
      <c r="C213" s="72" t="str">
        <f>+'C1 Aprop Resumen 2000-2026'!B20</f>
        <v>* Información con corte a 30 de abril</v>
      </c>
      <c r="D213" s="69"/>
      <c r="E213" s="69"/>
      <c r="F213" s="69"/>
      <c r="G213" s="69"/>
      <c r="H213" s="69"/>
      <c r="I213" s="69"/>
    </row>
    <row r="214" spans="1:11" x14ac:dyDescent="0.2">
      <c r="C214" s="1" t="s">
        <v>52</v>
      </c>
      <c r="D214" s="11"/>
      <c r="E214" s="11"/>
      <c r="F214" s="11"/>
      <c r="G214" s="11"/>
      <c r="H214" s="11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customHeight="1" x14ac:dyDescent="0.2">
      <c r="D218" s="155" t="s">
        <v>158</v>
      </c>
      <c r="E218" s="178"/>
      <c r="F218" s="178"/>
      <c r="G218" s="178"/>
      <c r="H218" s="178"/>
      <c r="I218" s="178"/>
      <c r="J218" s="178"/>
      <c r="K218" s="178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76" t="s">
        <v>120</v>
      </c>
      <c r="D220" s="153">
        <v>2019</v>
      </c>
      <c r="E220" s="153">
        <v>2020</v>
      </c>
      <c r="F220" s="153">
        <v>2021</v>
      </c>
      <c r="G220" s="153">
        <v>2022</v>
      </c>
      <c r="H220" s="153">
        <v>2023</v>
      </c>
      <c r="I220" s="153">
        <v>2024</v>
      </c>
      <c r="J220" s="153">
        <v>2025</v>
      </c>
      <c r="K220" s="153" t="s">
        <v>10</v>
      </c>
    </row>
    <row r="221" spans="1:11" ht="12" customHeight="1" thickBot="1" x14ac:dyDescent="0.25">
      <c r="C221" s="160"/>
      <c r="D221" s="154"/>
      <c r="E221" s="154"/>
      <c r="F221" s="154"/>
      <c r="G221" s="154"/>
      <c r="H221" s="154"/>
      <c r="I221" s="154"/>
      <c r="J221" s="154"/>
      <c r="K221" s="154"/>
    </row>
    <row r="222" spans="1:11" x14ac:dyDescent="0.2">
      <c r="C222" s="87" t="s">
        <v>123</v>
      </c>
      <c r="D222" s="42">
        <f>47.04287889152*Deflactores!$T$5</f>
        <v>73.007071381296214</v>
      </c>
      <c r="E222" s="42">
        <f>83.16287019781*Deflactores!$U$5</f>
        <v>127.01764440087554</v>
      </c>
      <c r="F222" s="42">
        <f>85.7415511326*Deflactores!$V$5</f>
        <v>123.98802934151007</v>
      </c>
      <c r="G222" s="42">
        <f>67.44785075045*Deflactores!$W$5</f>
        <v>86.221810947712029</v>
      </c>
      <c r="H222" s="42">
        <f>50.8432701442399*Deflactores!$X$5</f>
        <v>59.476008442288382</v>
      </c>
      <c r="I222" s="42">
        <f>83.70171116223*Deflactores!$Y$5</f>
        <v>93.073690673059104</v>
      </c>
      <c r="J222" s="42">
        <f>97.30148735229*Deflactores!$Z$5</f>
        <v>102.94497361872283</v>
      </c>
      <c r="K222" s="42">
        <f>11.85221159879*Deflactores!$AA$5</f>
        <v>11.852211598789999</v>
      </c>
    </row>
    <row r="223" spans="1:11" x14ac:dyDescent="0.2">
      <c r="C223" s="88" t="s">
        <v>124</v>
      </c>
      <c r="D223" s="50">
        <f>119.08895152514*Deflactores!$T$5</f>
        <v>184.81725161354598</v>
      </c>
      <c r="E223" s="50">
        <f>134.57995443697*Deflactores!$U$5</f>
        <v>205.54880748465609</v>
      </c>
      <c r="F223" s="50">
        <f>167.68443572062*Deflactores!$V$5</f>
        <v>242.48293227270355</v>
      </c>
      <c r="G223" s="50">
        <f>200.85603072802*Deflactores!$W$5</f>
        <v>256.76386299119594</v>
      </c>
      <c r="H223" s="50">
        <f>204.45975726587*Deflactores!$X$5</f>
        <v>239.17521856392216</v>
      </c>
      <c r="I223" s="50">
        <f>221.93537707853*Deflactores!$Y$5</f>
        <v>246.78521321481551</v>
      </c>
      <c r="J223" s="50">
        <f>243.70465191115*Deflactores!$Z$5</f>
        <v>257.83952172199673</v>
      </c>
      <c r="K223" s="50">
        <f>130.08996559801*Deflactores!$AA$5</f>
        <v>130.08996559801</v>
      </c>
    </row>
    <row r="224" spans="1:11" x14ac:dyDescent="0.2">
      <c r="C224" s="87" t="s">
        <v>125</v>
      </c>
      <c r="D224" s="42">
        <f>0*Deflactores!$T$5</f>
        <v>0</v>
      </c>
      <c r="E224" s="42">
        <f>0*Deflactores!$U$5</f>
        <v>0</v>
      </c>
      <c r="F224" s="42">
        <f>0*Deflactores!$V$5</f>
        <v>0</v>
      </c>
      <c r="G224" s="42">
        <f>0*Deflactores!$W$5</f>
        <v>0</v>
      </c>
      <c r="H224" s="42">
        <f>0*Deflactores!$X$5</f>
        <v>0</v>
      </c>
      <c r="I224" s="42">
        <f>0*Deflactores!$Y$5</f>
        <v>0</v>
      </c>
      <c r="J224" s="42">
        <f>0*Deflactores!$Z$5</f>
        <v>0</v>
      </c>
      <c r="K224" s="42">
        <f>0*Deflactores!$AA$5</f>
        <v>0</v>
      </c>
    </row>
    <row r="225" spans="3:11" x14ac:dyDescent="0.2">
      <c r="C225" s="88" t="s">
        <v>126</v>
      </c>
      <c r="D225" s="50">
        <f>324.208885192899*Deflactores!$T$5</f>
        <v>503.14822947613328</v>
      </c>
      <c r="E225" s="50">
        <f>331.11232960092*Deflactores!$U$5</f>
        <v>505.71977660173019</v>
      </c>
      <c r="F225" s="50">
        <f>364.35573398554*Deflactores!$V$5</f>
        <v>526.88281048568751</v>
      </c>
      <c r="G225" s="50">
        <f>395.18000721132*Deflactores!$W$5</f>
        <v>505.17748887443355</v>
      </c>
      <c r="H225" s="50">
        <f>424.98625075621*Deflactores!$X$5</f>
        <v>497.14516328561598</v>
      </c>
      <c r="I225" s="50">
        <f>423.26204099433*Deflactores!$Y$5</f>
        <v>470.65418054356985</v>
      </c>
      <c r="J225" s="50">
        <f>465.107812579189*Deflactores!$Z$5</f>
        <v>492.08406570878196</v>
      </c>
      <c r="K225" s="50">
        <f>103.02133550813*Deflactores!$AA$5</f>
        <v>103.02133550812999</v>
      </c>
    </row>
    <row r="226" spans="3:11" x14ac:dyDescent="0.2">
      <c r="C226" s="87" t="s">
        <v>127</v>
      </c>
      <c r="D226" s="42">
        <f>0*Deflactores!$T$5</f>
        <v>0</v>
      </c>
      <c r="E226" s="42">
        <f>0*Deflactores!$U$5</f>
        <v>0</v>
      </c>
      <c r="F226" s="42">
        <f>0*Deflactores!$V$5</f>
        <v>0</v>
      </c>
      <c r="G226" s="42">
        <f>0*Deflactores!$W$5</f>
        <v>0</v>
      </c>
      <c r="H226" s="42">
        <f>0*Deflactores!$X$5</f>
        <v>0</v>
      </c>
      <c r="I226" s="42">
        <f>0*Deflactores!$Y$5</f>
        <v>0</v>
      </c>
      <c r="J226" s="42">
        <f>0*Deflactores!$Z$5</f>
        <v>0</v>
      </c>
      <c r="K226" s="42">
        <f>0*Deflactores!$AA$5</f>
        <v>0</v>
      </c>
    </row>
    <row r="227" spans="3:11" x14ac:dyDescent="0.2">
      <c r="C227" s="88" t="s">
        <v>128</v>
      </c>
      <c r="D227" s="50">
        <f>9.28540520616*Deflactores!$T$5</f>
        <v>14.410262651093442</v>
      </c>
      <c r="E227" s="50">
        <f>10.10470917212*Deflactores!$U$5</f>
        <v>15.433285952562068</v>
      </c>
      <c r="F227" s="50">
        <f>9.96112853679*Deflactores!$V$5</f>
        <v>14.404459459615333</v>
      </c>
      <c r="G227" s="50">
        <f>12.80936869458*Deflactores!$W$5</f>
        <v>16.374828162130115</v>
      </c>
      <c r="H227" s="50">
        <f>11.0427388461699*Deflactores!$X$5</f>
        <v>12.917698389138607</v>
      </c>
      <c r="I227" s="50">
        <f>9.61580464812*Deflactores!$Y$5</f>
        <v>10.692474681396234</v>
      </c>
      <c r="J227" s="50">
        <f>17.03901063849*Deflactores!$Z$5</f>
        <v>18.027273255522424</v>
      </c>
      <c r="K227" s="50">
        <f>2.02633267621*Deflactores!$AA$5</f>
        <v>2.02633267621</v>
      </c>
    </row>
    <row r="228" spans="3:11" x14ac:dyDescent="0.2">
      <c r="C228" s="87" t="s">
        <v>129</v>
      </c>
      <c r="D228" s="42">
        <f>1842.44130144725*Deflactores!$T$5</f>
        <v>2859.3327360085277</v>
      </c>
      <c r="E228" s="42">
        <f>1694.39016682*Deflactores!$U$5</f>
        <v>2587.9030771012335</v>
      </c>
      <c r="F228" s="42">
        <f>1684.78500428361*Deflactores!$V$5</f>
        <v>2436.3120305836019</v>
      </c>
      <c r="G228" s="42">
        <f>2405.27241792815*Deflactores!$W$5</f>
        <v>3074.7746798286748</v>
      </c>
      <c r="H228" s="42">
        <f>2146.74523871694*Deflactores!$X$5</f>
        <v>2511.2436233772842</v>
      </c>
      <c r="I228" s="42">
        <f>2316.64109589137*Deflactores!$Y$5</f>
        <v>2576.0326015507644</v>
      </c>
      <c r="J228" s="42">
        <f>2438.90514701402*Deflactores!$Z$5</f>
        <v>2580.3616455408333</v>
      </c>
      <c r="K228" s="42">
        <f>505.1831364045*Deflactores!$AA$5</f>
        <v>505.18313640449998</v>
      </c>
    </row>
    <row r="229" spans="3:11" x14ac:dyDescent="0.2">
      <c r="C229" s="88" t="s">
        <v>130</v>
      </c>
      <c r="D229" s="50">
        <f>0*Deflactores!$T$5</f>
        <v>0</v>
      </c>
      <c r="E229" s="50">
        <f>0*Deflactores!$U$5</f>
        <v>0</v>
      </c>
      <c r="F229" s="50">
        <f>0*Deflactores!$V$5</f>
        <v>0</v>
      </c>
      <c r="G229" s="50">
        <f>0*Deflactores!$W$5</f>
        <v>0</v>
      </c>
      <c r="H229" s="50">
        <f>0*Deflactores!$X$5</f>
        <v>0</v>
      </c>
      <c r="I229" s="50">
        <f>0*Deflactores!$Y$5</f>
        <v>0</v>
      </c>
      <c r="J229" s="50">
        <f>0*Deflactores!$Z$5</f>
        <v>0</v>
      </c>
      <c r="K229" s="50">
        <f>0*Deflactores!$AA$5</f>
        <v>0</v>
      </c>
    </row>
    <row r="230" spans="3:11" x14ac:dyDescent="0.2">
      <c r="C230" s="87" t="s">
        <v>131</v>
      </c>
      <c r="D230" s="42">
        <f>19.89355809348*Deflactores!$T$5</f>
        <v>30.873331946962612</v>
      </c>
      <c r="E230" s="42">
        <f>16.09597709657*Deflactores!$U$5</f>
        <v>24.583965058851522</v>
      </c>
      <c r="F230" s="42">
        <f>18.5509067745999*Deflactores!$V$5</f>
        <v>26.825854478928214</v>
      </c>
      <c r="G230" s="42">
        <f>22.90962665413*Deflactores!$W$5</f>
        <v>29.286470603244275</v>
      </c>
      <c r="H230" s="42">
        <f>29.93287088091*Deflactores!$X$5</f>
        <v>35.015208033714998</v>
      </c>
      <c r="I230" s="42">
        <f>37.8150805181099*Deflactores!$Y$5</f>
        <v>42.049189413795197</v>
      </c>
      <c r="J230" s="42">
        <f>42.5204241624099*Deflactores!$Z$5</f>
        <v>44.986608763829679</v>
      </c>
      <c r="K230" s="42">
        <f>10.7207712212*Deflactores!$AA$5</f>
        <v>10.7207712212</v>
      </c>
    </row>
    <row r="231" spans="3:11" x14ac:dyDescent="0.2">
      <c r="C231" s="88" t="s">
        <v>132</v>
      </c>
      <c r="D231" s="50">
        <f>300.913184625479*Deflactores!$T$5</f>
        <v>466.99502384165595</v>
      </c>
      <c r="E231" s="50">
        <f>190.43597631758*Deflactores!$U$5</f>
        <v>290.85971977043329</v>
      </c>
      <c r="F231" s="50">
        <f>240.38502537422*Deflactores!$V$5</f>
        <v>347.61285730957877</v>
      </c>
      <c r="G231" s="50">
        <f>293.31150283918*Deflactores!$W$5</f>
        <v>374.95411143875992</v>
      </c>
      <c r="H231" s="50">
        <f>347.5187612029*Deflactores!$X$5</f>
        <v>406.52437808426254</v>
      </c>
      <c r="I231" s="50">
        <f>424.31521621453*Deflactores!$Y$5</f>
        <v>471.82527852123769</v>
      </c>
      <c r="J231" s="50">
        <f>453.48318144046*Deflactores!$Z$5</f>
        <v>479.78520596400671</v>
      </c>
      <c r="K231" s="50">
        <f>88.77107201699*Deflactores!$AA$5</f>
        <v>88.771072016990004</v>
      </c>
    </row>
    <row r="232" spans="3:11" x14ac:dyDescent="0.2">
      <c r="C232" s="87" t="s">
        <v>133</v>
      </c>
      <c r="D232" s="42">
        <f>39.9936900255399*Deflactores!$T$5</f>
        <v>62.067251224762025</v>
      </c>
      <c r="E232" s="42">
        <f>37.67520897296*Deflactores!$U$5</f>
        <v>57.542702466540504</v>
      </c>
      <c r="F232" s="42">
        <f>79.42526686462*Deflactores!$V$5</f>
        <v>114.85425897227003</v>
      </c>
      <c r="G232" s="42">
        <f>33.98189991703*Deflactores!$W$5</f>
        <v>43.440686659251085</v>
      </c>
      <c r="H232" s="42">
        <f>47.02711145243*Deflactores!$X$5</f>
        <v>55.011899703269521</v>
      </c>
      <c r="I232" s="42">
        <f>42.19948008393*Deflactores!$Y$5</f>
        <v>46.924504903884902</v>
      </c>
      <c r="J232" s="42">
        <f>37.32047077296*Deflactores!$Z$5</f>
        <v>39.485058077791685</v>
      </c>
      <c r="K232" s="42">
        <f>7.07131636836*Deflactores!$AA$5</f>
        <v>7.0713163683599998</v>
      </c>
    </row>
    <row r="233" spans="3:11" x14ac:dyDescent="0.2">
      <c r="C233" s="88" t="s">
        <v>134</v>
      </c>
      <c r="D233" s="50">
        <f>220.254156904269*Deflactores!$T$5</f>
        <v>341.8181738455595</v>
      </c>
      <c r="E233" s="50">
        <f>245.07458892639*Deflactores!$U$5</f>
        <v>374.31123906498721</v>
      </c>
      <c r="F233" s="50">
        <f>262.468781359329*Deflactores!$V$5</f>
        <v>379.54744851866377</v>
      </c>
      <c r="G233" s="50">
        <f>318.32212297622*Deflactores!$W$5</f>
        <v>406.92638241770607</v>
      </c>
      <c r="H233" s="50">
        <f>343.46095039343*Deflactores!$X$5</f>
        <v>401.77758683191843</v>
      </c>
      <c r="I233" s="50">
        <f>365.01244173838*Deflactores!$Y$5</f>
        <v>405.88244400798067</v>
      </c>
      <c r="J233" s="50">
        <f>379.92950580542*Deflactores!$Z$5</f>
        <v>401.96541714213436</v>
      </c>
      <c r="K233" s="50">
        <f>100.78453192392*Deflactores!$AA$5</f>
        <v>100.78453192392</v>
      </c>
    </row>
    <row r="234" spans="3:11" x14ac:dyDescent="0.2">
      <c r="C234" s="87" t="s">
        <v>135</v>
      </c>
      <c r="D234" s="42">
        <f>0*Deflactores!$T$5</f>
        <v>0</v>
      </c>
      <c r="E234" s="42">
        <f>0*Deflactores!$U$5</f>
        <v>0</v>
      </c>
      <c r="F234" s="42">
        <f>0*Deflactores!$V$5</f>
        <v>0</v>
      </c>
      <c r="G234" s="42">
        <f>0*Deflactores!$W$5</f>
        <v>0</v>
      </c>
      <c r="H234" s="42">
        <f>0*Deflactores!$X$5</f>
        <v>0</v>
      </c>
      <c r="I234" s="42">
        <f>3769.5021705729*Deflactores!$Y$5</f>
        <v>4191.568776118911</v>
      </c>
      <c r="J234" s="42">
        <f>4180.70057208256*Deflactores!$Z$5</f>
        <v>4423.1812052633486</v>
      </c>
      <c r="K234" s="42">
        <f>1055.3553457707*Deflactores!$AA$5</f>
        <v>1055.3553457707001</v>
      </c>
    </row>
    <row r="235" spans="3:11" x14ac:dyDescent="0.2">
      <c r="C235" s="88" t="s">
        <v>136</v>
      </c>
      <c r="D235" s="50">
        <f>2399.65100420614*Deflactores!$T$5</f>
        <v>3724.0810146476183</v>
      </c>
      <c r="E235" s="50">
        <f>2348.60680257425*Deflactores!$U$5</f>
        <v>3587.1116879117671</v>
      </c>
      <c r="F235" s="50">
        <f>2495.5347253631*Deflactores!$V$5</f>
        <v>3608.7104637582579</v>
      </c>
      <c r="G235" s="50">
        <f>2902.27205544258*Deflactores!$W$5</f>
        <v>3710.1130680806486</v>
      </c>
      <c r="H235" s="50">
        <f>3438.89025333179*Deflactores!$X$5</f>
        <v>4022.7834511631308</v>
      </c>
      <c r="I235" s="50">
        <f>0.83410458289*Deflactores!$Y$5</f>
        <v>0.92749826567364679</v>
      </c>
      <c r="J235" s="50">
        <f>31.62720305825*Deflactores!$Z$5</f>
        <v>33.461580835628503</v>
      </c>
      <c r="K235" s="50">
        <f>0*Deflactores!$AA$5</f>
        <v>0</v>
      </c>
    </row>
    <row r="236" spans="3:11" x14ac:dyDescent="0.2">
      <c r="C236" s="87" t="s">
        <v>137</v>
      </c>
      <c r="D236" s="42">
        <f>27.5338719147799*Deflactores!$T$5</f>
        <v>42.730534347636592</v>
      </c>
      <c r="E236" s="42">
        <f>27.67561214605*Deflactores!$U$5</f>
        <v>42.269958381452092</v>
      </c>
      <c r="F236" s="42">
        <f>55.4399327904199*Deflactores!$V$5</f>
        <v>80.169858402484536</v>
      </c>
      <c r="G236" s="42">
        <f>31.34284590821*Deflactores!$W$5</f>
        <v>40.067057799360967</v>
      </c>
      <c r="H236" s="42">
        <f>11.82195870426*Deflactores!$X$5</f>
        <v>13.829222898216944</v>
      </c>
      <c r="I236" s="42">
        <f>43.30530063568*Deflactores!$Y$5</f>
        <v>48.154142847295724</v>
      </c>
      <c r="J236" s="42">
        <f>43.32607957355*Deflactores!$Z$5</f>
        <v>45.838992188815901</v>
      </c>
      <c r="K236" s="42">
        <f>13.26217341051*Deflactores!$AA$5</f>
        <v>13.26217341051</v>
      </c>
    </row>
    <row r="237" spans="3:11" x14ac:dyDescent="0.2">
      <c r="C237" s="88" t="s">
        <v>138</v>
      </c>
      <c r="D237" s="50">
        <f>0*Deflactores!$T$5</f>
        <v>0</v>
      </c>
      <c r="E237" s="50">
        <f>0*Deflactores!$U$5</f>
        <v>0</v>
      </c>
      <c r="F237" s="50">
        <f>0*Deflactores!$V$5</f>
        <v>0</v>
      </c>
      <c r="G237" s="50">
        <f>0*Deflactores!$W$5</f>
        <v>0</v>
      </c>
      <c r="H237" s="50">
        <f>0*Deflactores!$X$5</f>
        <v>0</v>
      </c>
      <c r="I237" s="50">
        <f>0*Deflactores!$Y$5</f>
        <v>0</v>
      </c>
      <c r="J237" s="50">
        <f>0*Deflactores!$Z$5</f>
        <v>0</v>
      </c>
      <c r="K237" s="50">
        <f>0*Deflactores!$AA$5</f>
        <v>0</v>
      </c>
    </row>
    <row r="238" spans="3:11" x14ac:dyDescent="0.2">
      <c r="C238" s="87" t="s">
        <v>160</v>
      </c>
      <c r="D238" s="42">
        <f>80.4385918922399*Deflactores!$T$5</f>
        <v>124.83474988063098</v>
      </c>
      <c r="E238" s="42">
        <f>54.02429625702*Deflactores!$U$5</f>
        <v>82.513251823316963</v>
      </c>
      <c r="F238" s="42">
        <f>106.49085893182*Deflactores!$V$5</f>
        <v>153.99291903900419</v>
      </c>
      <c r="G238" s="42">
        <f>109.88018076664*Deflactores!$W$5</f>
        <v>140.465086248852</v>
      </c>
      <c r="H238" s="42">
        <f>140.13500993934*Deflactores!$X$5</f>
        <v>163.92869716222603</v>
      </c>
      <c r="I238" s="42">
        <f>182.96925315366*Deflactores!$Y$5</f>
        <v>203.45609945414034</v>
      </c>
      <c r="J238" s="42">
        <f>160.82773407621*Deflactores!$Z$5</f>
        <v>170.15574265263018</v>
      </c>
      <c r="K238" s="42">
        <f>39.76439300155*Deflactores!$AA$5</f>
        <v>39.764393001549998</v>
      </c>
    </row>
    <row r="239" spans="3:11" x14ac:dyDescent="0.2">
      <c r="C239" s="88" t="s">
        <v>161</v>
      </c>
      <c r="D239" s="50">
        <f>387.977197497639*Deflactores!$T$5</f>
        <v>602.11193743781064</v>
      </c>
      <c r="E239" s="50">
        <f>413.482726998609*Deflactores!$U$5</f>
        <v>631.5270487765905</v>
      </c>
      <c r="F239" s="50">
        <f>418.99247860268*Deflactores!$V$5</f>
        <v>605.89120495989107</v>
      </c>
      <c r="G239" s="50">
        <f>509.42421444549*Deflactores!$W$5</f>
        <v>651.22131871359443</v>
      </c>
      <c r="H239" s="50">
        <f>582.99483978978*Deflactores!$X$5</f>
        <v>681.98221543929947</v>
      </c>
      <c r="I239" s="50">
        <f>642.48950683703*Deflactores!$Y$5</f>
        <v>714.42828097187078</v>
      </c>
      <c r="J239" s="50">
        <f>693.36450709543*Deflactores!$Z$5</f>
        <v>733.57964850696499</v>
      </c>
      <c r="K239" s="50">
        <f>127.19978462269*Deflactores!$AA$5</f>
        <v>127.19978462269</v>
      </c>
    </row>
    <row r="240" spans="3:11" x14ac:dyDescent="0.2">
      <c r="C240" s="87" t="s">
        <v>140</v>
      </c>
      <c r="D240" s="42">
        <f>683.00558861372*Deflactores!$T$5</f>
        <v>1059.974196662838</v>
      </c>
      <c r="E240" s="42">
        <f>1036.58844069615*Deflactores!$U$5</f>
        <v>1583.2188287540478</v>
      </c>
      <c r="F240" s="42">
        <f>1251.71506946325*Deflactores!$V$5</f>
        <v>1810.0638804610066</v>
      </c>
      <c r="G240" s="42">
        <f>950.96118853137*Deflactores!$W$5</f>
        <v>1215.6591337436541</v>
      </c>
      <c r="H240" s="42">
        <f>1549.54198741726*Deflactores!$X$5</f>
        <v>1812.6405336213461</v>
      </c>
      <c r="I240" s="42">
        <f>4450.55169958082*Deflactores!$Y$5</f>
        <v>4948.8745983745403</v>
      </c>
      <c r="J240" s="42">
        <f>3752.10854764135*Deflactores!$Z$5</f>
        <v>3969.7308434045485</v>
      </c>
      <c r="K240" s="42">
        <f>1695.711298065*Deflactores!$AA$5</f>
        <v>1695.7112980649999</v>
      </c>
    </row>
    <row r="241" spans="1:11" x14ac:dyDescent="0.2">
      <c r="C241" s="88" t="s">
        <v>141</v>
      </c>
      <c r="D241" s="50">
        <f>15.66657665377*Deflactores!$T$5</f>
        <v>24.313369143496718</v>
      </c>
      <c r="E241" s="50">
        <f>10.24848976612*Deflactores!$U$5</f>
        <v>15.652887227950945</v>
      </c>
      <c r="F241" s="50">
        <f>11.5963572428999*Deflactores!$V$5</f>
        <v>16.769109761773748</v>
      </c>
      <c r="G241" s="50">
        <f>15.18933317819*Deflactores!$W$5</f>
        <v>19.417250500053484</v>
      </c>
      <c r="H241" s="50">
        <f>19.92280871214*Deflactores!$X$5</f>
        <v>23.305525702728175</v>
      </c>
      <c r="I241" s="50">
        <f>16.9207066514599*Deflactores!$Y$5</f>
        <v>18.815297739793476</v>
      </c>
      <c r="J241" s="50">
        <f>17.07866379906*Deflactores!$Z$5</f>
        <v>18.069226299405479</v>
      </c>
      <c r="K241" s="50">
        <f>3.763030055*Deflactores!$AA$5</f>
        <v>3.7630300550000002</v>
      </c>
    </row>
    <row r="242" spans="1:11" x14ac:dyDescent="0.2">
      <c r="C242" s="87" t="s">
        <v>142</v>
      </c>
      <c r="D242" s="42">
        <f>129.0190560466*Deflactores!$T$5</f>
        <v>200.22803995610735</v>
      </c>
      <c r="E242" s="42">
        <f>292.23587417981*Deflactores!$U$5</f>
        <v>446.3423672061719</v>
      </c>
      <c r="F242" s="42">
        <f>286.8417833563*Deflactores!$V$5</f>
        <v>414.79244288630292</v>
      </c>
      <c r="G242" s="42">
        <f>195.5213611001*Deflactores!$W$5</f>
        <v>249.94429986191491</v>
      </c>
      <c r="H242" s="42">
        <f>288.08312965936*Deflactores!$X$5</f>
        <v>336.99710115208018</v>
      </c>
      <c r="I242" s="42">
        <f>254.41541833531*Deflactores!$Y$5</f>
        <v>282.902005464409</v>
      </c>
      <c r="J242" s="42">
        <f>218.74019772588*Deflactores!$Z$5</f>
        <v>231.42712919398105</v>
      </c>
      <c r="K242" s="42">
        <f>70.57691594524*Deflactores!$AA$5</f>
        <v>70.576915945240003</v>
      </c>
    </row>
    <row r="243" spans="1:11" x14ac:dyDescent="0.2">
      <c r="C243" s="88" t="s">
        <v>143</v>
      </c>
      <c r="D243" s="50">
        <f>28.57912246323*Deflactores!$T$5</f>
        <v>44.352685950603032</v>
      </c>
      <c r="E243" s="50">
        <f>9.04283904153*Deflactores!$U$5</f>
        <v>13.811453489031441</v>
      </c>
      <c r="F243" s="50">
        <f>49.21251642515*Deflactores!$V$5</f>
        <v>71.164596976495318</v>
      </c>
      <c r="G243" s="50">
        <f>69.58122759627*Deflactores!$W$5</f>
        <v>88.94900852382294</v>
      </c>
      <c r="H243" s="50">
        <f>6.69529607481*Deflactores!$X$5</f>
        <v>7.8320982253761162</v>
      </c>
      <c r="I243" s="50">
        <f>9.34254185839999*Deflactores!$Y$5</f>
        <v>10.388614987135478</v>
      </c>
      <c r="J243" s="50">
        <f>4.44491553261*Deflactores!$Z$5</f>
        <v>4.7027206335013796</v>
      </c>
      <c r="K243" s="50">
        <f>0.7308084886*Deflactores!$AA$5</f>
        <v>0.73080848860000003</v>
      </c>
    </row>
    <row r="244" spans="1:11" x14ac:dyDescent="0.2">
      <c r="C244" s="87" t="s">
        <v>144</v>
      </c>
      <c r="D244" s="42">
        <f>0*Deflactores!$T$5</f>
        <v>0</v>
      </c>
      <c r="E244" s="42">
        <f>0*Deflactores!$U$5</f>
        <v>0</v>
      </c>
      <c r="F244" s="42">
        <f>0*Deflactores!$V$5</f>
        <v>0</v>
      </c>
      <c r="G244" s="42">
        <f>0*Deflactores!$W$5</f>
        <v>0</v>
      </c>
      <c r="H244" s="42">
        <f>0*Deflactores!$X$5</f>
        <v>0</v>
      </c>
      <c r="I244" s="42">
        <f>0*Deflactores!$Y$5</f>
        <v>0</v>
      </c>
      <c r="J244" s="42">
        <f>0*Deflactores!$Z$5</f>
        <v>0</v>
      </c>
      <c r="K244" s="42">
        <f>0*Deflactores!$AA$5</f>
        <v>0</v>
      </c>
    </row>
    <row r="245" spans="1:11" x14ac:dyDescent="0.2">
      <c r="C245" s="88" t="s">
        <v>145</v>
      </c>
      <c r="D245" s="50">
        <f>83.55486578564*Deflactores!$T$5</f>
        <v>129.67097665798798</v>
      </c>
      <c r="E245" s="50">
        <f>64.99266201322*Deflactores!$U$5</f>
        <v>99.265631556796151</v>
      </c>
      <c r="F245" s="50">
        <f>72.16398354687*Deflactores!$V$5</f>
        <v>104.35395664317099</v>
      </c>
      <c r="G245" s="50">
        <f>95.78450708156*Deflactores!$W$5</f>
        <v>122.44591294483833</v>
      </c>
      <c r="H245" s="50">
        <f>122.43214121835*Deflactores!$X$5</f>
        <v>143.22003765792371</v>
      </c>
      <c r="I245" s="50">
        <f>99.59645834548*Deflactores!$Y$5</f>
        <v>110.74815350205624</v>
      </c>
      <c r="J245" s="50">
        <f>168.05354704046*Deflactores!$Z$5</f>
        <v>177.80065276880669</v>
      </c>
      <c r="K245" s="50">
        <f>34.77099661448*Deflactores!$AA$5</f>
        <v>34.770996614479998</v>
      </c>
    </row>
    <row r="246" spans="1:11" x14ac:dyDescent="0.2">
      <c r="C246" s="87" t="s">
        <v>146</v>
      </c>
      <c r="D246" s="42">
        <f>199.926914895319*Deflactores!$T$5</f>
        <v>310.27179651277663</v>
      </c>
      <c r="E246" s="42">
        <f>118.67051286893*Deflactores!$U$5</f>
        <v>181.24974485130522</v>
      </c>
      <c r="F246" s="42">
        <f>214.987206378989*Deflactores!$V$5</f>
        <v>310.88590887916058</v>
      </c>
      <c r="G246" s="42">
        <f>191.54014891702*Deflactores!$W$5</f>
        <v>244.85492606611666</v>
      </c>
      <c r="H246" s="42">
        <f>216.333400858849*Deflactores!$X$5</f>
        <v>253.0649019885582</v>
      </c>
      <c r="I246" s="42">
        <f>371.149246120469*Deflactores!$Y$5</f>
        <v>412.70637896520731</v>
      </c>
      <c r="J246" s="42">
        <f>531.670297824*Deflactores!$Z$5</f>
        <v>562.50717509779213</v>
      </c>
      <c r="K246" s="42">
        <f>172.71409252955*Deflactores!$AA$5</f>
        <v>172.71409252954999</v>
      </c>
    </row>
    <row r="247" spans="1:11" x14ac:dyDescent="0.2">
      <c r="C247" s="88" t="s">
        <v>162</v>
      </c>
      <c r="D247" s="50">
        <f>538.85919096775*Deflactores!$T$5</f>
        <v>836.26964051601919</v>
      </c>
      <c r="E247" s="50">
        <f>459.823443801829*Deflactores!$U$5</f>
        <v>702.30489319432775</v>
      </c>
      <c r="F247" s="50">
        <f>473.776284333869*Deflactores!$V$5</f>
        <v>685.11225966105383</v>
      </c>
      <c r="G247" s="50">
        <f>543.64104906403*Deflactores!$W$5</f>
        <v>694.9623336293173</v>
      </c>
      <c r="H247" s="50">
        <f>637.55581559218*Deflactores!$X$5</f>
        <v>745.80716313123446</v>
      </c>
      <c r="I247" s="50">
        <f>679.979155137639*Deflactores!$Y$5</f>
        <v>756.11559991580168</v>
      </c>
      <c r="J247" s="50">
        <f>736.1380413505*Deflactores!$Z$5</f>
        <v>778.83404774882899</v>
      </c>
      <c r="K247" s="50">
        <f>186.17552579818*Deflactores!$AA$5</f>
        <v>186.17552579817999</v>
      </c>
    </row>
    <row r="248" spans="1:11" x14ac:dyDescent="0.2">
      <c r="C248" s="87" t="s">
        <v>148</v>
      </c>
      <c r="D248" s="42">
        <f>0*Deflactores!$T$5</f>
        <v>0</v>
      </c>
      <c r="E248" s="42">
        <f>0*Deflactores!$U$5</f>
        <v>0</v>
      </c>
      <c r="F248" s="42">
        <f>0*Deflactores!$V$5</f>
        <v>0</v>
      </c>
      <c r="G248" s="42">
        <f>0*Deflactores!$W$5</f>
        <v>0</v>
      </c>
      <c r="H248" s="42">
        <f>0*Deflactores!$X$5</f>
        <v>0</v>
      </c>
      <c r="I248" s="42">
        <f>0*Deflactores!$Y$5</f>
        <v>0</v>
      </c>
      <c r="J248" s="42">
        <f>0*Deflactores!$Z$5</f>
        <v>0</v>
      </c>
      <c r="K248" s="42">
        <f>0*Deflactores!$AA$5</f>
        <v>0</v>
      </c>
    </row>
    <row r="249" spans="1:11" x14ac:dyDescent="0.2">
      <c r="C249" s="88" t="s">
        <v>149</v>
      </c>
      <c r="D249" s="50">
        <f>1273.12870390146*Deflactores!$T$5</f>
        <v>1975.8016591128703</v>
      </c>
      <c r="E249" s="50">
        <f>1178.53004123154*Deflactores!$U$5</f>
        <v>1800.0113432453295</v>
      </c>
      <c r="F249" s="50">
        <f>1822.15727607938*Deflactores!$V$5</f>
        <v>2634.9615422979732</v>
      </c>
      <c r="G249" s="50">
        <f>1798.86725608395*Deflactores!$W$5</f>
        <v>2299.5779813349354</v>
      </c>
      <c r="H249" s="50">
        <f>2088.20359728176*Deflactores!$X$5</f>
        <v>2442.762128179465</v>
      </c>
      <c r="I249" s="50">
        <f>2309.23198837994*Deflactores!$Y$5</f>
        <v>2567.7939052193874</v>
      </c>
      <c r="J249" s="50">
        <f>1461.5845282764*Deflactores!$Z$5</f>
        <v>1546.3564309164315</v>
      </c>
      <c r="K249" s="50">
        <f>451.07103777184*Deflactores!$AA$5</f>
        <v>451.07103777184</v>
      </c>
    </row>
    <row r="250" spans="1:11" x14ac:dyDescent="0.2">
      <c r="C250" s="87" t="s">
        <v>163</v>
      </c>
      <c r="D250" s="42">
        <f>1434.06150267184*Deflactores!$T$5</f>
        <v>2225.5574692220775</v>
      </c>
      <c r="E250" s="42">
        <f>1460.76372051493*Deflactores!$U$5</f>
        <v>2231.0769982413544</v>
      </c>
      <c r="F250" s="42">
        <f>1512.82188874172*Deflactores!$V$5</f>
        <v>2187.64184053197</v>
      </c>
      <c r="G250" s="42">
        <f>1639.23656998591*Deflactores!$W$5</f>
        <v>2095.5144465438443</v>
      </c>
      <c r="H250" s="42">
        <f>2102.98797606795*Deflactores!$X$5</f>
        <v>2460.0567639298179</v>
      </c>
      <c r="I250" s="42">
        <f>2047.17723763615*Deflactores!$Y$5</f>
        <v>2276.3972005228748</v>
      </c>
      <c r="J250" s="42">
        <f>2640.59044621319*Deflactores!$Z$5</f>
        <v>2793.7446920935549</v>
      </c>
      <c r="K250" s="42">
        <f>448.78019516783*Deflactores!$AA$5</f>
        <v>448.78019516783002</v>
      </c>
    </row>
    <row r="251" spans="1:11" x14ac:dyDescent="0.2">
      <c r="C251" s="88" t="s">
        <v>150</v>
      </c>
      <c r="D251" s="50">
        <f>2074.94867731764*Deflactores!$T$5</f>
        <v>3220.1670001272423</v>
      </c>
      <c r="E251" s="50">
        <f>1914.76087728529*Deflactores!$U$5</f>
        <v>2924.4831935843417</v>
      </c>
      <c r="F251" s="50">
        <f>2152.52079434794*Deflactores!$V$5</f>
        <v>3112.6893306966231</v>
      </c>
      <c r="G251" s="50">
        <f>1772.18332065874*Deflactores!$W$5</f>
        <v>2265.4666314553683</v>
      </c>
      <c r="H251" s="50">
        <f>1781.10406621439*Deflactores!$X$5</f>
        <v>2083.5198085849815</v>
      </c>
      <c r="I251" s="50">
        <f>2290.55331390058*Deflactores!$Y$5</f>
        <v>2547.0238021171322</v>
      </c>
      <c r="J251" s="50">
        <f>2897.35780756318*Deflactores!$Z$5</f>
        <v>3065.4045604018443</v>
      </c>
      <c r="K251" s="50">
        <f>862.173930124119*Deflactores!$AA$5</f>
        <v>862.17393012411901</v>
      </c>
    </row>
    <row r="252" spans="1:11" x14ac:dyDescent="0.2">
      <c r="C252" s="87" t="s">
        <v>151</v>
      </c>
      <c r="D252" s="42">
        <f>0*Deflactores!$T$5</f>
        <v>0</v>
      </c>
      <c r="E252" s="42">
        <f>0*Deflactores!$U$5</f>
        <v>0</v>
      </c>
      <c r="F252" s="42">
        <f>0*Deflactores!$V$5</f>
        <v>0</v>
      </c>
      <c r="G252" s="42">
        <f>0*Deflactores!$W$5</f>
        <v>0</v>
      </c>
      <c r="H252" s="42">
        <f>0*Deflactores!$X$5</f>
        <v>0</v>
      </c>
      <c r="I252" s="42">
        <f>0*Deflactores!$Y$5</f>
        <v>0</v>
      </c>
      <c r="J252" s="42">
        <f>0*Deflactores!$Z$5</f>
        <v>0</v>
      </c>
      <c r="K252" s="42">
        <f>0*Deflactores!$AA$5</f>
        <v>0</v>
      </c>
    </row>
    <row r="253" spans="1:11" x14ac:dyDescent="0.2">
      <c r="C253" s="79" t="s">
        <v>152</v>
      </c>
      <c r="D253" s="44">
        <f t="shared" ref="D253:K253" si="15">SUM(D222:D252)</f>
        <v>19056.834402165252</v>
      </c>
      <c r="E253" s="44">
        <f t="shared" si="15"/>
        <v>18529.759506145656</v>
      </c>
      <c r="F253" s="44">
        <f t="shared" si="15"/>
        <v>20010.109996377727</v>
      </c>
      <c r="G253" s="44">
        <f t="shared" si="15"/>
        <v>18632.578777369428</v>
      </c>
      <c r="H253" s="44">
        <f t="shared" si="15"/>
        <v>19410.016433547797</v>
      </c>
      <c r="I253" s="44">
        <f t="shared" si="15"/>
        <v>23454.219931976735</v>
      </c>
      <c r="J253" s="44">
        <f t="shared" si="15"/>
        <v>22972.274417799697</v>
      </c>
      <c r="K253" s="44">
        <f t="shared" si="15"/>
        <v>6121.570200681399</v>
      </c>
    </row>
    <row r="254" spans="1:11" s="31" customFormat="1" x14ac:dyDescent="0.2">
      <c r="A254" s="5"/>
      <c r="B254" s="5"/>
      <c r="C254" s="72" t="str">
        <f>+'C1 Aprop Resumen 2000-2026'!B20</f>
        <v>* Información con corte a 30 de abril</v>
      </c>
      <c r="D254" s="123">
        <f>+D253-'C7 Ejec. Prop 19-26'!D131</f>
        <v>0</v>
      </c>
      <c r="E254" s="123">
        <f>+E253-'C7 Ejec. Prop 19-26'!E131</f>
        <v>0</v>
      </c>
      <c r="F254" s="123">
        <f>+F253-'C7 Ejec. Prop 19-26'!F131</f>
        <v>-6.184563972055912E-11</v>
      </c>
      <c r="G254" s="123">
        <f>+G253-'C7 Ejec. Prop 19-26'!G131</f>
        <v>0</v>
      </c>
      <c r="H254" s="123">
        <f>+H253-'C7 Ejec. Prop 19-26'!H131</f>
        <v>0</v>
      </c>
      <c r="I254" s="123">
        <f>+I253-'C7 Ejec. Prop 19-26'!I131</f>
        <v>0</v>
      </c>
      <c r="J254" s="123">
        <f>+J253-'C7 Ejec. Prop 19-26'!J131</f>
        <v>4.7293724492192268E-11</v>
      </c>
      <c r="K254" s="123">
        <f>+K253-'C7 Ejec. Prop 19-26'!K131</f>
        <v>0</v>
      </c>
    </row>
    <row r="255" spans="1:11" x14ac:dyDescent="0.2">
      <c r="C255" s="1" t="s">
        <v>52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customHeight="1" x14ac:dyDescent="0.2">
      <c r="D259" s="155" t="s">
        <v>159</v>
      </c>
      <c r="E259" s="178"/>
      <c r="F259" s="178"/>
      <c r="G259" s="178"/>
      <c r="H259" s="178"/>
      <c r="I259" s="178"/>
      <c r="J259" s="178"/>
      <c r="K259" s="178"/>
    </row>
    <row r="260" spans="3:11" x14ac:dyDescent="0.2">
      <c r="D260" s="28"/>
      <c r="E260" s="28"/>
      <c r="F260" s="28"/>
      <c r="G260" s="28"/>
      <c r="H260" s="28"/>
    </row>
    <row r="261" spans="3:11" x14ac:dyDescent="0.2">
      <c r="D261" s="29"/>
      <c r="E261" s="29"/>
      <c r="F261" s="29"/>
      <c r="G261" s="29"/>
      <c r="H261" s="29"/>
    </row>
    <row r="262" spans="3:11" ht="13.5" customHeight="1" x14ac:dyDescent="0.2">
      <c r="C262" s="176" t="s">
        <v>120</v>
      </c>
      <c r="D262" s="153">
        <v>2019</v>
      </c>
      <c r="E262" s="153">
        <v>2020</v>
      </c>
      <c r="F262" s="153">
        <v>2021</v>
      </c>
      <c r="G262" s="153">
        <v>2022</v>
      </c>
      <c r="H262" s="153">
        <v>2023</v>
      </c>
      <c r="I262" s="153">
        <v>2024</v>
      </c>
      <c r="J262" s="153">
        <v>2025</v>
      </c>
      <c r="K262" s="153" t="s">
        <v>10</v>
      </c>
    </row>
    <row r="263" spans="3:11" ht="12" customHeight="1" thickBot="1" x14ac:dyDescent="0.25">
      <c r="C263" s="160"/>
      <c r="D263" s="154"/>
      <c r="E263" s="154"/>
      <c r="F263" s="154"/>
      <c r="G263" s="154"/>
      <c r="H263" s="154"/>
      <c r="I263" s="154"/>
      <c r="J263" s="154"/>
      <c r="K263" s="154"/>
    </row>
    <row r="264" spans="3:11" x14ac:dyDescent="0.2">
      <c r="C264" s="87" t="s">
        <v>123</v>
      </c>
      <c r="D264" s="47">
        <f t="shared" ref="D264:K273" si="16">+IFERROR(IF(D222&gt;0,+((D222/D14)*100)," "),"0")</f>
        <v>67.916266942097437</v>
      </c>
      <c r="E264" s="47">
        <f t="shared" si="16"/>
        <v>88.493955106218507</v>
      </c>
      <c r="F264" s="47">
        <f t="shared" si="16"/>
        <v>94.035540477828789</v>
      </c>
      <c r="G264" s="47">
        <f t="shared" si="16"/>
        <v>87.617903200106412</v>
      </c>
      <c r="H264" s="47">
        <f t="shared" si="16"/>
        <v>62.430897631485529</v>
      </c>
      <c r="I264" s="47">
        <f t="shared" si="16"/>
        <v>66.990464108644673</v>
      </c>
      <c r="J264" s="47">
        <f t="shared" si="16"/>
        <v>79.092045401066429</v>
      </c>
      <c r="K264" s="47">
        <f t="shared" si="16"/>
        <v>11.907938847325267</v>
      </c>
    </row>
    <row r="265" spans="3:11" x14ac:dyDescent="0.2">
      <c r="C265" s="88" t="s">
        <v>124</v>
      </c>
      <c r="D265" s="116">
        <f t="shared" si="16"/>
        <v>92.218588351843422</v>
      </c>
      <c r="E265" s="116">
        <f t="shared" si="16"/>
        <v>89.854209666372626</v>
      </c>
      <c r="F265" s="116">
        <f t="shared" si="16"/>
        <v>83.035206831696868</v>
      </c>
      <c r="G265" s="116">
        <f t="shared" si="16"/>
        <v>84.303992932115349</v>
      </c>
      <c r="H265" s="116">
        <f t="shared" si="16"/>
        <v>80.257795621418808</v>
      </c>
      <c r="I265" s="116">
        <f t="shared" si="16"/>
        <v>79.181340799927369</v>
      </c>
      <c r="J265" s="116">
        <f t="shared" si="16"/>
        <v>91.150907277187244</v>
      </c>
      <c r="K265" s="116">
        <f t="shared" si="16"/>
        <v>44.069899365861417</v>
      </c>
    </row>
    <row r="266" spans="3:11" x14ac:dyDescent="0.2">
      <c r="C266" s="87" t="s">
        <v>125</v>
      </c>
      <c r="D266" s="47" t="str">
        <f t="shared" si="16"/>
        <v xml:space="preserve"> </v>
      </c>
      <c r="E266" s="47" t="str">
        <f t="shared" si="16"/>
        <v xml:space="preserve"> </v>
      </c>
      <c r="F266" s="47" t="str">
        <f t="shared" si="16"/>
        <v xml:space="preserve"> </v>
      </c>
      <c r="G266" s="47" t="str">
        <f t="shared" si="16"/>
        <v xml:space="preserve"> </v>
      </c>
      <c r="H266" s="47" t="str">
        <f t="shared" si="16"/>
        <v xml:space="preserve"> </v>
      </c>
      <c r="I266" s="47" t="str">
        <f t="shared" si="16"/>
        <v xml:space="preserve"> </v>
      </c>
      <c r="J266" s="47" t="str">
        <f t="shared" si="16"/>
        <v xml:space="preserve"> </v>
      </c>
      <c r="K266" s="47" t="str">
        <f t="shared" si="16"/>
        <v xml:space="preserve"> </v>
      </c>
    </row>
    <row r="267" spans="3:11" x14ac:dyDescent="0.2">
      <c r="C267" s="88" t="s">
        <v>126</v>
      </c>
      <c r="D267" s="116">
        <f t="shared" si="16"/>
        <v>92.153788779429931</v>
      </c>
      <c r="E267" s="116">
        <f t="shared" si="16"/>
        <v>87.105563501676869</v>
      </c>
      <c r="F267" s="116">
        <f t="shared" si="16"/>
        <v>86.01044103586753</v>
      </c>
      <c r="G267" s="116">
        <f t="shared" si="16"/>
        <v>88.869788614071084</v>
      </c>
      <c r="H267" s="116">
        <f t="shared" si="16"/>
        <v>87.002444493078826</v>
      </c>
      <c r="I267" s="116">
        <f t="shared" si="16"/>
        <v>82.512298180433106</v>
      </c>
      <c r="J267" s="116">
        <f t="shared" si="16"/>
        <v>85.418576973236625</v>
      </c>
      <c r="K267" s="116">
        <f t="shared" si="16"/>
        <v>17.799523281514062</v>
      </c>
    </row>
    <row r="268" spans="3:11" x14ac:dyDescent="0.2">
      <c r="C268" s="87" t="s">
        <v>127</v>
      </c>
      <c r="D268" s="47" t="str">
        <f t="shared" si="16"/>
        <v xml:space="preserve"> </v>
      </c>
      <c r="E268" s="47" t="str">
        <f t="shared" si="16"/>
        <v xml:space="preserve"> </v>
      </c>
      <c r="F268" s="47" t="str">
        <f t="shared" si="16"/>
        <v xml:space="preserve"> </v>
      </c>
      <c r="G268" s="47" t="str">
        <f t="shared" si="16"/>
        <v xml:space="preserve"> </v>
      </c>
      <c r="H268" s="47" t="str">
        <f t="shared" si="16"/>
        <v xml:space="preserve"> </v>
      </c>
      <c r="I268" s="47" t="str">
        <f t="shared" si="16"/>
        <v xml:space="preserve"> </v>
      </c>
      <c r="J268" s="47" t="str">
        <f t="shared" si="16"/>
        <v xml:space="preserve"> </v>
      </c>
      <c r="K268" s="47" t="str">
        <f t="shared" si="16"/>
        <v xml:space="preserve"> </v>
      </c>
    </row>
    <row r="269" spans="3:11" x14ac:dyDescent="0.2">
      <c r="C269" s="88" t="s">
        <v>128</v>
      </c>
      <c r="D269" s="116">
        <f t="shared" si="16"/>
        <v>92.101877268639925</v>
      </c>
      <c r="E269" s="116">
        <f t="shared" si="16"/>
        <v>88.953738880026734</v>
      </c>
      <c r="F269" s="116">
        <f t="shared" si="16"/>
        <v>60.716796351529098</v>
      </c>
      <c r="G269" s="116">
        <f t="shared" si="16"/>
        <v>53.9888486298007</v>
      </c>
      <c r="H269" s="116">
        <f t="shared" si="16"/>
        <v>69.087716972062012</v>
      </c>
      <c r="I269" s="116">
        <f t="shared" si="16"/>
        <v>51.476186630897089</v>
      </c>
      <c r="J269" s="116">
        <f t="shared" si="16"/>
        <v>86.175047117197963</v>
      </c>
      <c r="K269" s="116">
        <f t="shared" si="16"/>
        <v>8.4474965527074133</v>
      </c>
    </row>
    <row r="270" spans="3:11" x14ac:dyDescent="0.2">
      <c r="C270" s="87" t="s">
        <v>129</v>
      </c>
      <c r="D270" s="47">
        <f t="shared" si="16"/>
        <v>83.517705163438293</v>
      </c>
      <c r="E270" s="47">
        <f t="shared" si="16"/>
        <v>89.534404706537728</v>
      </c>
      <c r="F270" s="47">
        <f t="shared" si="16"/>
        <v>71.622105362993111</v>
      </c>
      <c r="G270" s="47">
        <f t="shared" si="16"/>
        <v>87.612575853846494</v>
      </c>
      <c r="H270" s="47">
        <f t="shared" si="16"/>
        <v>81.043791179272745</v>
      </c>
      <c r="I270" s="47">
        <f t="shared" si="16"/>
        <v>79.10392083248972</v>
      </c>
      <c r="J270" s="47">
        <f t="shared" si="16"/>
        <v>88.187026547084884</v>
      </c>
      <c r="K270" s="47">
        <f t="shared" si="16"/>
        <v>16.014580234219469</v>
      </c>
    </row>
    <row r="271" spans="3:11" x14ac:dyDescent="0.2">
      <c r="C271" s="88" t="s">
        <v>130</v>
      </c>
      <c r="D271" s="116" t="str">
        <f t="shared" si="16"/>
        <v xml:space="preserve"> </v>
      </c>
      <c r="E271" s="116" t="str">
        <f t="shared" si="16"/>
        <v xml:space="preserve"> </v>
      </c>
      <c r="F271" s="116" t="str">
        <f t="shared" si="16"/>
        <v xml:space="preserve"> </v>
      </c>
      <c r="G271" s="116" t="str">
        <f t="shared" si="16"/>
        <v xml:space="preserve"> </v>
      </c>
      <c r="H271" s="116" t="str">
        <f t="shared" si="16"/>
        <v xml:space="preserve"> </v>
      </c>
      <c r="I271" s="116" t="str">
        <f t="shared" si="16"/>
        <v xml:space="preserve"> </v>
      </c>
      <c r="J271" s="116" t="str">
        <f t="shared" si="16"/>
        <v xml:space="preserve"> </v>
      </c>
      <c r="K271" s="116" t="str">
        <f t="shared" si="16"/>
        <v xml:space="preserve"> </v>
      </c>
    </row>
    <row r="272" spans="3:11" x14ac:dyDescent="0.2">
      <c r="C272" s="87" t="s">
        <v>131</v>
      </c>
      <c r="D272" s="47">
        <f t="shared" si="16"/>
        <v>83.149949091802881</v>
      </c>
      <c r="E272" s="47">
        <f t="shared" si="16"/>
        <v>63.875148878273656</v>
      </c>
      <c r="F272" s="47">
        <f t="shared" si="16"/>
        <v>62.892189216420732</v>
      </c>
      <c r="G272" s="47">
        <f t="shared" si="16"/>
        <v>70.279151152814904</v>
      </c>
      <c r="H272" s="47">
        <f t="shared" si="16"/>
        <v>75.656554031618668</v>
      </c>
      <c r="I272" s="47">
        <f t="shared" si="16"/>
        <v>76.569733276119379</v>
      </c>
      <c r="J272" s="47">
        <f t="shared" si="16"/>
        <v>72.024947134811839</v>
      </c>
      <c r="K272" s="47">
        <f t="shared" si="16"/>
        <v>13.504513087923511</v>
      </c>
    </row>
    <row r="273" spans="3:11" x14ac:dyDescent="0.2">
      <c r="C273" s="88" t="s">
        <v>132</v>
      </c>
      <c r="D273" s="116">
        <f t="shared" si="16"/>
        <v>81.719969303770327</v>
      </c>
      <c r="E273" s="116">
        <f t="shared" si="16"/>
        <v>62.790206543262215</v>
      </c>
      <c r="F273" s="116">
        <f t="shared" si="16"/>
        <v>53.556089620110328</v>
      </c>
      <c r="G273" s="116">
        <f t="shared" si="16"/>
        <v>64.131449786582834</v>
      </c>
      <c r="H273" s="116">
        <f t="shared" si="16"/>
        <v>66.789847842053192</v>
      </c>
      <c r="I273" s="116">
        <f t="shared" si="16"/>
        <v>80.933661561612354</v>
      </c>
      <c r="J273" s="116">
        <f t="shared" si="16"/>
        <v>81.522839150255237</v>
      </c>
      <c r="K273" s="116">
        <f t="shared" si="16"/>
        <v>14.826093718888933</v>
      </c>
    </row>
    <row r="274" spans="3:11" x14ac:dyDescent="0.2">
      <c r="C274" s="87" t="s">
        <v>133</v>
      </c>
      <c r="D274" s="47">
        <f t="shared" ref="D274:K283" si="17">+IFERROR(IF(D232&gt;0,+((D232/D24)*100)," "),"0")</f>
        <v>58.709761561308305</v>
      </c>
      <c r="E274" s="47">
        <f t="shared" si="17"/>
        <v>60.322017884504099</v>
      </c>
      <c r="F274" s="47">
        <f t="shared" si="17"/>
        <v>81.556845399619561</v>
      </c>
      <c r="G274" s="47">
        <f t="shared" si="17"/>
        <v>72.294930103923065</v>
      </c>
      <c r="H274" s="47">
        <f t="shared" si="17"/>
        <v>79.282548397188037</v>
      </c>
      <c r="I274" s="47">
        <f t="shared" si="17"/>
        <v>86.986187783265407</v>
      </c>
      <c r="J274" s="47">
        <f t="shared" si="17"/>
        <v>90.003200892496366</v>
      </c>
      <c r="K274" s="47">
        <f t="shared" si="17"/>
        <v>16.613162895767598</v>
      </c>
    </row>
    <row r="275" spans="3:11" x14ac:dyDescent="0.2">
      <c r="C275" s="88" t="s">
        <v>134</v>
      </c>
      <c r="D275" s="116">
        <f t="shared" si="17"/>
        <v>87.172404925204916</v>
      </c>
      <c r="E275" s="116">
        <f t="shared" si="17"/>
        <v>83.541644096687278</v>
      </c>
      <c r="F275" s="116">
        <f t="shared" si="17"/>
        <v>75.81969958774512</v>
      </c>
      <c r="G275" s="116">
        <f t="shared" si="17"/>
        <v>87.175417717567626</v>
      </c>
      <c r="H275" s="116">
        <f t="shared" si="17"/>
        <v>84.325437852919194</v>
      </c>
      <c r="I275" s="116">
        <f t="shared" si="17"/>
        <v>74.007742336080909</v>
      </c>
      <c r="J275" s="116">
        <f t="shared" si="17"/>
        <v>85.939616604657061</v>
      </c>
      <c r="K275" s="116">
        <f t="shared" si="17"/>
        <v>16.824485040773148</v>
      </c>
    </row>
    <row r="276" spans="3:11" x14ac:dyDescent="0.2">
      <c r="C276" s="87" t="s">
        <v>135</v>
      </c>
      <c r="D276" s="47" t="str">
        <f t="shared" si="17"/>
        <v xml:space="preserve"> </v>
      </c>
      <c r="E276" s="47" t="str">
        <f t="shared" si="17"/>
        <v xml:space="preserve"> </v>
      </c>
      <c r="F276" s="47" t="str">
        <f t="shared" si="17"/>
        <v xml:space="preserve"> </v>
      </c>
      <c r="G276" s="47" t="str">
        <f t="shared" si="17"/>
        <v xml:space="preserve"> </v>
      </c>
      <c r="H276" s="47" t="str">
        <f t="shared" si="17"/>
        <v xml:space="preserve"> </v>
      </c>
      <c r="I276" s="47">
        <f t="shared" si="17"/>
        <v>83.135086165299469</v>
      </c>
      <c r="J276" s="47">
        <f t="shared" si="17"/>
        <v>95.163510418747649</v>
      </c>
      <c r="K276" s="47">
        <f t="shared" si="17"/>
        <v>22.769746328827434</v>
      </c>
    </row>
    <row r="277" spans="3:11" x14ac:dyDescent="0.2">
      <c r="C277" s="88" t="s">
        <v>136</v>
      </c>
      <c r="D277" s="116">
        <f t="shared" si="17"/>
        <v>90.896261907440547</v>
      </c>
      <c r="E277" s="116">
        <f t="shared" si="17"/>
        <v>91.369191084997752</v>
      </c>
      <c r="F277" s="116">
        <f t="shared" si="17"/>
        <v>83.801577729981005</v>
      </c>
      <c r="G277" s="116">
        <f t="shared" si="17"/>
        <v>90.678483683069416</v>
      </c>
      <c r="H277" s="116">
        <f t="shared" si="17"/>
        <v>88.245961695713888</v>
      </c>
      <c r="I277" s="116">
        <f t="shared" si="17"/>
        <v>1.3009201506773242</v>
      </c>
      <c r="J277" s="116">
        <f t="shared" si="17"/>
        <v>86.041566397993051</v>
      </c>
      <c r="K277" s="116" t="str">
        <f t="shared" si="17"/>
        <v xml:space="preserve"> </v>
      </c>
    </row>
    <row r="278" spans="3:11" x14ac:dyDescent="0.2">
      <c r="C278" s="87" t="s">
        <v>137</v>
      </c>
      <c r="D278" s="47">
        <f t="shared" si="17"/>
        <v>60.981159349767907</v>
      </c>
      <c r="E278" s="47">
        <f t="shared" si="17"/>
        <v>72.019583521420543</v>
      </c>
      <c r="F278" s="47">
        <f t="shared" si="17"/>
        <v>50.404778273682972</v>
      </c>
      <c r="G278" s="47">
        <f t="shared" si="17"/>
        <v>31.859479620006653</v>
      </c>
      <c r="H278" s="47">
        <f t="shared" si="17"/>
        <v>21.544598940271626</v>
      </c>
      <c r="I278" s="47">
        <f t="shared" si="17"/>
        <v>65.378302886201539</v>
      </c>
      <c r="J278" s="47">
        <f t="shared" si="17"/>
        <v>70.337288005552153</v>
      </c>
      <c r="K278" s="47">
        <f t="shared" si="17"/>
        <v>19.619340959287129</v>
      </c>
    </row>
    <row r="279" spans="3:11" x14ac:dyDescent="0.2">
      <c r="C279" s="88" t="s">
        <v>138</v>
      </c>
      <c r="D279" s="116" t="str">
        <f t="shared" si="17"/>
        <v xml:space="preserve"> </v>
      </c>
      <c r="E279" s="116" t="str">
        <f t="shared" si="17"/>
        <v xml:space="preserve"> </v>
      </c>
      <c r="F279" s="116" t="str">
        <f t="shared" si="17"/>
        <v xml:space="preserve"> </v>
      </c>
      <c r="G279" s="116" t="str">
        <f t="shared" si="17"/>
        <v xml:space="preserve"> </v>
      </c>
      <c r="H279" s="116" t="str">
        <f t="shared" si="17"/>
        <v xml:space="preserve"> </v>
      </c>
      <c r="I279" s="116" t="str">
        <f t="shared" si="17"/>
        <v xml:space="preserve"> </v>
      </c>
      <c r="J279" s="116" t="str">
        <f t="shared" si="17"/>
        <v xml:space="preserve"> </v>
      </c>
      <c r="K279" s="116" t="str">
        <f t="shared" si="17"/>
        <v xml:space="preserve"> </v>
      </c>
    </row>
    <row r="280" spans="3:11" x14ac:dyDescent="0.2">
      <c r="C280" s="87" t="s">
        <v>160</v>
      </c>
      <c r="D280" s="47">
        <f t="shared" si="17"/>
        <v>75.479327806688616</v>
      </c>
      <c r="E280" s="47">
        <f t="shared" si="17"/>
        <v>46.544666557463714</v>
      </c>
      <c r="F280" s="47">
        <f t="shared" si="17"/>
        <v>81.201338003968417</v>
      </c>
      <c r="G280" s="47">
        <f t="shared" si="17"/>
        <v>66.924871578796342</v>
      </c>
      <c r="H280" s="47">
        <f t="shared" si="17"/>
        <v>80.724658285339757</v>
      </c>
      <c r="I280" s="47">
        <f t="shared" si="17"/>
        <v>79.905592286641962</v>
      </c>
      <c r="J280" s="47">
        <f t="shared" si="17"/>
        <v>73.785621930395692</v>
      </c>
      <c r="K280" s="47">
        <f t="shared" si="17"/>
        <v>19.402375748514242</v>
      </c>
    </row>
    <row r="281" spans="3:11" x14ac:dyDescent="0.2">
      <c r="C281" s="88" t="s">
        <v>161</v>
      </c>
      <c r="D281" s="116">
        <f t="shared" si="17"/>
        <v>87.319271517911361</v>
      </c>
      <c r="E281" s="116">
        <f t="shared" si="17"/>
        <v>86.374147929280781</v>
      </c>
      <c r="F281" s="116">
        <f t="shared" si="17"/>
        <v>75.840574567407742</v>
      </c>
      <c r="G281" s="116">
        <f t="shared" si="17"/>
        <v>72.036574110591715</v>
      </c>
      <c r="H281" s="116">
        <f t="shared" si="17"/>
        <v>54.159078492612643</v>
      </c>
      <c r="I281" s="116">
        <f t="shared" si="17"/>
        <v>69.121151961941322</v>
      </c>
      <c r="J281" s="116">
        <f t="shared" si="17"/>
        <v>81.764865878143439</v>
      </c>
      <c r="K281" s="116">
        <f t="shared" si="17"/>
        <v>12.527461572119558</v>
      </c>
    </row>
    <row r="282" spans="3:11" x14ac:dyDescent="0.2">
      <c r="C282" s="87" t="s">
        <v>140</v>
      </c>
      <c r="D282" s="47">
        <f t="shared" si="17"/>
        <v>84.438136715579532</v>
      </c>
      <c r="E282" s="47">
        <f t="shared" si="17"/>
        <v>89.72392266001674</v>
      </c>
      <c r="F282" s="47">
        <f t="shared" si="17"/>
        <v>81.009885925755057</v>
      </c>
      <c r="G282" s="47">
        <f t="shared" si="17"/>
        <v>79.355551696795828</v>
      </c>
      <c r="H282" s="47">
        <f t="shared" si="17"/>
        <v>76.840784911372864</v>
      </c>
      <c r="I282" s="47">
        <f t="shared" si="17"/>
        <v>93.815995152865767</v>
      </c>
      <c r="J282" s="47">
        <f t="shared" si="17"/>
        <v>94.663951213672732</v>
      </c>
      <c r="K282" s="47">
        <f t="shared" si="17"/>
        <v>49.567931306511646</v>
      </c>
    </row>
    <row r="283" spans="3:11" x14ac:dyDescent="0.2">
      <c r="C283" s="88" t="s">
        <v>141</v>
      </c>
      <c r="D283" s="116">
        <f t="shared" si="17"/>
        <v>75.585355593042905</v>
      </c>
      <c r="E283" s="116">
        <f t="shared" si="17"/>
        <v>48.00903998744554</v>
      </c>
      <c r="F283" s="116">
        <f t="shared" si="17"/>
        <v>55.397149126288802</v>
      </c>
      <c r="G283" s="116">
        <f t="shared" si="17"/>
        <v>49.674188679059554</v>
      </c>
      <c r="H283" s="116">
        <f t="shared" si="17"/>
        <v>39.99359372104788</v>
      </c>
      <c r="I283" s="116">
        <f t="shared" si="17"/>
        <v>95.327924796957191</v>
      </c>
      <c r="J283" s="116">
        <f t="shared" si="17"/>
        <v>87.257050927797778</v>
      </c>
      <c r="K283" s="116">
        <f t="shared" si="17"/>
        <v>16.892787640571974</v>
      </c>
    </row>
    <row r="284" spans="3:11" x14ac:dyDescent="0.2">
      <c r="C284" s="87" t="s">
        <v>142</v>
      </c>
      <c r="D284" s="47">
        <f t="shared" ref="D284:K293" si="18">+IFERROR(IF(D242&gt;0,+((D242/D34)*100)," "),"0")</f>
        <v>91.194220467760928</v>
      </c>
      <c r="E284" s="47">
        <f t="shared" si="18"/>
        <v>85.069061890269666</v>
      </c>
      <c r="F284" s="47">
        <f t="shared" si="18"/>
        <v>39.524770448325448</v>
      </c>
      <c r="G284" s="47">
        <f t="shared" si="18"/>
        <v>64.439019907725495</v>
      </c>
      <c r="H284" s="47">
        <f t="shared" si="18"/>
        <v>87.585304039849561</v>
      </c>
      <c r="I284" s="47">
        <f t="shared" si="18"/>
        <v>85.551817807498281</v>
      </c>
      <c r="J284" s="47">
        <f t="shared" si="18"/>
        <v>84.408176817400545</v>
      </c>
      <c r="K284" s="47">
        <f t="shared" si="18"/>
        <v>19.824313425592194</v>
      </c>
    </row>
    <row r="285" spans="3:11" x14ac:dyDescent="0.2">
      <c r="C285" s="88" t="s">
        <v>143</v>
      </c>
      <c r="D285" s="116">
        <f t="shared" si="18"/>
        <v>43.681880748178678</v>
      </c>
      <c r="E285" s="116">
        <f t="shared" si="18"/>
        <v>24.32455681274983</v>
      </c>
      <c r="F285" s="116">
        <f t="shared" si="18"/>
        <v>35.086537670138668</v>
      </c>
      <c r="G285" s="116">
        <f t="shared" si="18"/>
        <v>53.551141238635893</v>
      </c>
      <c r="H285" s="116">
        <f t="shared" si="18"/>
        <v>7.8253599561365812</v>
      </c>
      <c r="I285" s="116">
        <f t="shared" si="18"/>
        <v>16.643308876290313</v>
      </c>
      <c r="J285" s="116">
        <f t="shared" si="18"/>
        <v>49.498392997229644</v>
      </c>
      <c r="K285" s="116">
        <f t="shared" si="18"/>
        <v>1.353286476971207</v>
      </c>
    </row>
    <row r="286" spans="3:11" x14ac:dyDescent="0.2">
      <c r="C286" s="87" t="s">
        <v>144</v>
      </c>
      <c r="D286" s="47" t="str">
        <f t="shared" si="18"/>
        <v xml:space="preserve"> </v>
      </c>
      <c r="E286" s="47" t="str">
        <f t="shared" si="18"/>
        <v xml:space="preserve"> </v>
      </c>
      <c r="F286" s="47" t="str">
        <f t="shared" si="18"/>
        <v xml:space="preserve"> </v>
      </c>
      <c r="G286" s="47" t="str">
        <f t="shared" si="18"/>
        <v xml:space="preserve"> </v>
      </c>
      <c r="H286" s="47" t="str">
        <f t="shared" si="18"/>
        <v xml:space="preserve"> </v>
      </c>
      <c r="I286" s="47" t="str">
        <f t="shared" si="18"/>
        <v xml:space="preserve"> </v>
      </c>
      <c r="J286" s="47" t="str">
        <f t="shared" si="18"/>
        <v xml:space="preserve"> </v>
      </c>
      <c r="K286" s="47" t="str">
        <f t="shared" si="18"/>
        <v xml:space="preserve"> </v>
      </c>
    </row>
    <row r="287" spans="3:11" x14ac:dyDescent="0.2">
      <c r="C287" s="88" t="s">
        <v>145</v>
      </c>
      <c r="D287" s="116">
        <f t="shared" si="18"/>
        <v>85.913443608744672</v>
      </c>
      <c r="E287" s="116">
        <f t="shared" si="18"/>
        <v>83.453170154996542</v>
      </c>
      <c r="F287" s="116">
        <f t="shared" si="18"/>
        <v>66.547936626982334</v>
      </c>
      <c r="G287" s="116">
        <f t="shared" si="18"/>
        <v>69.999445529086771</v>
      </c>
      <c r="H287" s="116">
        <f t="shared" si="18"/>
        <v>70.415794208082218</v>
      </c>
      <c r="I287" s="116">
        <f t="shared" si="18"/>
        <v>45.349313574170367</v>
      </c>
      <c r="J287" s="116">
        <f t="shared" si="18"/>
        <v>66.88703842008583</v>
      </c>
      <c r="K287" s="116">
        <f t="shared" si="18"/>
        <v>13.408989911481283</v>
      </c>
    </row>
    <row r="288" spans="3:11" x14ac:dyDescent="0.2">
      <c r="C288" s="87" t="s">
        <v>146</v>
      </c>
      <c r="D288" s="47">
        <f t="shared" si="18"/>
        <v>89.658953878413442</v>
      </c>
      <c r="E288" s="47">
        <f t="shared" si="18"/>
        <v>62.582460209208165</v>
      </c>
      <c r="F288" s="47">
        <f t="shared" si="18"/>
        <v>94.582074629866355</v>
      </c>
      <c r="G288" s="47">
        <f t="shared" si="18"/>
        <v>94.144666786442073</v>
      </c>
      <c r="H288" s="47">
        <f t="shared" si="18"/>
        <v>88.531397362795261</v>
      </c>
      <c r="I288" s="47">
        <f t="shared" si="18"/>
        <v>88.238533134815853</v>
      </c>
      <c r="J288" s="47">
        <f t="shared" si="18"/>
        <v>87.989565937520439</v>
      </c>
      <c r="K288" s="47">
        <f t="shared" si="18"/>
        <v>26.526346439142667</v>
      </c>
    </row>
    <row r="289" spans="1:11" x14ac:dyDescent="0.2">
      <c r="C289" s="88" t="s">
        <v>162</v>
      </c>
      <c r="D289" s="116">
        <f t="shared" si="18"/>
        <v>87.087701151131526</v>
      </c>
      <c r="E289" s="116">
        <f t="shared" si="18"/>
        <v>85.069080302858382</v>
      </c>
      <c r="F289" s="116">
        <f t="shared" si="18"/>
        <v>80.686080099912786</v>
      </c>
      <c r="G289" s="116">
        <f t="shared" si="18"/>
        <v>81.073002225327627</v>
      </c>
      <c r="H289" s="116">
        <f t="shared" si="18"/>
        <v>81.036036742188159</v>
      </c>
      <c r="I289" s="116">
        <f t="shared" si="18"/>
        <v>81.348146342172186</v>
      </c>
      <c r="J289" s="116">
        <f t="shared" si="18"/>
        <v>85.307615091309145</v>
      </c>
      <c r="K289" s="116">
        <f t="shared" si="18"/>
        <v>16.076845239553958</v>
      </c>
    </row>
    <row r="290" spans="1:11" x14ac:dyDescent="0.2">
      <c r="C290" s="87" t="s">
        <v>148</v>
      </c>
      <c r="D290" s="47" t="str">
        <f t="shared" si="18"/>
        <v xml:space="preserve"> </v>
      </c>
      <c r="E290" s="47" t="str">
        <f t="shared" si="18"/>
        <v xml:space="preserve"> </v>
      </c>
      <c r="F290" s="47" t="str">
        <f t="shared" si="18"/>
        <v xml:space="preserve"> </v>
      </c>
      <c r="G290" s="47" t="str">
        <f t="shared" si="18"/>
        <v xml:space="preserve"> </v>
      </c>
      <c r="H290" s="47" t="str">
        <f t="shared" si="18"/>
        <v xml:space="preserve"> </v>
      </c>
      <c r="I290" s="47" t="str">
        <f t="shared" si="18"/>
        <v xml:space="preserve"> </v>
      </c>
      <c r="J290" s="47" t="str">
        <f t="shared" si="18"/>
        <v xml:space="preserve"> </v>
      </c>
      <c r="K290" s="47" t="str">
        <f t="shared" si="18"/>
        <v xml:space="preserve"> </v>
      </c>
    </row>
    <row r="291" spans="1:11" x14ac:dyDescent="0.2">
      <c r="C291" s="88" t="s">
        <v>149</v>
      </c>
      <c r="D291" s="116">
        <f t="shared" si="18"/>
        <v>81.483417720250898</v>
      </c>
      <c r="E291" s="116">
        <f t="shared" si="18"/>
        <v>76.939929708117191</v>
      </c>
      <c r="F291" s="116">
        <f t="shared" si="18"/>
        <v>76.558398232041526</v>
      </c>
      <c r="G291" s="116">
        <f t="shared" si="18"/>
        <v>75.271482632750619</v>
      </c>
      <c r="H291" s="116">
        <f t="shared" si="18"/>
        <v>86.433997228947916</v>
      </c>
      <c r="I291" s="116">
        <f t="shared" si="18"/>
        <v>73.855710800509939</v>
      </c>
      <c r="J291" s="116">
        <f t="shared" si="18"/>
        <v>70.046500135336686</v>
      </c>
      <c r="K291" s="116">
        <f t="shared" si="18"/>
        <v>22.814991100858105</v>
      </c>
    </row>
    <row r="292" spans="1:11" x14ac:dyDescent="0.2">
      <c r="C292" s="87" t="s">
        <v>163</v>
      </c>
      <c r="D292" s="47">
        <f t="shared" si="18"/>
        <v>86.497380275282225</v>
      </c>
      <c r="E292" s="47">
        <f t="shared" si="18"/>
        <v>90.457428525451888</v>
      </c>
      <c r="F292" s="47">
        <f t="shared" si="18"/>
        <v>88.688604362838291</v>
      </c>
      <c r="G292" s="47">
        <f t="shared" si="18"/>
        <v>92.90427077219303</v>
      </c>
      <c r="H292" s="47">
        <f t="shared" si="18"/>
        <v>91.156137651990207</v>
      </c>
      <c r="I292" s="47">
        <f t="shared" si="18"/>
        <v>89.595273580225012</v>
      </c>
      <c r="J292" s="47">
        <f t="shared" si="18"/>
        <v>86.001223399596356</v>
      </c>
      <c r="K292" s="47">
        <f t="shared" si="18"/>
        <v>14.698888528028462</v>
      </c>
    </row>
    <row r="293" spans="1:11" x14ac:dyDescent="0.2">
      <c r="C293" s="88" t="s">
        <v>150</v>
      </c>
      <c r="D293" s="116">
        <f t="shared" si="18"/>
        <v>70.519983261621306</v>
      </c>
      <c r="E293" s="116">
        <f t="shared" si="18"/>
        <v>66.495378430519523</v>
      </c>
      <c r="F293" s="116">
        <f t="shared" si="18"/>
        <v>61.22524591324585</v>
      </c>
      <c r="G293" s="116">
        <f t="shared" si="18"/>
        <v>51.356426063953506</v>
      </c>
      <c r="H293" s="116">
        <f t="shared" si="18"/>
        <v>49.486671843420048</v>
      </c>
      <c r="I293" s="116">
        <f t="shared" si="18"/>
        <v>54.825330599041131</v>
      </c>
      <c r="J293" s="116">
        <f t="shared" si="18"/>
        <v>60.058144748115126</v>
      </c>
      <c r="K293" s="116">
        <f t="shared" si="18"/>
        <v>11.903105907641429</v>
      </c>
    </row>
    <row r="294" spans="1:11" x14ac:dyDescent="0.2">
      <c r="C294" s="87" t="s">
        <v>151</v>
      </c>
      <c r="D294" s="47" t="str">
        <f t="shared" ref="D294:K294" si="19">+IFERROR(IF(D252&gt;0,+((D252/D44)*100)," "),"0")</f>
        <v xml:space="preserve"> </v>
      </c>
      <c r="E294" s="47" t="str">
        <f t="shared" si="19"/>
        <v xml:space="preserve"> </v>
      </c>
      <c r="F294" s="47" t="str">
        <f t="shared" si="19"/>
        <v xml:space="preserve"> </v>
      </c>
      <c r="G294" s="47" t="str">
        <f t="shared" si="19"/>
        <v xml:space="preserve"> </v>
      </c>
      <c r="H294" s="47" t="str">
        <f t="shared" si="19"/>
        <v xml:space="preserve"> </v>
      </c>
      <c r="I294" s="47" t="str">
        <f t="shared" si="19"/>
        <v xml:space="preserve"> </v>
      </c>
      <c r="J294" s="47" t="str">
        <f t="shared" si="19"/>
        <v xml:space="preserve"> </v>
      </c>
      <c r="K294" s="47" t="str">
        <f t="shared" si="19"/>
        <v xml:space="preserve"> </v>
      </c>
    </row>
    <row r="295" spans="1:11" x14ac:dyDescent="0.2">
      <c r="C295" s="91" t="s">
        <v>154</v>
      </c>
      <c r="D295" s="74">
        <f t="shared" ref="D295:K295" si="20">+IFERROR(IF(D253&gt;0,+((D253/D45)*100)," "),"")</f>
        <v>82.670341438140142</v>
      </c>
      <c r="E295" s="74">
        <f t="shared" si="20"/>
        <v>81.933639218844135</v>
      </c>
      <c r="F295" s="74">
        <f t="shared" si="20"/>
        <v>73.85782830262869</v>
      </c>
      <c r="G295" s="74">
        <f t="shared" si="20"/>
        <v>77.202410482155855</v>
      </c>
      <c r="H295" s="74">
        <f t="shared" si="20"/>
        <v>76.373183041277358</v>
      </c>
      <c r="I295" s="74">
        <f t="shared" si="20"/>
        <v>78.164652669208223</v>
      </c>
      <c r="J295" s="74">
        <f t="shared" si="20"/>
        <v>82.472104705990546</v>
      </c>
      <c r="K295" s="74">
        <f t="shared" si="20"/>
        <v>20.640929965161543</v>
      </c>
    </row>
    <row r="296" spans="1:11" s="31" customFormat="1" x14ac:dyDescent="0.2">
      <c r="A296" s="5"/>
      <c r="B296" s="5"/>
      <c r="C296" s="72" t="str">
        <f>+'C1 Aprop Resumen 2000-2026'!B20</f>
        <v>* Información con corte a 30 de abril</v>
      </c>
      <c r="D296" s="69"/>
      <c r="E296" s="69"/>
      <c r="F296" s="69"/>
      <c r="G296" s="69"/>
      <c r="H296" s="69"/>
      <c r="I296" s="69"/>
    </row>
    <row r="297" spans="1:11" x14ac:dyDescent="0.2">
      <c r="C297" s="1" t="s">
        <v>52</v>
      </c>
      <c r="D297" s="11"/>
    </row>
  </sheetData>
  <mergeCells count="82">
    <mergeCell ref="K220:K221"/>
    <mergeCell ref="K7:K8"/>
    <mergeCell ref="I262:I263"/>
    <mergeCell ref="G54:G55"/>
    <mergeCell ref="J262:J263"/>
    <mergeCell ref="I54:I55"/>
    <mergeCell ref="K54:K55"/>
    <mergeCell ref="D6:K6"/>
    <mergeCell ref="C12:C13"/>
    <mergeCell ref="J95:J96"/>
    <mergeCell ref="G95:G96"/>
    <mergeCell ref="D135:K135"/>
    <mergeCell ref="A6:C7"/>
    <mergeCell ref="E7:E8"/>
    <mergeCell ref="D10:K10"/>
    <mergeCell ref="F12:F13"/>
    <mergeCell ref="D95:D96"/>
    <mergeCell ref="A8:C8"/>
    <mergeCell ref="I12:I13"/>
    <mergeCell ref="K12:K13"/>
    <mergeCell ref="J54:J55"/>
    <mergeCell ref="H7:H8"/>
    <mergeCell ref="J7:J8"/>
    <mergeCell ref="C220:C221"/>
    <mergeCell ref="F54:F55"/>
    <mergeCell ref="E262:E263"/>
    <mergeCell ref="H54:H55"/>
    <mergeCell ref="G262:G263"/>
    <mergeCell ref="F137:F138"/>
    <mergeCell ref="H137:H138"/>
    <mergeCell ref="G179:G180"/>
    <mergeCell ref="F179:F180"/>
    <mergeCell ref="H179:H180"/>
    <mergeCell ref="D220:D221"/>
    <mergeCell ref="F220:F221"/>
    <mergeCell ref="D176:K176"/>
    <mergeCell ref="D262:D263"/>
    <mergeCell ref="I220:I221"/>
    <mergeCell ref="D137:D138"/>
    <mergeCell ref="C262:C263"/>
    <mergeCell ref="D259:K259"/>
    <mergeCell ref="D93:K93"/>
    <mergeCell ref="D54:D55"/>
    <mergeCell ref="E12:E13"/>
    <mergeCell ref="G12:G13"/>
    <mergeCell ref="K95:K96"/>
    <mergeCell ref="J179:J180"/>
    <mergeCell ref="C54:C55"/>
    <mergeCell ref="H220:H221"/>
    <mergeCell ref="J220:J221"/>
    <mergeCell ref="K262:K263"/>
    <mergeCell ref="G220:G221"/>
    <mergeCell ref="H262:H263"/>
    <mergeCell ref="D12:D13"/>
    <mergeCell ref="E54:E55"/>
    <mergeCell ref="D7:D8"/>
    <mergeCell ref="D2:K4"/>
    <mergeCell ref="E220:E221"/>
    <mergeCell ref="J137:J138"/>
    <mergeCell ref="F262:F263"/>
    <mergeCell ref="K179:K180"/>
    <mergeCell ref="E179:E180"/>
    <mergeCell ref="F7:F8"/>
    <mergeCell ref="G7:G8"/>
    <mergeCell ref="I7:I8"/>
    <mergeCell ref="E95:E96"/>
    <mergeCell ref="H12:H13"/>
    <mergeCell ref="J12:J13"/>
    <mergeCell ref="H95:H96"/>
    <mergeCell ref="D51:K51"/>
    <mergeCell ref="I179:I180"/>
    <mergeCell ref="C137:C138"/>
    <mergeCell ref="I95:I96"/>
    <mergeCell ref="D218:K218"/>
    <mergeCell ref="D179:D180"/>
    <mergeCell ref="F95:F96"/>
    <mergeCell ref="E137:E138"/>
    <mergeCell ref="G137:G138"/>
    <mergeCell ref="C95:C96"/>
    <mergeCell ref="C179:C180"/>
    <mergeCell ref="I137:I138"/>
    <mergeCell ref="K137:K138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79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6.5" customHeight="1" x14ac:dyDescent="0.25">
      <c r="A3" s="120"/>
      <c r="B3" s="98"/>
      <c r="C3" s="98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102" customFormat="1" ht="15" customHeight="1" x14ac:dyDescent="0.25">
      <c r="A4" s="99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15" customHeight="1" x14ac:dyDescent="0.25">
      <c r="A5" s="165" t="s">
        <v>25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5" customHeight="1" x14ac:dyDescent="0.2">
      <c r="C9" s="9"/>
      <c r="D9" s="155" t="s">
        <v>178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239.948334905*Deflactores!$A$5</f>
        <v>893.49872784359832</v>
      </c>
      <c r="E13" s="56">
        <f>236.429819511*Deflactores!$B$5</f>
        <v>817.84547793797117</v>
      </c>
      <c r="F13" s="56">
        <f>244.479754339*Deflactores!$C$5</f>
        <v>790.42605665338374</v>
      </c>
      <c r="G13" s="56">
        <f>287.346922097*Deflactores!$D$5</f>
        <v>872.38967470011494</v>
      </c>
      <c r="H13" s="56">
        <f>270.665247227*Deflactores!$E$5</f>
        <v>778.92640266133981</v>
      </c>
      <c r="I13" s="56">
        <f>289.96269958*Deflactores!$F$5</f>
        <v>795.82253505553786</v>
      </c>
      <c r="J13" s="56">
        <f>405.113899604*Deflactores!$G$5</f>
        <v>1064.2082144614637</v>
      </c>
      <c r="K13" s="56">
        <f>435.882848*Deflactores!$H$5</f>
        <v>1083.3455735389568</v>
      </c>
      <c r="L13" s="56">
        <f>744.0099*Deflactores!$I$5</f>
        <v>1717.3689348880746</v>
      </c>
      <c r="M13" s="56">
        <f>345.1489*Deflactores!$J$5</f>
        <v>781.05840854993437</v>
      </c>
      <c r="N13" s="56">
        <f>415.6007*Deflactores!$K$5</f>
        <v>911.57984314676867</v>
      </c>
      <c r="O13" s="56">
        <f>288.6703*Deflactores!$L$5</f>
        <v>610.42181718053632</v>
      </c>
      <c r="P13" s="56">
        <f>442.2660538*Deflactores!$M$5</f>
        <v>912.93946286595281</v>
      </c>
      <c r="Q13" s="56">
        <f>1416.008288392*Deflactores!$N$5</f>
        <v>2867.3422909582569</v>
      </c>
      <c r="R13" s="56">
        <f>419.795023402*Deflactores!$O$5</f>
        <v>820.0490429383035</v>
      </c>
      <c r="S13" s="56">
        <f>534.333841182*Deflactores!$P$5</f>
        <v>977.61077131342472</v>
      </c>
      <c r="T13" s="56">
        <f>531.192156513*Deflactores!$Q$5</f>
        <v>919.0191799685814</v>
      </c>
      <c r="U13" s="56">
        <f>594.493720535*Deflactores!$R$5</f>
        <v>988.12340134909471</v>
      </c>
      <c r="V13" s="56">
        <f>685.432306883*Deflactores!$S$5</f>
        <v>1104.1624148672563</v>
      </c>
    </row>
    <row r="14" spans="1:22" x14ac:dyDescent="0.2">
      <c r="C14" s="88" t="s">
        <v>124</v>
      </c>
      <c r="D14" s="57">
        <f>93.775796859*Deflactores!$A$5</f>
        <v>349.19415143768197</v>
      </c>
      <c r="E14" s="57">
        <f>97.251305587*Deflactores!$B$5</f>
        <v>336.40655253383227</v>
      </c>
      <c r="F14" s="57">
        <f>102.819736516*Deflactores!$C$5</f>
        <v>332.42588573526388</v>
      </c>
      <c r="G14" s="57">
        <f>110.4942676*Deflactores!$D$5</f>
        <v>335.46229576543578</v>
      </c>
      <c r="H14" s="57">
        <f>111.317485167*Deflactores!$E$5</f>
        <v>320.35190761567731</v>
      </c>
      <c r="I14" s="57">
        <f>118.847202884*Deflactores!$F$5</f>
        <v>326.18430722435033</v>
      </c>
      <c r="J14" s="57">
        <f>124.194613801*Deflactores!$G$5</f>
        <v>326.2512797711675</v>
      </c>
      <c r="K14" s="57">
        <f>134.082646611*Deflactores!$H$5</f>
        <v>333.2497306579383</v>
      </c>
      <c r="L14" s="57">
        <f>1053.453945815*Deflactores!$I$5</f>
        <v>2431.6465155610781</v>
      </c>
      <c r="M14" s="57">
        <f>1263.270433444*Deflactores!$J$5</f>
        <v>2858.7313890148753</v>
      </c>
      <c r="N14" s="57">
        <f>1397.872596732*Deflactores!$K$5</f>
        <v>3066.0980178044038</v>
      </c>
      <c r="O14" s="57">
        <f>1107.068853688*Deflactores!$L$5</f>
        <v>2341.0062670534594</v>
      </c>
      <c r="P14" s="57">
        <f>237.813748668*Deflactores!$M$5</f>
        <v>490.90260060810169</v>
      </c>
      <c r="Q14" s="57">
        <f>272.289069*Deflactores!$N$5</f>
        <v>551.37104020482502</v>
      </c>
      <c r="R14" s="57">
        <f>280.407476344*Deflactores!$O$5</f>
        <v>547.76228823570807</v>
      </c>
      <c r="S14" s="57">
        <f>283.911320172*Deflactores!$P$5</f>
        <v>519.44073780538145</v>
      </c>
      <c r="T14" s="57">
        <f>290.024351777*Deflactores!$Q$5</f>
        <v>501.77311293657039</v>
      </c>
      <c r="U14" s="57">
        <f>303.55378375*Deflactores!$R$5</f>
        <v>504.54460144929061</v>
      </c>
      <c r="V14" s="57">
        <f>322.619312472*Deflactores!$S$5</f>
        <v>519.7072206325156</v>
      </c>
    </row>
    <row r="15" spans="1:22" x14ac:dyDescent="0.2">
      <c r="C15" s="87" t="s">
        <v>125</v>
      </c>
      <c r="D15" s="56">
        <f>8.076027476*Deflactores!$A$5</f>
        <v>30.072808293055516</v>
      </c>
      <c r="E15" s="56">
        <f>6.037456523*Deflactores!$B$5</f>
        <v>20.884449033523573</v>
      </c>
      <c r="F15" s="56">
        <f>5.864016031*Deflactores!$C$5</f>
        <v>18.958915759987569</v>
      </c>
      <c r="G15" s="56">
        <f>6.296606322*Deflactores!$D$5</f>
        <v>19.116593631408229</v>
      </c>
      <c r="H15" s="56">
        <f>6.689113126*Deflactores!$E$5</f>
        <v>19.250076903519727</v>
      </c>
      <c r="I15" s="56">
        <f>6.715021627*Deflactores!$F$5</f>
        <v>18.429837844289747</v>
      </c>
      <c r="J15" s="56">
        <f>7.379951357*Deflactores!$G$5</f>
        <v>19.386658577063251</v>
      </c>
      <c r="K15" s="56">
        <f>8.298163276*Deflactores!$H$5</f>
        <v>20.624299613546917</v>
      </c>
      <c r="L15" s="56">
        <f>8.039089093*Deflactores!$I$5</f>
        <v>18.556314738709453</v>
      </c>
      <c r="M15" s="56">
        <f>28.940939704*Deflactores!$J$5</f>
        <v>65.492210194341766</v>
      </c>
      <c r="N15" s="56">
        <f>26.312060741*Deflactores!$K$5</f>
        <v>57.712954292783984</v>
      </c>
      <c r="O15" s="56">
        <f>10.479912615*Deflactores!$L$5</f>
        <v>22.160808723105653</v>
      </c>
      <c r="P15" s="56">
        <f>16.938482499*Deflactores!$M$5</f>
        <v>34.964946962432691</v>
      </c>
      <c r="Q15" s="56">
        <f>17.628*Deflactores!$N$5</f>
        <v>35.695772630265438</v>
      </c>
      <c r="R15" s="56">
        <f>22.785*Deflactores!$O$5</f>
        <v>44.509382917234994</v>
      </c>
      <c r="S15" s="56">
        <f>21.30448316*Deflactores!$P$5</f>
        <v>38.978426237067389</v>
      </c>
      <c r="T15" s="56">
        <f>21.872865769*Deflactores!$Q$5</f>
        <v>37.842394538627346</v>
      </c>
      <c r="U15" s="56">
        <f>23.431825456*Deflactores!$R$5</f>
        <v>38.946643622349058</v>
      </c>
      <c r="V15" s="56">
        <f>23.7000418*Deflactores!$S$5</f>
        <v>38.178380452104641</v>
      </c>
    </row>
    <row r="16" spans="1:22" x14ac:dyDescent="0.2">
      <c r="C16" s="88" t="s">
        <v>126</v>
      </c>
      <c r="D16" s="57">
        <f>156.143214566*Deflactores!$A$5</f>
        <v>581.43251392582954</v>
      </c>
      <c r="E16" s="57">
        <f>156.9940454*Deflactores!$B$5</f>
        <v>543.06546593461667</v>
      </c>
      <c r="F16" s="57">
        <f>159.196142188899*Deflactores!$C$5</f>
        <v>514.69611152472282</v>
      </c>
      <c r="G16" s="57">
        <f>162.95288252*Deflactores!$D$5</f>
        <v>494.72745744281991</v>
      </c>
      <c r="H16" s="57">
        <f>157.803685026*Deflactores!$E$5</f>
        <v>454.13091619005525</v>
      </c>
      <c r="I16" s="57">
        <f>177.998474508*Deflactores!$F$5</f>
        <v>488.52903295547077</v>
      </c>
      <c r="J16" s="57">
        <f>259.575076922*Deflactores!$G$5</f>
        <v>681.88706780953703</v>
      </c>
      <c r="K16" s="57">
        <f>248.998823052*Deflactores!$H$5</f>
        <v>618.86301332461278</v>
      </c>
      <c r="L16" s="57">
        <f>253.893415943*Deflactores!$I$5</f>
        <v>586.05223574729962</v>
      </c>
      <c r="M16" s="57">
        <f>297.85042*Deflactores!$J$5</f>
        <v>674.02380546810241</v>
      </c>
      <c r="N16" s="57">
        <f>248.149599999999*Deflactores!$K$5</f>
        <v>544.29208960651999</v>
      </c>
      <c r="O16" s="57">
        <f>378.1715*Deflactores!$L$5</f>
        <v>799.68093093016205</v>
      </c>
      <c r="P16" s="57">
        <f>507.921555731*Deflactores!$M$5</f>
        <v>1048.4676096727781</v>
      </c>
      <c r="Q16" s="57">
        <f>708.939313226*Deflactores!$N$5</f>
        <v>1435.5648135677231</v>
      </c>
      <c r="R16" s="57">
        <f>623.18542838*Deflactores!$O$5</f>
        <v>1217.3622497347615</v>
      </c>
      <c r="S16" s="57">
        <f>583.550582592*Deflactores!$P$5</f>
        <v>1067.6571296442553</v>
      </c>
      <c r="T16" s="57">
        <f>563.890997796*Deflactores!$Q$5</f>
        <v>975.59166872499236</v>
      </c>
      <c r="U16" s="57">
        <f>631.324340478*Deflactores!$R$5</f>
        <v>1049.340528115584</v>
      </c>
      <c r="V16" s="57">
        <f>591.964505489*Deflactores!$S$5</f>
        <v>953.59520018656781</v>
      </c>
    </row>
    <row r="17" spans="3:22" x14ac:dyDescent="0.2">
      <c r="C17" s="87" t="s">
        <v>127</v>
      </c>
      <c r="D17" s="56">
        <f>194.10744778*Deflactores!$A$5</f>
        <v>722.80042170354602</v>
      </c>
      <c r="E17" s="56">
        <f>198.518820268*Deflactores!$B$5</f>
        <v>686.70576231696907</v>
      </c>
      <c r="F17" s="56">
        <f>194.468797251*Deflactores!$C$5</f>
        <v>628.73592526640402</v>
      </c>
      <c r="G17" s="56">
        <f>213.374907985*Deflactores!$D$5</f>
        <v>647.80950221336832</v>
      </c>
      <c r="H17" s="56">
        <f>230.193360479*Deflactores!$E$5</f>
        <v>662.4555166628212</v>
      </c>
      <c r="I17" s="56">
        <f>243.807433626*Deflactores!$F$5</f>
        <v>669.14623906685085</v>
      </c>
      <c r="J17" s="56">
        <f>259.254682913*Deflactores!$G$5</f>
        <v>681.04541331045584</v>
      </c>
      <c r="K17" s="56">
        <f>276.467705615*Deflactores!$H$5</f>
        <v>687.13432170765668</v>
      </c>
      <c r="L17" s="56">
        <f>302.109*Deflactores!$I$5</f>
        <v>697.34638147973749</v>
      </c>
      <c r="M17" s="56">
        <f>328.419350642*Deflactores!$J$5</f>
        <v>743.20009523264696</v>
      </c>
      <c r="N17" s="56">
        <f>339.682733535*Deflactores!$K$5</f>
        <v>745.06114391891276</v>
      </c>
      <c r="O17" s="56">
        <f>353.797018673*Deflactores!$L$5</f>
        <v>748.13868642333068</v>
      </c>
      <c r="P17" s="56">
        <f>382.936160401*Deflactores!$M$5</f>
        <v>790.4688356356038</v>
      </c>
      <c r="Q17" s="56">
        <f>405.385*Deflactores!$N$5</f>
        <v>820.88329859996327</v>
      </c>
      <c r="R17" s="56">
        <f>411.6535*Deflactores!$O$5</f>
        <v>804.14497523458397</v>
      </c>
      <c r="S17" s="56">
        <f>420.938028437*Deflactores!$P$5</f>
        <v>770.1431557191637</v>
      </c>
      <c r="T17" s="56">
        <f>448.293177029*Deflactores!$Q$5</f>
        <v>775.5950890600526</v>
      </c>
      <c r="U17" s="56">
        <f>486.381577794*Deflactores!$R$5</f>
        <v>808.4274104204801</v>
      </c>
      <c r="V17" s="56">
        <f>515.535488892*Deflactores!$S$5</f>
        <v>830.47575179722003</v>
      </c>
    </row>
    <row r="18" spans="3:22" x14ac:dyDescent="0.2">
      <c r="C18" s="88" t="s">
        <v>128</v>
      </c>
      <c r="D18" s="57">
        <f>40.541004522*Deflactores!$A$5</f>
        <v>150.96306452907899</v>
      </c>
      <c r="E18" s="57">
        <f>43.467022193*Deflactores!$B$5</f>
        <v>150.35881520148322</v>
      </c>
      <c r="F18" s="57">
        <f>50.080684435*Deflactores!$C$5</f>
        <v>161.91556646269436</v>
      </c>
      <c r="G18" s="57">
        <f>54.607382254*Deflactores!$D$5</f>
        <v>165.7888523500884</v>
      </c>
      <c r="H18" s="57">
        <f>60.290253197*Deflactores!$E$5</f>
        <v>173.50461693700561</v>
      </c>
      <c r="I18" s="57">
        <f>72.18536791*Deflactores!$F$5</f>
        <v>198.11769778410226</v>
      </c>
      <c r="J18" s="57">
        <f>76.214977348*Deflactores!$G$5</f>
        <v>200.21185409342874</v>
      </c>
      <c r="K18" s="57">
        <f>86.824813281*Deflactores!$H$5</f>
        <v>215.79485766165726</v>
      </c>
      <c r="L18" s="57">
        <f>108.022563263*Deflactores!$I$5</f>
        <v>249.34425525098248</v>
      </c>
      <c r="M18" s="57">
        <f>107.519907084*Deflactores!$J$5</f>
        <v>243.31332799978748</v>
      </c>
      <c r="N18" s="57">
        <f>117.912257637*Deflactores!$K$5</f>
        <v>258.62910558576493</v>
      </c>
      <c r="O18" s="57">
        <f>123.973447429*Deflactores!$L$5</f>
        <v>262.15408049164</v>
      </c>
      <c r="P18" s="57">
        <f>155.658134943*Deflactores!$M$5</f>
        <v>321.31440540051329</v>
      </c>
      <c r="Q18" s="57">
        <f>217.11863477*Deflactores!$N$5</f>
        <v>439.65381328248031</v>
      </c>
      <c r="R18" s="57">
        <f>201.485725434*Deflactores!$O$5</f>
        <v>393.59250847920907</v>
      </c>
      <c r="S18" s="57">
        <f>220.914620246*Deflactores!$P$5</f>
        <v>404.18273305572484</v>
      </c>
      <c r="T18" s="57">
        <f>209.312406401*Deflactores!$Q$5</f>
        <v>362.13282468373524</v>
      </c>
      <c r="U18" s="57">
        <f>217.105664315*Deflactores!$R$5</f>
        <v>360.85694443001705</v>
      </c>
      <c r="V18" s="57">
        <f>261.090605027*Deflactores!$S$5</f>
        <v>420.59066964139231</v>
      </c>
    </row>
    <row r="19" spans="3:22" x14ac:dyDescent="0.2">
      <c r="C19" s="87" t="s">
        <v>129</v>
      </c>
      <c r="D19" s="56">
        <f>6187.57362266394*Deflactores!$A$5</f>
        <v>23040.748178051359</v>
      </c>
      <c r="E19" s="56">
        <f>6997.2106694965*Deflactores!$B$5</f>
        <v>24204.379617016912</v>
      </c>
      <c r="F19" s="56">
        <f>7841.53240068584*Deflactores!$C$5</f>
        <v>25352.412310589047</v>
      </c>
      <c r="G19" s="56">
        <f>9027.40786831971*Deflactores!$D$5</f>
        <v>27407.349124032644</v>
      </c>
      <c r="H19" s="56">
        <f>10288.1799500345*Deflactores!$E$5</f>
        <v>29607.550583292956</v>
      </c>
      <c r="I19" s="56">
        <f>11324.0734353806*Deflactores!$F$5</f>
        <v>31079.696945686934</v>
      </c>
      <c r="J19" s="56">
        <f>12181.6132428751*Deflactores!$G$5</f>
        <v>32000.316185478594</v>
      </c>
      <c r="K19" s="56">
        <f>13679.6631413891*Deflactores!$H$5</f>
        <v>33999.508307626507</v>
      </c>
      <c r="L19" s="56">
        <f>15203.6307694155*Deflactores!$I$5</f>
        <v>35093.945901664287</v>
      </c>
      <c r="M19" s="56">
        <f>17408.3051282613*Deflactores!$J$5</f>
        <v>39394.310974282205</v>
      </c>
      <c r="N19" s="56">
        <f>18929.4001390561*Deflactores!$K$5</f>
        <v>41519.804008085594</v>
      </c>
      <c r="O19" s="56">
        <f>20481.0950050524*Deflactores!$L$5</f>
        <v>43309.295174568673</v>
      </c>
      <c r="P19" s="56">
        <f>22045.569281997*Deflactores!$M$5</f>
        <v>45507.155717589667</v>
      </c>
      <c r="Q19" s="56">
        <f>23554.215146291*Deflactores!$N$5</f>
        <v>47696.046536553091</v>
      </c>
      <c r="R19" s="56">
        <f>24658.7790661103*Deflactores!$O$5</f>
        <v>48169.718662497326</v>
      </c>
      <c r="S19" s="56">
        <f>25842.5158529113*Deflactores!$P$5</f>
        <v>47281.156289404571</v>
      </c>
      <c r="T19" s="56">
        <f>27872.7143658875*Deflactores!$Q$5</f>
        <v>48222.773597014755</v>
      </c>
      <c r="U19" s="56">
        <f>28980.4871029345*Deflactores!$R$5</f>
        <v>48169.2177726195</v>
      </c>
      <c r="V19" s="56">
        <f>30604.9008965486*Deflactores!$S$5</f>
        <v>49301.413051828065</v>
      </c>
    </row>
    <row r="20" spans="3:22" x14ac:dyDescent="0.2">
      <c r="C20" s="88" t="s">
        <v>130</v>
      </c>
      <c r="D20" s="57">
        <f>7.040751078*Deflactores!$A$5</f>
        <v>26.217736137852881</v>
      </c>
      <c r="E20" s="57">
        <f>7.033691301*Deflactores!$B$5</f>
        <v>24.330571480501675</v>
      </c>
      <c r="F20" s="57">
        <f>8.038457759*Deflactores!$C$5</f>
        <v>25.989090528988605</v>
      </c>
      <c r="G20" s="57">
        <f>7.032426302*Deflactores!$D$5</f>
        <v>21.350554407133369</v>
      </c>
      <c r="H20" s="57">
        <f>8.579946332*Deflactores!$E$5</f>
        <v>24.691558298975615</v>
      </c>
      <c r="I20" s="57">
        <f>8.770015362*Deflactores!$F$5</f>
        <v>24.069909226159826</v>
      </c>
      <c r="J20" s="57">
        <f>9.301780708*Deflactores!$G$5</f>
        <v>24.435180941086205</v>
      </c>
      <c r="K20" s="57">
        <f>9.830843245*Deflactores!$H$5</f>
        <v>24.433630647531476</v>
      </c>
      <c r="L20" s="57">
        <f>10.568003343*Deflactores!$I$5</f>
        <v>24.393708531380462</v>
      </c>
      <c r="M20" s="57">
        <f>11.110079229*Deflactores!$J$5</f>
        <v>25.141673061876833</v>
      </c>
      <c r="N20" s="57">
        <f>14.490858386*Deflactores!$K$5</f>
        <v>31.784292987408143</v>
      </c>
      <c r="O20" s="57">
        <f>12.192414686*Deflactores!$L$5</f>
        <v>25.782063234239121</v>
      </c>
      <c r="P20" s="57">
        <f>20.479986817*Deflactores!$M$5</f>
        <v>42.275431278451371</v>
      </c>
      <c r="Q20" s="57">
        <f>24.652914916*Deflactores!$N$5</f>
        <v>49.920855770071213</v>
      </c>
      <c r="R20" s="57">
        <f>25.257295687*Deflactores!$O$5</f>
        <v>49.338891603533504</v>
      </c>
      <c r="S20" s="57">
        <f>28.6916633*Deflactores!$P$5</f>
        <v>52.493922202139139</v>
      </c>
      <c r="T20" s="57">
        <f>63.544100396*Deflactores!$Q$5</f>
        <v>109.93808233375887</v>
      </c>
      <c r="U20" s="57">
        <f>56.405723673*Deflactores!$R$5</f>
        <v>93.753413376955166</v>
      </c>
      <c r="V20" s="57">
        <f>38.074689811*Deflactores!$S$5</f>
        <v>61.334490692764511</v>
      </c>
    </row>
    <row r="21" spans="3:22" x14ac:dyDescent="0.2">
      <c r="C21" s="87" t="s">
        <v>131</v>
      </c>
      <c r="D21" s="56">
        <f>5026.784184154*Deflactores!$A$5</f>
        <v>18718.301485460019</v>
      </c>
      <c r="E21" s="56">
        <f>7520.5951337695*Deflactores!$B$5</f>
        <v>26014.843365684392</v>
      </c>
      <c r="F21" s="56">
        <f>8475.066225064*Deflactores!$C$5</f>
        <v>27400.686794149762</v>
      </c>
      <c r="G21" s="56">
        <f>9908.728394185*Deflactores!$D$5</f>
        <v>30083.051794711024</v>
      </c>
      <c r="H21" s="56">
        <f>11169.727989218*Deflactores!$E$5</f>
        <v>32144.488923066128</v>
      </c>
      <c r="I21" s="56">
        <f>11996.112239753*Deflactores!$F$5</f>
        <v>32924.153580026476</v>
      </c>
      <c r="J21" s="56">
        <f>12913.102755517*Deflactores!$G$5</f>
        <v>33921.892188935562</v>
      </c>
      <c r="K21" s="56">
        <f>13738.101093922*Deflactores!$H$5</f>
        <v>34144.750308989212</v>
      </c>
      <c r="L21" s="56">
        <f>15421.91419892*Deflactores!$I$5</f>
        <v>35597.800999334169</v>
      </c>
      <c r="M21" s="56">
        <f>17870.245389914*Deflactores!$J$5</f>
        <v>40439.663648480491</v>
      </c>
      <c r="N21" s="56">
        <f>19823.485249836*Deflactores!$K$5</f>
        <v>43480.893017427021</v>
      </c>
      <c r="O21" s="56">
        <f>20824.423398305*Deflactores!$L$5</f>
        <v>44035.296920154986</v>
      </c>
      <c r="P21" s="56">
        <f>22161.411308599*Deflactores!$M$5</f>
        <v>45746.28046305602</v>
      </c>
      <c r="Q21" s="56">
        <f>23706.115138524*Deflactores!$N$5</f>
        <v>48003.636029705362</v>
      </c>
      <c r="R21" s="56">
        <f>25028.472035817*Deflactores!$O$5</f>
        <v>48891.895794403645</v>
      </c>
      <c r="S21" s="56">
        <f>26600.009693647*Deflactores!$P$5</f>
        <v>48667.057912757977</v>
      </c>
      <c r="T21" s="56">
        <f>29014.320625397*Deflactores!$Q$5</f>
        <v>50197.874387938697</v>
      </c>
      <c r="U21" s="56">
        <f>32320.775716977*Deflactores!$R$5</f>
        <v>53721.197941266226</v>
      </c>
      <c r="V21" s="56">
        <f>34817.577163403*Deflactores!$S$5</f>
        <v>56087.610249063357</v>
      </c>
    </row>
    <row r="22" spans="3:22" x14ac:dyDescent="0.2">
      <c r="C22" s="88" t="s">
        <v>132</v>
      </c>
      <c r="D22" s="57">
        <f>31.422493772*Deflactores!$A$5</f>
        <v>117.00834774315557</v>
      </c>
      <c r="E22" s="57">
        <f>32.852223326*Deflactores!$B$5</f>
        <v>113.64066657474814</v>
      </c>
      <c r="F22" s="57">
        <f>36.01638912*Deflactores!$C$5</f>
        <v>116.4443759524594</v>
      </c>
      <c r="G22" s="57">
        <f>36.593676*Deflactores!$D$5</f>
        <v>111.0989631235542</v>
      </c>
      <c r="H22" s="57">
        <f>37.3799408*Deflactores!$E$5</f>
        <v>107.572815931625</v>
      </c>
      <c r="I22" s="57">
        <f>35.163247233*Deflactores!$F$5</f>
        <v>96.507946002310049</v>
      </c>
      <c r="J22" s="57">
        <f>54.620066*Deflactores!$G$5</f>
        <v>143.48340792169</v>
      </c>
      <c r="K22" s="57">
        <f>77.19488*Deflactores!$H$5</f>
        <v>191.86056971865739</v>
      </c>
      <c r="L22" s="57">
        <f>71.574404135*Deflactores!$I$5</f>
        <v>165.21239595679245</v>
      </c>
      <c r="M22" s="57">
        <f>97.87242932*Deflactores!$J$5</f>
        <v>221.48146462467395</v>
      </c>
      <c r="N22" s="57">
        <f>71.045738801*Deflactores!$K$5</f>
        <v>155.83194020717931</v>
      </c>
      <c r="O22" s="57">
        <f>71.982737*Deflactores!$L$5</f>
        <v>152.2145961159448</v>
      </c>
      <c r="P22" s="57">
        <f>71.616626908*Deflactores!$M$5</f>
        <v>147.83328799462308</v>
      </c>
      <c r="Q22" s="57">
        <f>101.356571*Deflactores!$N$5</f>
        <v>205.24172413202606</v>
      </c>
      <c r="R22" s="57">
        <f>101.251424*Deflactores!$O$5</f>
        <v>197.7897038284537</v>
      </c>
      <c r="S22" s="57">
        <f>99.062634343*Deflactores!$P$5</f>
        <v>181.24380472359715</v>
      </c>
      <c r="T22" s="57">
        <f>81.586214126*Deflactores!$Q$5</f>
        <v>141.15286659166367</v>
      </c>
      <c r="U22" s="57">
        <f>83.18253012*Deflactores!$R$5</f>
        <v>138.259836489154</v>
      </c>
      <c r="V22" s="57">
        <f>89.387012919*Deflactores!$S$5</f>
        <v>143.99347543339667</v>
      </c>
    </row>
    <row r="23" spans="3:22" x14ac:dyDescent="0.2">
      <c r="C23" s="87" t="s">
        <v>133</v>
      </c>
      <c r="D23" s="56">
        <f>618.551344317*Deflactores!$A$5</f>
        <v>2303.3076660940419</v>
      </c>
      <c r="E23" s="56">
        <f>634.01750337026*Deflactores!$B$5</f>
        <v>2193.1596832300788</v>
      </c>
      <c r="F23" s="56">
        <f>675.732500803*Deflactores!$C$5</f>
        <v>2184.7067762577553</v>
      </c>
      <c r="G23" s="56">
        <f>707.142005621*Deflactores!$D$5</f>
        <v>2146.8940044614164</v>
      </c>
      <c r="H23" s="56">
        <f>751.266400265*Deflactores!$E$5</f>
        <v>2162.0109733111553</v>
      </c>
      <c r="I23" s="56">
        <f>828.06493908984*Deflactores!$F$5</f>
        <v>2272.6810723296899</v>
      </c>
      <c r="J23" s="56">
        <f>911.05842762684*Deflactores!$G$5</f>
        <v>2393.2920185719909</v>
      </c>
      <c r="K23" s="56">
        <f>1031.14874083732*Deflactores!$H$5</f>
        <v>2562.8226234916669</v>
      </c>
      <c r="L23" s="56">
        <f>1192.048836764*Deflactores!$I$5</f>
        <v>2751.5596783429351</v>
      </c>
      <c r="M23" s="56">
        <f>1378.522764643*Deflactores!$J$5</f>
        <v>3119.5428891759971</v>
      </c>
      <c r="N23" s="56">
        <f>1509.187595966*Deflactores!$K$5</f>
        <v>3310.2566766844593</v>
      </c>
      <c r="O23" s="56">
        <f>1597.482917926*Deflactores!$L$5</f>
        <v>3378.0351691021015</v>
      </c>
      <c r="P23" s="56">
        <f>1910.294646491*Deflactores!$M$5</f>
        <v>3943.2901383651229</v>
      </c>
      <c r="Q23" s="56">
        <f>2132.731411004*Deflactores!$N$5</f>
        <v>4318.6689090437922</v>
      </c>
      <c r="R23" s="56">
        <f>2542.889408243*Deflactores!$O$5</f>
        <v>4967.4100674860119</v>
      </c>
      <c r="S23" s="56">
        <f>2856.432446261*Deflactores!$P$5</f>
        <v>5226.0944596297049</v>
      </c>
      <c r="T23" s="56">
        <f>3065.102315878*Deflactores!$Q$5</f>
        <v>5302.9544625609715</v>
      </c>
      <c r="U23" s="56">
        <f>3269.505813905*Deflactores!$R$5</f>
        <v>5434.3302443280354</v>
      </c>
      <c r="V23" s="56">
        <f>3606.506133438*Deflactores!$S$5</f>
        <v>5809.7181611403239</v>
      </c>
    </row>
    <row r="24" spans="3:22" x14ac:dyDescent="0.2">
      <c r="C24" s="88" t="s">
        <v>134</v>
      </c>
      <c r="D24" s="57">
        <f>6486.02480785699*Deflactores!$A$5</f>
        <v>24152.094728545166</v>
      </c>
      <c r="E24" s="57">
        <f>5445.334890651*Deflactores!$B$5</f>
        <v>18836.213322785108</v>
      </c>
      <c r="F24" s="57">
        <f>5334.51245670099*Deflactores!$C$5</f>
        <v>17246.980866447499</v>
      </c>
      <c r="G24" s="57">
        <f>4044.375214605*Deflactores!$D$5</f>
        <v>12278.785351469403</v>
      </c>
      <c r="H24" s="57">
        <f>4936.32871992*Deflactores!$E$5</f>
        <v>14205.875381320782</v>
      </c>
      <c r="I24" s="57">
        <f>5612.83497033302*Deflactores!$F$5</f>
        <v>15404.810899501277</v>
      </c>
      <c r="J24" s="57">
        <f>5629.93768181802*Deflactores!$G$5</f>
        <v>14789.484966458824</v>
      </c>
      <c r="K24" s="57">
        <f>6824.14888976918*Deflactores!$H$5</f>
        <v>16960.776334337952</v>
      </c>
      <c r="L24" s="57">
        <f>7297.762510033*Deflactores!$I$5</f>
        <v>16845.139599515402</v>
      </c>
      <c r="M24" s="57">
        <f>7702.337225002*Deflactores!$J$5</f>
        <v>17430.086710619616</v>
      </c>
      <c r="N24" s="57">
        <f>8671.215414589*Deflactores!$K$5</f>
        <v>19019.470341418775</v>
      </c>
      <c r="O24" s="57">
        <f>7146.106467995*Deflactores!$L$5</f>
        <v>15111.146854938286</v>
      </c>
      <c r="P24" s="57">
        <f>7727.038565345*Deflactores!$M$5</f>
        <v>15950.395416467225</v>
      </c>
      <c r="Q24" s="57">
        <f>11758.37042017*Deflactores!$N$5</f>
        <v>23810.081519220952</v>
      </c>
      <c r="R24" s="57">
        <f>14554.090101597*Deflactores!$O$5</f>
        <v>28430.703065346515</v>
      </c>
      <c r="S24" s="57">
        <f>15074.9257115278*Deflactores!$P$5</f>
        <v>27580.902829846305</v>
      </c>
      <c r="T24" s="57">
        <f>16632.9407636171*Deflactores!$Q$5</f>
        <v>28776.764478959849</v>
      </c>
      <c r="U24" s="57">
        <f>19672.099514363*Deflactores!$R$5</f>
        <v>32697.505814387874</v>
      </c>
      <c r="V24" s="57">
        <f>11429.235615251*Deflactores!$S$5</f>
        <v>18411.347510610587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144.146299941*Deflactores!$A$5</f>
        <v>536.75944728533921</v>
      </c>
      <c r="E26" s="57">
        <f>148.154102043*Deflactores!$B$5</f>
        <v>512.48680324856787</v>
      </c>
      <c r="F26" s="57">
        <f>167.268442622*Deflactores!$C$5</f>
        <v>540.79461860441359</v>
      </c>
      <c r="G26" s="57">
        <f>154.287524551*Deflactores!$D$5</f>
        <v>468.41929738121996</v>
      </c>
      <c r="H26" s="57">
        <f>157.962922181*Deflactores!$E$5</f>
        <v>454.58917237767048</v>
      </c>
      <c r="I26" s="57">
        <f>165.1148480762*Deflactores!$F$5</f>
        <v>453.16903574715809</v>
      </c>
      <c r="J26" s="57">
        <f>353.340006887*Deflactores!$G$5</f>
        <v>928.20152108970683</v>
      </c>
      <c r="K26" s="57">
        <f>270.279663512*Deflactores!$H$5</f>
        <v>671.75452860059295</v>
      </c>
      <c r="L26" s="57">
        <f>358.368026*Deflactores!$I$5</f>
        <v>827.20688946418829</v>
      </c>
      <c r="M26" s="57">
        <f>551.075084637*Deflactores!$J$5</f>
        <v>1247.061278764312</v>
      </c>
      <c r="N26" s="57">
        <f>673.216515967*Deflactores!$K$5</f>
        <v>1476.6351597314726</v>
      </c>
      <c r="O26" s="57">
        <f>883.339490416*Deflactores!$L$5</f>
        <v>1867.9084648717364</v>
      </c>
      <c r="P26" s="57">
        <f>1447.981250636*Deflactores!$M$5</f>
        <v>2988.9683231112149</v>
      </c>
      <c r="Q26" s="57">
        <f>1218.125764988*Deflactores!$N$5</f>
        <v>2466.6405912230425</v>
      </c>
      <c r="R26" s="57">
        <f>1232.609347583*Deflactores!$O$5</f>
        <v>2407.8420644693856</v>
      </c>
      <c r="S26" s="57">
        <f>1186.205306827*Deflactores!$P$5</f>
        <v>2170.2669671416761</v>
      </c>
      <c r="T26" s="57">
        <f>1279.714731073*Deflactores!$Q$5</f>
        <v>2214.0432013619907</v>
      </c>
      <c r="U26" s="57">
        <f>1234.879973194*Deflactores!$R$5</f>
        <v>2052.5259682679794</v>
      </c>
      <c r="V26" s="57">
        <f>1464.824396191*Deflactores!$S$5</f>
        <v>2359.6845763075594</v>
      </c>
    </row>
    <row r="27" spans="3:22" x14ac:dyDescent="0.2">
      <c r="C27" s="87" t="s">
        <v>137</v>
      </c>
      <c r="D27" s="56">
        <f>42.630070512*Deflactores!$A$5</f>
        <v>158.7421466601775</v>
      </c>
      <c r="E27" s="56">
        <f>40.540950358*Deflactores!$B$5</f>
        <v>140.23710287549184</v>
      </c>
      <c r="F27" s="56">
        <f>41.811278342*Deflactores!$C$5</f>
        <v>135.17979823261004</v>
      </c>
      <c r="G27" s="56">
        <f>42.84058866*Deflactores!$D$5</f>
        <v>130.0646860328734</v>
      </c>
      <c r="H27" s="56">
        <f>45.372996918*Deflactores!$E$5</f>
        <v>130.57540866212935</v>
      </c>
      <c r="I27" s="56">
        <f>46.762557228*Deflactores!$F$5</f>
        <v>128.34304858097511</v>
      </c>
      <c r="J27" s="56">
        <f>48.206091336*Deflactores!$G$5</f>
        <v>126.6343081217356</v>
      </c>
      <c r="K27" s="56">
        <f>50.1282754*Deflactores!$H$5</f>
        <v>124.58908514732788</v>
      </c>
      <c r="L27" s="56">
        <f>52.7764*Deflactores!$I$5</f>
        <v>121.82169868334681</v>
      </c>
      <c r="M27" s="56">
        <f>59.564371*Deflactores!$J$5</f>
        <v>134.79183279893942</v>
      </c>
      <c r="N27" s="56">
        <f>59.1518453*Deflactores!$K$5</f>
        <v>129.74383792042678</v>
      </c>
      <c r="O27" s="56">
        <f>60.537936856*Deflactores!$L$5</f>
        <v>128.01343755834972</v>
      </c>
      <c r="P27" s="56">
        <f>115.605258354*Deflactores!$M$5</f>
        <v>238.63600102102268</v>
      </c>
      <c r="Q27" s="56">
        <f>155.918988071*Deflactores!$N$5</f>
        <v>315.72774829382143</v>
      </c>
      <c r="R27" s="56">
        <f>135.84*Deflactores!$O$5</f>
        <v>265.35679506154054</v>
      </c>
      <c r="S27" s="56">
        <f>131.518478365*Deflactores!$P$5</f>
        <v>240.62462671643124</v>
      </c>
      <c r="T27" s="56">
        <f>139.04514374*Deflactores!$Q$5</f>
        <v>240.56295337150934</v>
      </c>
      <c r="U27" s="56">
        <f>148.644735382*Deflactores!$R$5</f>
        <v>247.06626234187556</v>
      </c>
      <c r="V27" s="56">
        <f>155.765921267*Deflactores!$S$5</f>
        <v>250.92321160396025</v>
      </c>
    </row>
    <row r="28" spans="3:22" x14ac:dyDescent="0.2">
      <c r="C28" s="88" t="s">
        <v>138</v>
      </c>
      <c r="D28" s="57">
        <f>153.507405215*Deflactores!$A$5</f>
        <v>571.61751644777166</v>
      </c>
      <c r="E28" s="57">
        <f>169.250975*Deflactores!$B$5</f>
        <v>585.46398600072746</v>
      </c>
      <c r="F28" s="57">
        <f>182.675889679*Deflactores!$C$5</f>
        <v>590.60834511639882</v>
      </c>
      <c r="G28" s="57">
        <f>199.366316278*Deflactores!$D$5</f>
        <v>605.27920234765054</v>
      </c>
      <c r="H28" s="57">
        <f>225.85680243*Deflactores!$E$5</f>
        <v>649.97567451224484</v>
      </c>
      <c r="I28" s="57">
        <f>246.28378301828*Deflactores!$F$5</f>
        <v>675.94274997636444</v>
      </c>
      <c r="J28" s="57">
        <f>268.148516*Deflactores!$G$5</f>
        <v>704.40894203283858</v>
      </c>
      <c r="K28" s="57">
        <f>270.013713421*Deflactores!$H$5</f>
        <v>671.09353481478752</v>
      </c>
      <c r="L28" s="57">
        <f>313.912564*Deflactores!$I$5</f>
        <v>724.59208632124989</v>
      </c>
      <c r="M28" s="57">
        <f>315.182705452*Deflactores!$J$5</f>
        <v>713.24608689989111</v>
      </c>
      <c r="N28" s="57">
        <f>330.428525286*Deflactores!$K$5</f>
        <v>724.76293531610986</v>
      </c>
      <c r="O28" s="57">
        <f>319.171607793*Deflactores!$L$5</f>
        <v>674.91984045964023</v>
      </c>
      <c r="P28" s="57">
        <f>145.534705*Deflactores!$M$5</f>
        <v>300.41730372355994</v>
      </c>
      <c r="Q28" s="57">
        <f>186.83917618*Deflactores!$N$5</f>
        <v>378.33950257246346</v>
      </c>
      <c r="R28" s="57">
        <f>145.204945*Deflactores!$O$5</f>
        <v>283.65075701035977</v>
      </c>
      <c r="S28" s="57">
        <f>65.081073188*Deflactores!$P$5</f>
        <v>119.0715490085441</v>
      </c>
      <c r="T28" s="57">
        <f>83.6825*Deflactores!$Q$5</f>
        <v>144.77966510757145</v>
      </c>
      <c r="U28" s="57">
        <f>84.964*Deflactores!$R$5</f>
        <v>141.22086368998367</v>
      </c>
      <c r="V28" s="57">
        <f>88.922007596*Deflactores!$S$5</f>
        <v>143.24439868983802</v>
      </c>
    </row>
    <row r="29" spans="3:22" x14ac:dyDescent="0.2">
      <c r="C29" s="87" t="s">
        <v>139</v>
      </c>
      <c r="D29" s="56">
        <f>476.329499684*Deflactores!$A$5</f>
        <v>1773.714338007532</v>
      </c>
      <c r="E29" s="56">
        <f>616.281723287*Deflactores!$B$5</f>
        <v>2131.8090144828075</v>
      </c>
      <c r="F29" s="56">
        <f>589.103984641*Deflactores!$C$5</f>
        <v>1904.6286298738341</v>
      </c>
      <c r="G29" s="56">
        <f>663.377193682*Deflactores!$D$5</f>
        <v>2014.0233623395306</v>
      </c>
      <c r="H29" s="56">
        <f>734.618169915199*Deflactores!$E$5</f>
        <v>2114.1003297767375</v>
      </c>
      <c r="I29" s="56">
        <f>860.15850491072*Deflactores!$F$5</f>
        <v>2360.7640669615489</v>
      </c>
      <c r="J29" s="56">
        <f>1091.26380799767*Deflactores!$G$5</f>
        <v>2866.6799874080434</v>
      </c>
      <c r="K29" s="56">
        <f>970.08819957216*Deflactores!$H$5</f>
        <v>2411.062425995885</v>
      </c>
      <c r="L29" s="56">
        <f>1031.729047124*Deflactores!$I$5</f>
        <v>2381.4997821298243</v>
      </c>
      <c r="M29" s="56">
        <f>1471.814044389*Deflactores!$J$5</f>
        <v>3330.6573921919344</v>
      </c>
      <c r="N29" s="56">
        <f>2611.42199737317*Deflactores!$K$5</f>
        <v>5727.9009750355463</v>
      </c>
      <c r="O29" s="56">
        <f>2553.626700902*Deflactores!$L$5</f>
        <v>5399.8954903408367</v>
      </c>
      <c r="P29" s="56">
        <f>2184.00831725789*Deflactores!$M$5</f>
        <v>4508.2984844092316</v>
      </c>
      <c r="Q29" s="56">
        <f>2645.094286815*Deflactores!$N$5</f>
        <v>5356.1767782937568</v>
      </c>
      <c r="R29" s="56">
        <f>2868.0913758684*Deflactores!$O$5</f>
        <v>5602.6762032102688</v>
      </c>
      <c r="S29" s="56">
        <f>2755.547428387*Deflactores!$P$5</f>
        <v>5041.5164439090486</v>
      </c>
      <c r="T29" s="56">
        <f>2761.183211775*Deflactores!$Q$5</f>
        <v>4777.1419436732049</v>
      </c>
      <c r="U29" s="56">
        <f>3034.27212175826*Deflactores!$R$5</f>
        <v>5043.3422355955554</v>
      </c>
      <c r="V29" s="56">
        <f>3358.088399294*Deflactores!$S$5</f>
        <v>5409.5422101764134</v>
      </c>
    </row>
    <row r="30" spans="3:22" x14ac:dyDescent="0.2">
      <c r="C30" s="88" t="s">
        <v>140</v>
      </c>
      <c r="D30" s="57">
        <f>113.479038322*Deflactores!$A$5</f>
        <v>422.56336730890615</v>
      </c>
      <c r="E30" s="57">
        <f>103.954361463*Deflactores!$B$5</f>
        <v>359.59340750792359</v>
      </c>
      <c r="F30" s="57">
        <f>117.556751533*Deflactores!$C$5</f>
        <v>380.07204235965639</v>
      </c>
      <c r="G30" s="57">
        <f>88.541694921*Deflactores!$D$5</f>
        <v>268.81394749533132</v>
      </c>
      <c r="H30" s="57">
        <f>2382.397647511*Deflactores!$E$5</f>
        <v>6856.1163588476629</v>
      </c>
      <c r="I30" s="57">
        <f>2148.576253886*Deflactores!$F$5</f>
        <v>5896.9150294309984</v>
      </c>
      <c r="J30" s="57">
        <f>224.735596033*Deflactores!$G$5</f>
        <v>590.36598747660025</v>
      </c>
      <c r="K30" s="57">
        <f>158.462942*Deflactores!$H$5</f>
        <v>393.84464787579907</v>
      </c>
      <c r="L30" s="57">
        <f>133.8311*Deflactores!$I$5</f>
        <v>308.91709056814886</v>
      </c>
      <c r="M30" s="57">
        <f>133.9316*Deflactores!$J$5</f>
        <v>303.0819520228701</v>
      </c>
      <c r="N30" s="57">
        <f>984.565636397*Deflactores!$K$5</f>
        <v>2159.5492702357715</v>
      </c>
      <c r="O30" s="57">
        <f>739.4337*Deflactores!$L$5</f>
        <v>1563.6054794640374</v>
      </c>
      <c r="P30" s="57">
        <f>225.867848339*Deflactores!$M$5</f>
        <v>466.24349838647998</v>
      </c>
      <c r="Q30" s="57">
        <f>363.986864*Deflactores!$N$5</f>
        <v>737.05425106349833</v>
      </c>
      <c r="R30" s="57">
        <f>493.70511651063*Deflactores!$O$5</f>
        <v>964.42879433705275</v>
      </c>
      <c r="S30" s="57">
        <f>780.217987245*Deflactores!$P$5</f>
        <v>1427.4774485851651</v>
      </c>
      <c r="T30" s="57">
        <f>577.577387253*Deflactores!$Q$5</f>
        <v>999.27058465265065</v>
      </c>
      <c r="U30" s="57">
        <f>713.480833939*Deflactores!$R$5</f>
        <v>1185.8949625148935</v>
      </c>
      <c r="V30" s="57">
        <f>662.694158987*Deflactores!$S$5</f>
        <v>1067.533548619868</v>
      </c>
    </row>
    <row r="31" spans="3:22" x14ac:dyDescent="0.2">
      <c r="C31" s="87" t="s">
        <v>141</v>
      </c>
      <c r="D31" s="56">
        <f>373.354260334*Deflactores!$A$5</f>
        <v>1390.2641032099336</v>
      </c>
      <c r="E31" s="56">
        <f>365.651269198*Deflactores!$B$5</f>
        <v>1264.8414554237345</v>
      </c>
      <c r="F31" s="56">
        <f>393.977807932*Deflactores!$C$5</f>
        <v>1273.767334945976</v>
      </c>
      <c r="G31" s="56">
        <f>405.628212574*Deflactores!$D$5</f>
        <v>1231.4934916796012</v>
      </c>
      <c r="H31" s="56">
        <f>463.035734381*Deflactores!$E$5</f>
        <v>1332.5344224283019</v>
      </c>
      <c r="I31" s="56">
        <f>479.169613397*Deflactores!$F$5</f>
        <v>1315.113899158514</v>
      </c>
      <c r="J31" s="56">
        <f>537.39267685*Deflactores!$G$5</f>
        <v>1411.6960727692547</v>
      </c>
      <c r="K31" s="56">
        <f>599.535879961*Deflactores!$H$5</f>
        <v>1490.0896989035289</v>
      </c>
      <c r="L31" s="56">
        <f>688.684012058*Deflactores!$I$5</f>
        <v>1589.6623529639774</v>
      </c>
      <c r="M31" s="56">
        <f>782.002638691*Deflactores!$J$5</f>
        <v>1769.6412662993907</v>
      </c>
      <c r="N31" s="56">
        <f>889.755587581*Deflactores!$K$5</f>
        <v>1951.5926199499879</v>
      </c>
      <c r="O31" s="56">
        <f>912.019430689*Deflactores!$L$5</f>
        <v>1928.5550269118007</v>
      </c>
      <c r="P31" s="56">
        <f>1101.405533718*Deflactores!$M$5</f>
        <v>2273.5558556000101</v>
      </c>
      <c r="Q31" s="56">
        <f>1207.608646431*Deflactores!$N$5</f>
        <v>2445.3439794272508</v>
      </c>
      <c r="R31" s="56">
        <f>1326.812165225*Deflactores!$O$5</f>
        <v>2591.8626605769227</v>
      </c>
      <c r="S31" s="56">
        <f>1392.00306612468*Deflactores!$P$5</f>
        <v>2546.7920731625236</v>
      </c>
      <c r="T31" s="56">
        <f>1492.533810772*Deflactores!$Q$5</f>
        <v>2582.2429454820008</v>
      </c>
      <c r="U31" s="56">
        <f>1550.074898198*Deflactores!$R$5</f>
        <v>2576.4196119260523</v>
      </c>
      <c r="V31" s="56">
        <f>1662.073255797*Deflactores!$S$5</f>
        <v>2677.4326237300597</v>
      </c>
    </row>
    <row r="32" spans="3:22" x14ac:dyDescent="0.2">
      <c r="C32" s="88" t="s">
        <v>142</v>
      </c>
      <c r="D32" s="57">
        <f>41.134605612*Deflactores!$A$5</f>
        <v>153.17346460946112</v>
      </c>
      <c r="E32" s="57">
        <f>43.225514813*Deflactores!$B$5</f>
        <v>149.52340569590493</v>
      </c>
      <c r="F32" s="57">
        <f>47.388501207*Deflactores!$C$5</f>
        <v>153.21148469342958</v>
      </c>
      <c r="G32" s="57">
        <f>48.113432266*Deflactores!$D$5</f>
        <v>146.0731203136836</v>
      </c>
      <c r="H32" s="57">
        <f>57.39658867*Deflactores!$E$5</f>
        <v>165.17716550533174</v>
      </c>
      <c r="I32" s="57">
        <f>50.262703345*Deflactores!$F$5</f>
        <v>137.9494398855478</v>
      </c>
      <c r="J32" s="57">
        <f>72.741298244*Deflactores!$G$5</f>
        <v>191.08672202441437</v>
      </c>
      <c r="K32" s="57">
        <f>80.475028218*Deflactores!$H$5</f>
        <v>200.01306773234845</v>
      </c>
      <c r="L32" s="57">
        <f>73.771268783*Deflactores!$I$5</f>
        <v>170.28333264813085</v>
      </c>
      <c r="M32" s="57">
        <f>82.894139826*Deflactores!$J$5</f>
        <v>187.58618361701656</v>
      </c>
      <c r="N32" s="57">
        <f>197.637726515*Deflactores!$K$5</f>
        <v>433.49919222086885</v>
      </c>
      <c r="O32" s="57">
        <f>81.770437239*Deflactores!$L$5</f>
        <v>172.91165350601491</v>
      </c>
      <c r="P32" s="57">
        <f>106.457275998*Deflactores!$M$5</f>
        <v>219.75244885454651</v>
      </c>
      <c r="Q32" s="57">
        <f>172.050227183*Deflactores!$N$5</f>
        <v>348.39265886713645</v>
      </c>
      <c r="R32" s="57">
        <f>194.133588457*Deflactores!$O$5</f>
        <v>379.23046854200237</v>
      </c>
      <c r="S32" s="57">
        <f>187.792927642*Deflactores!$P$5</f>
        <v>343.58368250303192</v>
      </c>
      <c r="T32" s="57">
        <f>176.863365279*Deflactores!$Q$5</f>
        <v>305.99251689291901</v>
      </c>
      <c r="U32" s="57">
        <f>185.530658485*Deflactores!$R$5</f>
        <v>308.37530992212112</v>
      </c>
      <c r="V32" s="57">
        <f>174.99591142*Deflactores!$S$5</f>
        <v>281.90078904230296</v>
      </c>
    </row>
    <row r="33" spans="3:22" x14ac:dyDescent="0.2">
      <c r="C33" s="87" t="s">
        <v>143</v>
      </c>
      <c r="D33" s="56">
        <f>47.685443339*Deflactores!$A$5</f>
        <v>177.56690404592035</v>
      </c>
      <c r="E33" s="56">
        <f>51.497351627*Deflactores!$B$5</f>
        <v>178.13690439316207</v>
      </c>
      <c r="F33" s="56">
        <f>50.053656011*Deflactores!$C$5</f>
        <v>161.82818102393833</v>
      </c>
      <c r="G33" s="56">
        <f>47.347336371*Deflactores!$D$5</f>
        <v>143.74724139439408</v>
      </c>
      <c r="H33" s="56">
        <f>75.454549054*Deflactores!$E$5</f>
        <v>217.14476114391576</v>
      </c>
      <c r="I33" s="56">
        <f>91.3059031658*Deflactores!$F$5</f>
        <v>250.59531942623124</v>
      </c>
      <c r="J33" s="56">
        <f>168.998034364*Deflactores!$G$5</f>
        <v>443.94699015218322</v>
      </c>
      <c r="K33" s="56">
        <f>225.011115945*Deflactores!$H$5</f>
        <v>559.24383713322152</v>
      </c>
      <c r="L33" s="56">
        <f>238.34049656*Deflactores!$I$5</f>
        <v>550.15204060852147</v>
      </c>
      <c r="M33" s="56">
        <f>266.924622674*Deflactores!$J$5</f>
        <v>604.0399404099104</v>
      </c>
      <c r="N33" s="56">
        <f>257.543389531*Deflactores!$K$5</f>
        <v>564.89645621904901</v>
      </c>
      <c r="O33" s="56">
        <f>249.617230872*Deflactores!$L$5</f>
        <v>527.84025120859224</v>
      </c>
      <c r="P33" s="56">
        <f>490.917800242*Deflactores!$M$5</f>
        <v>1013.3679241566665</v>
      </c>
      <c r="Q33" s="56">
        <f>507.164294802*Deflactores!$N$5</f>
        <v>1026.9810161924836</v>
      </c>
      <c r="R33" s="56">
        <f>564.832994555*Deflactores!$O$5</f>
        <v>1103.3736247064737</v>
      </c>
      <c r="S33" s="56">
        <f>544.6774584718*Deflactores!$P$5</f>
        <v>996.53532914132393</v>
      </c>
      <c r="T33" s="56">
        <f>719.005515257*Deflactores!$Q$5</f>
        <v>1243.9563553838054</v>
      </c>
      <c r="U33" s="56">
        <f>1775.987384293*Deflactores!$R$5</f>
        <v>2951.9146028008618</v>
      </c>
      <c r="V33" s="56">
        <f>752.990063475*Deflactores!$S$5</f>
        <v>1212.9911568342875</v>
      </c>
    </row>
    <row r="34" spans="3:22" x14ac:dyDescent="0.2">
      <c r="C34" s="88" t="s">
        <v>144</v>
      </c>
      <c r="D34" s="57">
        <f>683.481112568*Deflactores!$A$5</f>
        <v>2545.0874865475457</v>
      </c>
      <c r="E34" s="57">
        <f>760.070378193*Deflactores!$B$5</f>
        <v>2629.1950947872183</v>
      </c>
      <c r="F34" s="57">
        <f>789.963169484*Deflactores!$C$5</f>
        <v>2554.0252796999794</v>
      </c>
      <c r="G34" s="57">
        <f>779.795028311999*Deflactores!$D$5</f>
        <v>2367.4696987087518</v>
      </c>
      <c r="H34" s="57">
        <f>970.428904733*Deflactores!$E$5</f>
        <v>2792.7216498847815</v>
      </c>
      <c r="I34" s="57">
        <f>1005.48043377299*Deflactores!$F$5</f>
        <v>2759.6100771340557</v>
      </c>
      <c r="J34" s="57">
        <f>1138.140955315*Deflactores!$G$5</f>
        <v>2989.8232448830086</v>
      </c>
      <c r="K34" s="57">
        <f>1226.455430559*Deflactores!$H$5</f>
        <v>3048.2389200111588</v>
      </c>
      <c r="L34" s="57">
        <f>1366.125711945*Deflactores!$I$5</f>
        <v>3153.3745167183893</v>
      </c>
      <c r="M34" s="57">
        <f>1599.524877745*Deflactores!$J$5</f>
        <v>3619.6619935556446</v>
      </c>
      <c r="N34" s="57">
        <f>1709.532783034*Deflactores!$K$5</f>
        <v>3749.694421141236</v>
      </c>
      <c r="O34" s="57">
        <f>1907.763642385*Deflactores!$L$5</f>
        <v>4034.1543599587849</v>
      </c>
      <c r="P34" s="57">
        <f>2247.591541903*Deflactores!$M$5</f>
        <v>4639.5489714317828</v>
      </c>
      <c r="Q34" s="57">
        <f>2500.445921539*Deflactores!$N$5</f>
        <v>5063.2714482375013</v>
      </c>
      <c r="R34" s="57">
        <f>2757.547421931*Deflactores!$O$5</f>
        <v>5386.7339967154285</v>
      </c>
      <c r="S34" s="57">
        <f>2987.891266268*Deflactores!$P$5</f>
        <v>5466.6099361316365</v>
      </c>
      <c r="T34" s="57">
        <f>3332.867664156*Deflactores!$Q$5</f>
        <v>5766.2171214335085</v>
      </c>
      <c r="U34" s="57">
        <f>3578.445731815*Deflactores!$R$5</f>
        <v>5947.8272787845435</v>
      </c>
      <c r="V34" s="57">
        <f>3971.255960177*Deflactores!$S$5</f>
        <v>6397.2933971924722</v>
      </c>
    </row>
    <row r="35" spans="3:22" x14ac:dyDescent="0.2">
      <c r="C35" s="87" t="s">
        <v>145</v>
      </c>
      <c r="D35" s="56">
        <f>191.514445006*Deflactores!$A$5</f>
        <v>713.14482363164768</v>
      </c>
      <c r="E35" s="56">
        <f>196.112026466*Deflactores!$B$5</f>
        <v>678.38030899062471</v>
      </c>
      <c r="F35" s="56">
        <f>255.935537998*Deflactores!$C$5</f>
        <v>827.46368346194913</v>
      </c>
      <c r="G35" s="56">
        <f>333.511884*Deflactores!$D$5</f>
        <v>1012.5472090254908</v>
      </c>
      <c r="H35" s="56">
        <f>151.396726244*Deflactores!$E$5</f>
        <v>435.69282926463148</v>
      </c>
      <c r="I35" s="56">
        <f>152.522135874*Deflactores!$F$5</f>
        <v>418.60747261336383</v>
      </c>
      <c r="J35" s="56">
        <f>469.406654991*Deflactores!$G$5</f>
        <v>1233.1011566194309</v>
      </c>
      <c r="K35" s="56">
        <f>372.636697557*Deflactores!$H$5</f>
        <v>926.15325124367121</v>
      </c>
      <c r="L35" s="56">
        <f>280.183648098*Deflactores!$I$5</f>
        <v>646.73694974639102</v>
      </c>
      <c r="M35" s="56">
        <f>326.387432517*Deflactores!$J$5</f>
        <v>738.60194429832188</v>
      </c>
      <c r="N35" s="56">
        <f>684.781172484*Deflactores!$K$5</f>
        <v>1502.0011126132006</v>
      </c>
      <c r="O35" s="56">
        <f>589.597209628*Deflactores!$L$5</f>
        <v>1246.7614441308901</v>
      </c>
      <c r="P35" s="56">
        <f>421.224129747*Deflactores!$M$5</f>
        <v>869.50406311605684</v>
      </c>
      <c r="Q35" s="56">
        <f>581.489725346*Deflactores!$N$5</f>
        <v>1177.486102949076</v>
      </c>
      <c r="R35" s="56">
        <f>1122.299*Deflactores!$O$5</f>
        <v>2192.3561965604526</v>
      </c>
      <c r="S35" s="56">
        <f>873.896639085*Deflactores!$P$5</f>
        <v>1598.8707836550855</v>
      </c>
      <c r="T35" s="56">
        <f>727.59129923431*Deflactores!$Q$5</f>
        <v>1258.8106789152594</v>
      </c>
      <c r="U35" s="56">
        <f>756.745009396*Deflactores!$R$5</f>
        <v>1257.8054684335475</v>
      </c>
      <c r="V35" s="56">
        <f>1809.837729859*Deflactores!$S$5</f>
        <v>2915.4663097315838</v>
      </c>
    </row>
    <row r="36" spans="3:22" x14ac:dyDescent="0.2">
      <c r="C36" s="88" t="s">
        <v>146</v>
      </c>
      <c r="D36" s="57">
        <f>205.282682934*Deflactores!$A$5</f>
        <v>764.41378983717084</v>
      </c>
      <c r="E36" s="57">
        <f>215.767388449*Deflactores!$B$5</f>
        <v>746.37109352143375</v>
      </c>
      <c r="F36" s="57">
        <f>233.421446389*Deflactores!$C$5</f>
        <v>754.67350622314586</v>
      </c>
      <c r="G36" s="57">
        <f>221.518021281*Deflactores!$D$5</f>
        <v>672.53211941594805</v>
      </c>
      <c r="H36" s="57">
        <f>239.802808862999*Deflactores!$E$5</f>
        <v>690.10979861439603</v>
      </c>
      <c r="I36" s="57">
        <f>296.991545396*Deflactores!$F$5</f>
        <v>815.11368493069745</v>
      </c>
      <c r="J36" s="57">
        <f>297.157930715999*Deflactores!$G$5</f>
        <v>780.61481269702199</v>
      </c>
      <c r="K36" s="57">
        <f>297.629911609*Deflactores!$H$5</f>
        <v>739.73098224411228</v>
      </c>
      <c r="L36" s="57">
        <f>284.384210031*Deflactores!$I$5</f>
        <v>656.43294246477774</v>
      </c>
      <c r="M36" s="57">
        <f>289.70280863*Deflactores!$J$5</f>
        <v>655.58608085088485</v>
      </c>
      <c r="N36" s="57">
        <f>368.636706422*Deflactores!$K$5</f>
        <v>808.56887637173884</v>
      </c>
      <c r="O36" s="57">
        <f>366.796571091999*Deflactores!$L$5</f>
        <v>775.62752199158626</v>
      </c>
      <c r="P36" s="57">
        <f>569.026295143*Deflactores!$M$5</f>
        <v>1174.6019297229941</v>
      </c>
      <c r="Q36" s="57">
        <f>576.6463*Deflactores!$N$5</f>
        <v>1167.678421425223</v>
      </c>
      <c r="R36" s="57">
        <f>609.0095*Deflactores!$O$5</f>
        <v>1189.6702670938698</v>
      </c>
      <c r="S36" s="57">
        <f>769.994416629*Deflactores!$P$5</f>
        <v>1408.7725267082806</v>
      </c>
      <c r="T36" s="57">
        <f>934.04317284331*Deflactores!$Q$5</f>
        <v>1615.9944762676532</v>
      </c>
      <c r="U36" s="57">
        <f>873.011714841*Deflactores!$R$5</f>
        <v>1451.0553691130333</v>
      </c>
      <c r="V36" s="57">
        <f>850.664274404*Deflactores!$S$5</f>
        <v>1370.3344736383312</v>
      </c>
    </row>
    <row r="37" spans="3:22" x14ac:dyDescent="0.2">
      <c r="C37" s="90" t="s">
        <v>147</v>
      </c>
      <c r="D37" s="58">
        <f>4283.178401431*Deflactores!$A$5</f>
        <v>15949.32698458175</v>
      </c>
      <c r="E37" s="58">
        <f>5217.6430609925*Deflactores!$B$5</f>
        <v>18048.593835383846</v>
      </c>
      <c r="F37" s="58">
        <f>6442.34999781717*Deflactores!$C$5</f>
        <v>20828.723908543459</v>
      </c>
      <c r="G37" s="58">
        <f>7338.81899758999*Deflactores!$D$5</f>
        <v>22280.767343070132</v>
      </c>
      <c r="H37" s="58">
        <f>9508.33276660216*Deflactores!$E$5</f>
        <v>27363.289203452478</v>
      </c>
      <c r="I37" s="58">
        <f>12525.523773343*Deflactores!$F$5</f>
        <v>34377.159878283106</v>
      </c>
      <c r="J37" s="58">
        <f>13832.676078727*Deflactores!$G$5</f>
        <v>36337.552291727174</v>
      </c>
      <c r="K37" s="58">
        <f>15136.018451397*Deflactores!$H$5</f>
        <v>37619.141623863383</v>
      </c>
      <c r="L37" s="58">
        <f>17158.327833348*Deflactores!$I$5</f>
        <v>39605.896636076031</v>
      </c>
      <c r="M37" s="58">
        <f>20198.6562960902*Deflactores!$J$5</f>
        <v>45708.766104922608</v>
      </c>
      <c r="N37" s="58">
        <f>22784.6470306129*Deflactores!$K$5</f>
        <v>49975.914300242024</v>
      </c>
      <c r="O37" s="58">
        <f>20917.765797016*Deflactores!$L$5</f>
        <v>44232.678627386937</v>
      </c>
      <c r="P37" s="58">
        <f>23715.918369726*Deflactores!$M$5</f>
        <v>48955.142706072278</v>
      </c>
      <c r="Q37" s="58">
        <f>23811.1178173584*Deflactores!$N$5</f>
        <v>48216.260930388453</v>
      </c>
      <c r="R37" s="58">
        <f>28516.7838972525*Deflactores!$O$5</f>
        <v>55706.142376600932</v>
      </c>
      <c r="S37" s="58">
        <f>27553.353853031*Deflactores!$P$5</f>
        <v>50411.284924322252</v>
      </c>
      <c r="T37" s="58">
        <f>28908.402542236*Deflactores!$Q$5</f>
        <v>50014.624788453912</v>
      </c>
      <c r="U37" s="58">
        <f>35233.105959658*Deflactores!$R$5</f>
        <v>58561.857423186455</v>
      </c>
      <c r="V37" s="58">
        <f>45399.858658675*Deflactores!$S$5</f>
        <v>73134.599971155796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0.4162628066300964</v>
      </c>
      <c r="V38" s="59">
        <f>139.020442846*Deflactores!$S$5</f>
        <v>223.94793234477149</v>
      </c>
    </row>
    <row r="39" spans="3:22" x14ac:dyDescent="0.2">
      <c r="C39" s="90" t="s">
        <v>149</v>
      </c>
      <c r="D39" s="56">
        <f>233.667013917*Deflactores!$A$5</f>
        <v>870.10889138494008</v>
      </c>
      <c r="E39" s="56">
        <f>202.147470344*Deflactores!$B$5</f>
        <v>699.25779598942972</v>
      </c>
      <c r="F39" s="56">
        <f>197.591604539*Deflactores!$C$5</f>
        <v>638.83225515276195</v>
      </c>
      <c r="G39" s="56">
        <f>207.887552941*Deflactores!$D$5</f>
        <v>631.14980790774007</v>
      </c>
      <c r="H39" s="56">
        <f>193.916522*Deflactores!$E$5</f>
        <v>558.05723285701163</v>
      </c>
      <c r="I39" s="56">
        <f>154.8174*Deflactores!$F$5</f>
        <v>424.9069825779942</v>
      </c>
      <c r="J39" s="56">
        <f>250.587586389*Deflactores!$G$5</f>
        <v>658.2775069873519</v>
      </c>
      <c r="K39" s="56">
        <f>245.137826*Deflactores!$H$5</f>
        <v>609.2668704965032</v>
      </c>
      <c r="L39" s="56">
        <f>303.06654512*Deflactores!$I$5</f>
        <v>699.55664540612031</v>
      </c>
      <c r="M39" s="56">
        <f>423.6116*Deflactores!$J$5</f>
        <v>958.61641783963785</v>
      </c>
      <c r="N39" s="56">
        <f>500.639163*Deflactores!$K$5</f>
        <v>1098.1034672960598</v>
      </c>
      <c r="O39" s="56">
        <f>519.983384*Deflactores!$L$5</f>
        <v>1099.5561447262312</v>
      </c>
      <c r="P39" s="56">
        <f>663.332692*Deflactores!$M$5</f>
        <v>1369.2721526616667</v>
      </c>
      <c r="Q39" s="56">
        <f>458.511943896*Deflactores!$N$5</f>
        <v>928.4625650994235</v>
      </c>
      <c r="R39" s="56">
        <f>544.64690707*Deflactores!$O$5</f>
        <v>1063.9410902552702</v>
      </c>
      <c r="S39" s="56">
        <f>505.873192309*Deflactores!$P$5</f>
        <v>925.53951032934435</v>
      </c>
      <c r="T39" s="56">
        <f>188.501450641*Deflactores!$Q$5</f>
        <v>326.12764790840839</v>
      </c>
      <c r="U39" s="56">
        <f>194.359899423*Deflactores!$R$5</f>
        <v>323.05061982974462</v>
      </c>
      <c r="V39" s="56">
        <f>351.506680191*Deflactores!$S$5</f>
        <v>566.24186071217264</v>
      </c>
    </row>
    <row r="40" spans="3:22" x14ac:dyDescent="0.2">
      <c r="C40" s="88" t="s">
        <v>150</v>
      </c>
      <c r="D40" s="57">
        <f>299.271295241*Deflactores!$A$5</f>
        <v>1114.4004049196985</v>
      </c>
      <c r="E40" s="57">
        <f>332.627969437*Deflactores!$B$5</f>
        <v>1150.6090103286799</v>
      </c>
      <c r="F40" s="57">
        <f>492.803558377299*Deflactores!$C$5</f>
        <v>1593.2802877934914</v>
      </c>
      <c r="G40" s="57">
        <f>309.881844198*Deflactores!$D$5</f>
        <v>940.80604477157669</v>
      </c>
      <c r="H40" s="57">
        <f>371.9509*Deflactores!$E$5</f>
        <v>1070.408482329706</v>
      </c>
      <c r="I40" s="57">
        <f>360.925709603*Deflactores!$F$5</f>
        <v>990.5853877033984</v>
      </c>
      <c r="J40" s="57">
        <f>386.220435183*Deflactores!$G$5</f>
        <v>1014.5762959908366</v>
      </c>
      <c r="K40" s="57">
        <f>374.925998*Deflactores!$H$5</f>
        <v>931.84309087100337</v>
      </c>
      <c r="L40" s="57">
        <f>355.795763*Deflactores!$I$5</f>
        <v>821.26943544837218</v>
      </c>
      <c r="M40" s="57">
        <f>472.818*Deflactores!$J$5</f>
        <v>1069.9685689676623</v>
      </c>
      <c r="N40" s="57">
        <f>555.092147395*Deflactores!$K$5</f>
        <v>1217.5408093738463</v>
      </c>
      <c r="O40" s="57">
        <f>439.1082*Deflactores!$L$5</f>
        <v>928.53759248136839</v>
      </c>
      <c r="P40" s="57">
        <f>649.400865758*Deflactores!$M$5</f>
        <v>1340.513639868675</v>
      </c>
      <c r="Q40" s="57">
        <f>607.64192*Deflactores!$N$5</f>
        <v>1230.4429213148367</v>
      </c>
      <c r="R40" s="57">
        <f>619.889937561*Deflactores!$O$5</f>
        <v>1210.9246696266596</v>
      </c>
      <c r="S40" s="57">
        <f>625.218900848*Deflactores!$P$5</f>
        <v>1143.8929837302899</v>
      </c>
      <c r="T40" s="57">
        <f>712.846391423*Deflactores!$Q$5</f>
        <v>1233.3004131492573</v>
      </c>
      <c r="U40" s="57">
        <f>941.490304806*Deflactores!$R$5</f>
        <v>1564.8754060596173</v>
      </c>
      <c r="V40" s="57">
        <f>914.063514604*Deflactores!$S$5</f>
        <v>1472.4642645119477</v>
      </c>
    </row>
    <row r="41" spans="3:22" x14ac:dyDescent="0.2">
      <c r="C41" s="87" t="s">
        <v>151</v>
      </c>
      <c r="D41" s="56">
        <f>47.862238267*Deflactores!$A$5</f>
        <v>178.22523761310154</v>
      </c>
      <c r="E41" s="56">
        <f>44.023806514*Deflactores!$B$5</f>
        <v>152.28481396110851</v>
      </c>
      <c r="F41" s="56">
        <f>31.248879*Deflactores!$C$5</f>
        <v>101.0305670078487</v>
      </c>
      <c r="G41" s="56">
        <f>33.057834267*Deflactores!$D$5</f>
        <v>100.36409324316034</v>
      </c>
      <c r="H41" s="56">
        <f>37.119348058*Deflactores!$E$5</f>
        <v>106.82287640608452</v>
      </c>
      <c r="I41" s="56">
        <f>20.243046283*Deflactores!$F$5</f>
        <v>55.558430217121675</v>
      </c>
      <c r="J41" s="56">
        <f>40.857964155*Deflactores!$G$5</f>
        <v>107.33124961258108</v>
      </c>
      <c r="K41" s="56">
        <f>39.697776365*Deflactores!$H$5</f>
        <v>98.665066775837374</v>
      </c>
      <c r="L41" s="56">
        <f>10.368929992*Deflactores!$I$5</f>
        <v>23.934195306124359</v>
      </c>
      <c r="M41" s="56">
        <f>7.587874974*Deflactores!$J$5</f>
        <v>17.171063130922086</v>
      </c>
      <c r="N41" s="56">
        <f>12.147811019*Deflactores!$K$5</f>
        <v>26.645045745294961</v>
      </c>
      <c r="O41" s="56">
        <f>328.752697737*Deflactores!$L$5</f>
        <v>695.18000000562279</v>
      </c>
      <c r="P41" s="56">
        <f>1363.636620691*Deflactores!$M$5</f>
        <v>2814.8614919492711</v>
      </c>
      <c r="Q41" s="56">
        <f>1466.663509854*Deflactores!$N$5</f>
        <v>2969.9164495606678</v>
      </c>
      <c r="R41" s="56">
        <f>1522.792129923*Deflactores!$O$5</f>
        <v>2974.6999347858091</v>
      </c>
      <c r="S41" s="56">
        <f>1603.414310913*Deflactores!$P$5</f>
        <v>2933.587544743827</v>
      </c>
      <c r="T41" s="56">
        <f>1750.229531092*Deflactores!$Q$5</f>
        <v>3028.0840722120101</v>
      </c>
      <c r="U41" s="56">
        <f>1946.609139626*Deflactores!$R$5</f>
        <v>3235.5094388776392</v>
      </c>
      <c r="V41" s="56">
        <f>1965.945401832*Deflactores!$S$5</f>
        <v>3166.9400473043816</v>
      </c>
    </row>
    <row r="42" spans="3:22" ht="21.75" customHeight="1" x14ac:dyDescent="0.2">
      <c r="C42" s="79" t="s">
        <v>179</v>
      </c>
      <c r="D42" s="44">
        <f t="shared" ref="D42:V42" si="0">+SUM(D13:D41)</f>
        <v>98404.748735855275</v>
      </c>
      <c r="E42" s="44">
        <f t="shared" si="0"/>
        <v>103368.6177823208</v>
      </c>
      <c r="F42" s="44">
        <f t="shared" si="0"/>
        <v>107212.49859806086</v>
      </c>
      <c r="G42" s="44">
        <f t="shared" si="0"/>
        <v>107597.3748334355</v>
      </c>
      <c r="H42" s="44">
        <f t="shared" si="0"/>
        <v>125598.12503825515</v>
      </c>
      <c r="I42" s="44">
        <f t="shared" si="0"/>
        <v>135358.48450533053</v>
      </c>
      <c r="J42" s="44">
        <f t="shared" si="0"/>
        <v>136630.19152592309</v>
      </c>
      <c r="K42" s="44">
        <f t="shared" si="0"/>
        <v>141337.89420302506</v>
      </c>
      <c r="L42" s="44">
        <f t="shared" si="0"/>
        <v>148459.70351556447</v>
      </c>
      <c r="M42" s="44">
        <f t="shared" si="0"/>
        <v>167054.52470327451</v>
      </c>
      <c r="N42" s="44">
        <f t="shared" si="0"/>
        <v>184648.46191057822</v>
      </c>
      <c r="O42" s="44">
        <f t="shared" si="0"/>
        <v>176071.47870391884</v>
      </c>
      <c r="P42" s="44">
        <f t="shared" si="0"/>
        <v>188108.97310998195</v>
      </c>
      <c r="Q42" s="44">
        <f t="shared" si="0"/>
        <v>204062.28196857744</v>
      </c>
      <c r="R42" s="44">
        <f t="shared" si="0"/>
        <v>217857.16653225769</v>
      </c>
      <c r="S42" s="44">
        <f t="shared" si="0"/>
        <v>209541.38850212775</v>
      </c>
      <c r="T42" s="44">
        <f t="shared" si="0"/>
        <v>212074.56150957791</v>
      </c>
      <c r="U42" s="44">
        <f t="shared" si="0"/>
        <v>230853.66163600501</v>
      </c>
      <c r="V42" s="44">
        <f t="shared" si="0"/>
        <v>236332.66734794129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C47" s="9"/>
      <c r="D47" s="155" t="s">
        <v>180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</row>
    <row r="48" spans="3:22" ht="1.5" customHeight="1" x14ac:dyDescent="0.2">
      <c r="H48" s="27"/>
      <c r="I48" s="27"/>
      <c r="J48" s="27"/>
      <c r="L48" s="177"/>
      <c r="M48" s="156"/>
      <c r="N48" s="156"/>
      <c r="O48" s="156"/>
      <c r="P48" s="156"/>
      <c r="Q48" s="156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76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60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222.856489961099*Deflactores!$A$5</f>
        <v>829.85360307154326</v>
      </c>
      <c r="E52" s="56">
        <f>220.747886145609*Deflactores!$B$5</f>
        <v>763.59936670404988</v>
      </c>
      <c r="F52" s="56">
        <f>236.46186181*Deflactores!$C$5</f>
        <v>764.50345544862159</v>
      </c>
      <c r="G52" s="56">
        <f>274.89582649978*Deflactores!$D$5</f>
        <v>834.58795697699281</v>
      </c>
      <c r="H52" s="56">
        <f>247.35292152652*Deflactores!$E$5</f>
        <v>711.83767892757123</v>
      </c>
      <c r="I52" s="56">
        <f>258.40842152928*Deflactores!$F$5</f>
        <v>709.21965273120964</v>
      </c>
      <c r="J52" s="56">
        <f>385.93296457416*Deflactores!$G$5</f>
        <v>1013.8211291509853</v>
      </c>
      <c r="K52" s="56">
        <f>410.0963432578*Deflactores!$H$5</f>
        <v>1019.2556560354727</v>
      </c>
      <c r="L52" s="56">
        <f>738.24936860614*Deflactores!$I$5</f>
        <v>1704.0721257135426</v>
      </c>
      <c r="M52" s="56">
        <f>330.81099973205*Deflactores!$J$5</f>
        <v>748.61230321617052</v>
      </c>
      <c r="N52" s="56">
        <f>389.19940212866*Deflactores!$K$5</f>
        <v>853.6711558600839</v>
      </c>
      <c r="O52" s="56">
        <f>278.26963475632*Deflactores!$L$5</f>
        <v>588.42858483923339</v>
      </c>
      <c r="P52" s="56">
        <f>396.17457551097*Deflactores!$M$5</f>
        <v>817.79598741641382</v>
      </c>
      <c r="Q52" s="56">
        <f>1364.40220067631*Deflactores!$N$5</f>
        <v>2762.8426782150759</v>
      </c>
      <c r="R52" s="56">
        <f>371.75957421942*Deflactores!$O$5</f>
        <v>726.21414272900631</v>
      </c>
      <c r="S52" s="56">
        <f>509.05151168669*Deflactores!$P$5</f>
        <v>931.35452524853895</v>
      </c>
      <c r="T52" s="56">
        <f>512.55440355414*Deflactores!$Q$5</f>
        <v>886.77387621043124</v>
      </c>
      <c r="U52" s="56">
        <f>574.76329340028*Deflactores!$R$5</f>
        <v>955.32894768710321</v>
      </c>
      <c r="V52" s="56">
        <f>667.019807293149*Deflactores!$S$5</f>
        <v>1074.5017323947236</v>
      </c>
    </row>
    <row r="53" spans="3:22" x14ac:dyDescent="0.2">
      <c r="C53" s="88" t="s">
        <v>124</v>
      </c>
      <c r="D53" s="57">
        <f>84.55461619313*Deflactores!$A$5</f>
        <v>314.85712135396483</v>
      </c>
      <c r="E53" s="57">
        <f>88.83866770213*Deflactores!$B$5</f>
        <v>307.30600224833626</v>
      </c>
      <c r="F53" s="57">
        <f>93.49123480001*Deflactores!$C$5</f>
        <v>302.26596167206282</v>
      </c>
      <c r="G53" s="57">
        <f>97.6466716803299*Deflactores!$D$5</f>
        <v>296.45679696543129</v>
      </c>
      <c r="H53" s="57">
        <f>105.4946304171*Deflactores!$E$5</f>
        <v>303.59476812316154</v>
      </c>
      <c r="I53" s="57">
        <f>112.34323478171*Deflactores!$F$5</f>
        <v>308.33372026753818</v>
      </c>
      <c r="J53" s="57">
        <f>116.68332081128*Deflactores!$G$5</f>
        <v>306.51959515432128</v>
      </c>
      <c r="K53" s="57">
        <f>122.99995749883*Deflactores!$H$5</f>
        <v>305.70475556275454</v>
      </c>
      <c r="L53" s="57">
        <f>1046.74458464368*Deflactores!$I$5</f>
        <v>2416.1595597442679</v>
      </c>
      <c r="M53" s="57">
        <f>1256.77425763095*Deflactores!$J$5</f>
        <v>2844.0307982199997</v>
      </c>
      <c r="N53" s="57">
        <f>1355.90465427956*Deflactores!$K$5</f>
        <v>2974.0454048083529</v>
      </c>
      <c r="O53" s="57">
        <f>1095.475283777*Deflactores!$L$5</f>
        <v>2316.4905201522984</v>
      </c>
      <c r="P53" s="57">
        <f>206.32480975711*Deflactores!$M$5</f>
        <v>425.90214504854657</v>
      </c>
      <c r="Q53" s="57">
        <f>241.338694267739*Deflactores!$N$5</f>
        <v>488.69815960213043</v>
      </c>
      <c r="R53" s="57">
        <f>263.3659254444*Deflactores!$O$5</f>
        <v>514.47245218155638</v>
      </c>
      <c r="S53" s="57">
        <f>269.981836285439*Deflactores!$P$5</f>
        <v>493.95552156638132</v>
      </c>
      <c r="T53" s="57">
        <f>277.11340524122*Deflactores!$Q$5</f>
        <v>479.43579610602649</v>
      </c>
      <c r="U53" s="57">
        <f>297.06780290225*Deflactores!$R$5</f>
        <v>493.76408479287204</v>
      </c>
      <c r="V53" s="57">
        <f>316.813394947539*Deflactores!$S$5</f>
        <v>510.35447222840037</v>
      </c>
    </row>
    <row r="54" spans="3:22" x14ac:dyDescent="0.2">
      <c r="C54" s="87" t="s">
        <v>125</v>
      </c>
      <c r="D54" s="56">
        <f>7.492650108*Deflactores!$A$5</f>
        <v>27.900478418930248</v>
      </c>
      <c r="E54" s="56">
        <f>5.47124947397*Deflactores!$B$5</f>
        <v>18.925855673415526</v>
      </c>
      <c r="F54" s="56">
        <f>5.73283229*Deflactores!$C$5</f>
        <v>18.534786378084277</v>
      </c>
      <c r="G54" s="56">
        <f>5.97314629185*Deflactores!$D$5</f>
        <v>18.134564005262483</v>
      </c>
      <c r="H54" s="56">
        <f>5.88094452236*Deflactores!$E$5</f>
        <v>16.924311517580858</v>
      </c>
      <c r="I54" s="56">
        <f>6.0778054032*Deflactores!$F$5</f>
        <v>16.680954172915587</v>
      </c>
      <c r="J54" s="56">
        <f>6.6224510618*Deflactores!$G$5</f>
        <v>17.396753917171733</v>
      </c>
      <c r="K54" s="56">
        <f>6.539084612*Deflactores!$H$5</f>
        <v>16.252276045986804</v>
      </c>
      <c r="L54" s="56">
        <f>7.57244599275*Deflactores!$I$5</f>
        <v>17.479180732765162</v>
      </c>
      <c r="M54" s="56">
        <f>9.21898095598*Deflactores!$J$5</f>
        <v>20.862191923340593</v>
      </c>
      <c r="N54" s="56">
        <f>24.999428344*Deflactores!$K$5</f>
        <v>54.833822389092219</v>
      </c>
      <c r="O54" s="56">
        <f>9.36117917103*Deflactores!$L$5</f>
        <v>19.79513652957273</v>
      </c>
      <c r="P54" s="56">
        <f>12.4844571455*Deflactores!$M$5</f>
        <v>25.770808097652321</v>
      </c>
      <c r="Q54" s="56">
        <f>16.25690079538*Deflactores!$N$5</f>
        <v>32.919368871378822</v>
      </c>
      <c r="R54" s="56">
        <f>20.90564120256*Deflactores!$O$5</f>
        <v>40.83814743976599</v>
      </c>
      <c r="S54" s="56">
        <f>19.90025796843*Deflactores!$P$5</f>
        <v>36.4092727101417</v>
      </c>
      <c r="T54" s="56">
        <f>20.51019136983*Deflactores!$Q$5</f>
        <v>35.484822248572755</v>
      </c>
      <c r="U54" s="56">
        <f>22.19437046851*Deflactores!$R$5</f>
        <v>36.889837656165554</v>
      </c>
      <c r="V54" s="56">
        <f>22.31333647409*Deflactores!$S$5</f>
        <v>35.944537830462018</v>
      </c>
    </row>
    <row r="55" spans="3:22" x14ac:dyDescent="0.2">
      <c r="C55" s="88" t="s">
        <v>126</v>
      </c>
      <c r="D55" s="57">
        <f>145.43610762574*Deflactores!$A$5</f>
        <v>541.56232089533671</v>
      </c>
      <c r="E55" s="57">
        <f>145.77192923559*Deflactores!$B$5</f>
        <v>504.24651755940835</v>
      </c>
      <c r="F55" s="57">
        <f>148.237082454679*Deflactores!$C$5</f>
        <v>479.26443991752285</v>
      </c>
      <c r="G55" s="57">
        <f>148.36371765674*Deflactores!$D$5</f>
        <v>450.43452854584939</v>
      </c>
      <c r="H55" s="57">
        <f>150.78651151113*Deflactores!$E$5</f>
        <v>433.93673988265493</v>
      </c>
      <c r="I55" s="57">
        <f>169.667702084359*Deflactores!$F$5</f>
        <v>465.66465612784515</v>
      </c>
      <c r="J55" s="57">
        <f>250.96924242643*Deflactores!$G$5</f>
        <v>659.280092903384</v>
      </c>
      <c r="K55" s="57">
        <f>226.417491024329*Deflactores!$H$5</f>
        <v>562.73924931545662</v>
      </c>
      <c r="L55" s="57">
        <f>238.130510338619*Deflactores!$I$5</f>
        <v>549.66733763164677</v>
      </c>
      <c r="M55" s="57">
        <f>285.053782788089*Deflactores!$J$5</f>
        <v>645.06551791300353</v>
      </c>
      <c r="N55" s="57">
        <f>229.92569073411*Deflactores!$K$5</f>
        <v>504.31971143169972</v>
      </c>
      <c r="O55" s="57">
        <f>343.43442637902*Deflactores!$L$5</f>
        <v>726.2259630888127</v>
      </c>
      <c r="P55" s="57">
        <f>479.33287186096*Deflactores!$M$5</f>
        <v>989.45395155430629</v>
      </c>
      <c r="Q55" s="57">
        <f>678.305812195785*Deflactores!$N$5</f>
        <v>1373.5335855416536</v>
      </c>
      <c r="R55" s="57">
        <f>569.553537992798*Deflactores!$O$5</f>
        <v>1112.5949753955408</v>
      </c>
      <c r="S55" s="57">
        <f>557.53227884419*Deflactores!$P$5</f>
        <v>1020.0543539359135</v>
      </c>
      <c r="T55" s="57">
        <f>551.88204426523*Deflactores!$Q$5</f>
        <v>954.8148961563279</v>
      </c>
      <c r="U55" s="57">
        <f>621.80720326122*Deflactores!$R$5</f>
        <v>1033.5218479968307</v>
      </c>
      <c r="V55" s="57">
        <f>578.329837155729*Deflactores!$S$5</f>
        <v>931.6311226816124</v>
      </c>
    </row>
    <row r="56" spans="3:22" x14ac:dyDescent="0.2">
      <c r="C56" s="87" t="s">
        <v>127</v>
      </c>
      <c r="D56" s="56">
        <f>168.793936681919*Deflactores!$A$5</f>
        <v>628.54017200293902</v>
      </c>
      <c r="E56" s="56">
        <f>182.409355607469*Deflactores!$B$5</f>
        <v>630.98075752752936</v>
      </c>
      <c r="F56" s="56">
        <f>189.84707649563*Deflactores!$C$5</f>
        <v>613.79346705960006</v>
      </c>
      <c r="G56" s="56">
        <f>208.64289693158*Deflactores!$D$5</f>
        <v>633.44304387985301</v>
      </c>
      <c r="H56" s="56">
        <f>224.132323363319*Deflactores!$E$5</f>
        <v>645.01293071843941</v>
      </c>
      <c r="I56" s="56">
        <f>241.43622919109*Deflactores!$F$5</f>
        <v>662.6383057110836</v>
      </c>
      <c r="J56" s="56">
        <f>255.46897103514*Deflactores!$G$5</f>
        <v>671.10059117045739</v>
      </c>
      <c r="K56" s="56">
        <f>272.50974342038*Deflactores!$H$5</f>
        <v>677.29718119283632</v>
      </c>
      <c r="L56" s="56">
        <f>294.3915835077*Deflactores!$I$5</f>
        <v>679.53257101637007</v>
      </c>
      <c r="M56" s="56">
        <f>324.93275173017*Deflactores!$J$5</f>
        <v>735.3100587952548</v>
      </c>
      <c r="N56" s="56">
        <f>335.60000125867*Deflactores!$K$5</f>
        <v>736.10606648986334</v>
      </c>
      <c r="O56" s="56">
        <f>350.26007424642*Deflactores!$L$5</f>
        <v>740.65946863009208</v>
      </c>
      <c r="P56" s="56">
        <f>372.72689156218*Deflactores!$M$5</f>
        <v>769.39454261699177</v>
      </c>
      <c r="Q56" s="56">
        <f>390.257046923153*Deflactores!$N$5</f>
        <v>790.24998946719415</v>
      </c>
      <c r="R56" s="56">
        <f>401.61577456809*Deflactores!$O$5</f>
        <v>784.5367696226923</v>
      </c>
      <c r="S56" s="56">
        <f>414.30592437919*Deflactores!$P$5</f>
        <v>758.00913787547984</v>
      </c>
      <c r="T56" s="56">
        <f>442.15758726191*Deflactores!$Q$5</f>
        <v>764.97986327548915</v>
      </c>
      <c r="U56" s="56">
        <f>483.44802999331*Deflactores!$R$5</f>
        <v>803.55148468617733</v>
      </c>
      <c r="V56" s="56">
        <f>508.810457183708*Deflactores!$S$5</f>
        <v>819.64240300913309</v>
      </c>
    </row>
    <row r="57" spans="3:22" x14ac:dyDescent="0.2">
      <c r="C57" s="88" t="s">
        <v>128</v>
      </c>
      <c r="D57" s="57">
        <f>38.56032276966*Deflactores!$A$5</f>
        <v>143.58757418996288</v>
      </c>
      <c r="E57" s="57">
        <f>42.6418450090599*Deflactores!$B$5</f>
        <v>147.50440610123181</v>
      </c>
      <c r="F57" s="57">
        <f>49.08475227186*Deflactores!$C$5</f>
        <v>158.69562404033135</v>
      </c>
      <c r="G57" s="57">
        <f>54.1332418342199*Deflactores!$D$5</f>
        <v>164.34935474365676</v>
      </c>
      <c r="H57" s="57">
        <f>59.64427780546*Deflactores!$E$5</f>
        <v>171.64561474483273</v>
      </c>
      <c r="I57" s="57">
        <f>68.26949751071*Deflactores!$F$5</f>
        <v>187.37032264714222</v>
      </c>
      <c r="J57" s="57">
        <f>73.80133768688*Deflactores!$G$5</f>
        <v>193.87137760860628</v>
      </c>
      <c r="K57" s="57">
        <f>83.7117390682999*Deflactores!$H$5</f>
        <v>208.05760627885698</v>
      </c>
      <c r="L57" s="57">
        <f>105.64150418076*Deflactores!$I$5</f>
        <v>243.84814975564959</v>
      </c>
      <c r="M57" s="57">
        <f>98.89467185349*Deflactores!$J$5</f>
        <v>223.79475933996858</v>
      </c>
      <c r="N57" s="57">
        <f>108.298129121169*Deflactores!$K$5</f>
        <v>237.54144677177811</v>
      </c>
      <c r="O57" s="57">
        <f>120.92003217672*Deflactores!$L$5</f>
        <v>255.69733282170816</v>
      </c>
      <c r="P57" s="57">
        <f>151.86889484478*Deflactores!$M$5</f>
        <v>313.49253711508646</v>
      </c>
      <c r="Q57" s="57">
        <f>205.65580262684*Deflactores!$N$5</f>
        <v>416.44218122659549</v>
      </c>
      <c r="R57" s="57">
        <f>199.59458920224*Deflactores!$O$5</f>
        <v>389.89826635991739</v>
      </c>
      <c r="S57" s="57">
        <f>217.88160139118*Deflactores!$P$5</f>
        <v>398.6335582261658</v>
      </c>
      <c r="T57" s="57">
        <f>208.50411837496*Deflactores!$Q$5</f>
        <v>360.73440004631959</v>
      </c>
      <c r="U57" s="57">
        <f>216.480144467909*Deflactores!$R$5</f>
        <v>359.81725170060912</v>
      </c>
      <c r="V57" s="57">
        <f>259.54695175636*Deflactores!$S$5</f>
        <v>418.10399968739125</v>
      </c>
    </row>
    <row r="58" spans="3:22" x14ac:dyDescent="0.2">
      <c r="C58" s="87" t="s">
        <v>129</v>
      </c>
      <c r="D58" s="56">
        <f>6032.93408399439*Deflactores!$A$5</f>
        <v>22464.914921570256</v>
      </c>
      <c r="E58" s="56">
        <f>6825.16150350141*Deflactores!$B$5</f>
        <v>23609.236277301523</v>
      </c>
      <c r="F58" s="56">
        <f>7674.73954102947*Deflactores!$C$5</f>
        <v>24813.155296475241</v>
      </c>
      <c r="G58" s="56">
        <f>8817.29122352916*Deflactores!$D$5</f>
        <v>26769.431758987652</v>
      </c>
      <c r="H58" s="56">
        <f>10160.403939438*Deflactores!$E$5</f>
        <v>29239.8339691357</v>
      </c>
      <c r="I58" s="56">
        <f>11185.9622182396*Deflactores!$F$5</f>
        <v>30700.641228851768</v>
      </c>
      <c r="J58" s="56">
        <f>12047.8824462331*Deflactores!$G$5</f>
        <v>31649.013965406637</v>
      </c>
      <c r="K58" s="56">
        <f>13384.8041981896*Deflactores!$H$5</f>
        <v>33266.664305162907</v>
      </c>
      <c r="L58" s="56">
        <f>15060.7891243106*Deflactores!$I$5</f>
        <v>34764.230122463683</v>
      </c>
      <c r="M58" s="56">
        <f>17089.3825588235*Deflactores!$J$5</f>
        <v>38672.601722026891</v>
      </c>
      <c r="N58" s="56">
        <f>18556.9203579323*Deflactores!$K$5</f>
        <v>40702.805719939846</v>
      </c>
      <c r="O58" s="56">
        <f>20003.7761043439*Deflactores!$L$5</f>
        <v>42299.957287210331</v>
      </c>
      <c r="P58" s="56">
        <f>21699.067418846*Deflactores!$M$5</f>
        <v>44791.895701341222</v>
      </c>
      <c r="Q58" s="56">
        <f>23190.8783885423*Deflactores!$N$5</f>
        <v>46960.308716447835</v>
      </c>
      <c r="R58" s="56">
        <f>24391.6821277173*Deflactores!$O$5</f>
        <v>47647.957859032103</v>
      </c>
      <c r="S58" s="56">
        <f>25404.7654293413*Deflactores!$P$5</f>
        <v>46480.253377692337</v>
      </c>
      <c r="T58" s="56">
        <f>27719.0108950714*Deflactores!$Q$5</f>
        <v>47956.850171798891</v>
      </c>
      <c r="U58" s="56">
        <f>28907.1465063621*Deflactores!$R$5</f>
        <v>48047.316468637895</v>
      </c>
      <c r="V58" s="56">
        <f>30497.7432365958*Deflactores!$S$5</f>
        <v>49128.792853747436</v>
      </c>
    </row>
    <row r="59" spans="3:22" x14ac:dyDescent="0.2">
      <c r="C59" s="88" t="s">
        <v>130</v>
      </c>
      <c r="D59" s="57">
        <f>6.911688302*Deflactores!$A$5</f>
        <v>25.737143404364566</v>
      </c>
      <c r="E59" s="57">
        <f>6.87778166313*Deflactores!$B$5</f>
        <v>23.791257139516048</v>
      </c>
      <c r="F59" s="57">
        <f>7.63655270242999*Deflactores!$C$5</f>
        <v>24.689693653069003</v>
      </c>
      <c r="G59" s="57">
        <f>6.70802259297*Deflactores!$D$5</f>
        <v>20.365659757394759</v>
      </c>
      <c r="H59" s="57">
        <f>8.33173791897*Deflactores!$E$5</f>
        <v>23.977258667779914</v>
      </c>
      <c r="I59" s="57">
        <f>8.69379094088*Deflactores!$F$5</f>
        <v>23.860706069558216</v>
      </c>
      <c r="J59" s="57">
        <f>9.074091739*Deflactores!$G$5</f>
        <v>23.837056632369769</v>
      </c>
      <c r="K59" s="57">
        <f>9.5134452335*Deflactores!$H$5</f>
        <v>23.644767923553424</v>
      </c>
      <c r="L59" s="57">
        <f>10.25037529518*Deflactores!$I$5</f>
        <v>23.660540139165231</v>
      </c>
      <c r="M59" s="57">
        <f>10.8260017405*Deflactores!$J$5</f>
        <v>24.498816859603927</v>
      </c>
      <c r="N59" s="57">
        <f>14.03136866142*Deflactores!$K$5</f>
        <v>30.776446823866582</v>
      </c>
      <c r="O59" s="57">
        <f>10.86580455997*Deflactores!$L$5</f>
        <v>22.976815296292845</v>
      </c>
      <c r="P59" s="57">
        <f>17.11223970503*Deflactores!$M$5</f>
        <v>35.323622038168551</v>
      </c>
      <c r="Q59" s="57">
        <f>23.64664046071*Deflactores!$N$5</f>
        <v>47.883202935962061</v>
      </c>
      <c r="R59" s="57">
        <f>24.53470061724*Deflactores!$O$5</f>
        <v>47.927337482223251</v>
      </c>
      <c r="S59" s="57">
        <f>28.37179023925*Deflactores!$P$5</f>
        <v>51.90868629615489</v>
      </c>
      <c r="T59" s="57">
        <f>60.06693656153*Deflactores!$Q$5</f>
        <v>103.92221742199446</v>
      </c>
      <c r="U59" s="57">
        <f>55.9380997432399*Deflactores!$R$5</f>
        <v>92.976163538872854</v>
      </c>
      <c r="V59" s="57">
        <f>37.3611797368399*Deflactores!$S$5</f>
        <v>60.185097822592716</v>
      </c>
    </row>
    <row r="60" spans="3:22" x14ac:dyDescent="0.2">
      <c r="C60" s="87" t="s">
        <v>131</v>
      </c>
      <c r="D60" s="56">
        <f>4778.38547595603*Deflactores!$A$5</f>
        <v>17793.335992947843</v>
      </c>
      <c r="E60" s="56">
        <f>7301.29163131352*Deflactores!$B$5</f>
        <v>25256.240334347065</v>
      </c>
      <c r="F60" s="56">
        <f>8451.85441838745*Deflactores!$C$5</f>
        <v>27325.640838427367</v>
      </c>
      <c r="G60" s="56">
        <f>9868.27142431674*Deflactores!$D$5</f>
        <v>29960.223811988417</v>
      </c>
      <c r="H60" s="56">
        <f>11159.6462071401*Deflactores!$E$5</f>
        <v>32115.475348819684</v>
      </c>
      <c r="I60" s="56">
        <f>11973.9002555744*Deflactores!$F$5</f>
        <v>32863.191264586487</v>
      </c>
      <c r="J60" s="56">
        <f>12862.1510947872*Deflactores!$G$5</f>
        <v>33788.045446224169</v>
      </c>
      <c r="K60" s="56">
        <f>13707.9103472345*Deflactores!$H$5</f>
        <v>34069.714064879561</v>
      </c>
      <c r="L60" s="56">
        <f>15402.6108670919*Deflactores!$I$5</f>
        <v>35553.243873923049</v>
      </c>
      <c r="M60" s="56">
        <f>17813.1231470605*Deflactores!$J$5</f>
        <v>40310.398255787783</v>
      </c>
      <c r="N60" s="56">
        <f>19396.1600496191*Deflactores!$K$5</f>
        <v>42543.596619739568</v>
      </c>
      <c r="O60" s="56">
        <f>20818.6180252237*Deflactores!$L$5</f>
        <v>44023.020886265469</v>
      </c>
      <c r="P60" s="56">
        <f>22140.4286625649*Deflactores!$M$5</f>
        <v>45702.967426852389</v>
      </c>
      <c r="Q60" s="56">
        <f>23673.4384237908*Deflactores!$N$5</f>
        <v>47937.467401419664</v>
      </c>
      <c r="R60" s="56">
        <f>25021.222842394*Deflactores!$O$5</f>
        <v>48877.734849663437</v>
      </c>
      <c r="S60" s="56">
        <f>26586.9360844244*Deflactores!$P$5</f>
        <v>48643.138594513635</v>
      </c>
      <c r="T60" s="56">
        <f>28773.9908259285*Deflactores!$Q$5</f>
        <v>49782.078159546632</v>
      </c>
      <c r="U60" s="56">
        <f>32310.6100146924*Deflactores!$R$5</f>
        <v>53704.301264360161</v>
      </c>
      <c r="V60" s="56">
        <f>34807.4862193638*Deflactores!$S$5</f>
        <v>56071.354754499218</v>
      </c>
    </row>
    <row r="61" spans="3:22" x14ac:dyDescent="0.2">
      <c r="C61" s="88" t="s">
        <v>132</v>
      </c>
      <c r="D61" s="57">
        <f>27.2053375087199*Deflactores!$A$5</f>
        <v>101.30486825099629</v>
      </c>
      <c r="E61" s="57">
        <f>29.38229497255*Deflactores!$B$5</f>
        <v>101.63767465728488</v>
      </c>
      <c r="F61" s="57">
        <f>31.0517718819099*Deflactores!$C$5</f>
        <v>100.39330114298598</v>
      </c>
      <c r="G61" s="57">
        <f>32.10422280988*Deflactores!$D$5</f>
        <v>97.468914193403947</v>
      </c>
      <c r="H61" s="57">
        <f>31.5019671438899*Deflactores!$E$5</f>
        <v>90.657054038292287</v>
      </c>
      <c r="I61" s="57">
        <f>32.69957977563*Deflactores!$F$5</f>
        <v>89.746241533776882</v>
      </c>
      <c r="J61" s="57">
        <f>42.74813633559*Deflactores!$G$5</f>
        <v>112.29661062166198</v>
      </c>
      <c r="K61" s="57">
        <f>45.01258941505*Deflactores!$H$5</f>
        <v>111.87453170059337</v>
      </c>
      <c r="L61" s="57">
        <f>43.83982577936*Deflactores!$I$5</f>
        <v>101.19375414813464</v>
      </c>
      <c r="M61" s="57">
        <f>42.01035723589*Deflactores!$J$5</f>
        <v>95.067788902929891</v>
      </c>
      <c r="N61" s="57">
        <f>49.1761292122*Deflactores!$K$5</f>
        <v>107.86307182308043</v>
      </c>
      <c r="O61" s="57">
        <f>48.3508879698437*Deflactores!$L$5</f>
        <v>102.24272083703977</v>
      </c>
      <c r="P61" s="57">
        <f>50.37625132523*Deflactores!$M$5</f>
        <v>103.98823837122568</v>
      </c>
      <c r="Q61" s="57">
        <f>54.19652910226*Deflactores!$N$5</f>
        <v>109.74512027364628</v>
      </c>
      <c r="R61" s="57">
        <f>61.2574495325399*Deflactores!$O$5</f>
        <v>119.66343110717648</v>
      </c>
      <c r="S61" s="57">
        <f>61.381966109948*Deflactores!$P$5</f>
        <v>112.30370717440951</v>
      </c>
      <c r="T61" s="57">
        <f>66.8373515467799*Deflactores!$Q$5</f>
        <v>115.6357586546747</v>
      </c>
      <c r="U61" s="57">
        <f>70.8539428970799*Deflactores!$R$5</f>
        <v>117.76817254091625</v>
      </c>
      <c r="V61" s="57">
        <f>77.64163385129*Deflactores!$S$5</f>
        <v>125.0728526604352</v>
      </c>
    </row>
    <row r="62" spans="3:22" x14ac:dyDescent="0.2">
      <c r="C62" s="87" t="s">
        <v>133</v>
      </c>
      <c r="D62" s="56">
        <f>602.56151392389*Deflactores!$A$5</f>
        <v>2243.7661272026171</v>
      </c>
      <c r="E62" s="56">
        <f>630.68546562378*Deflactores!$B$5</f>
        <v>2181.6336751786689</v>
      </c>
      <c r="F62" s="56">
        <f>673.85545580264*Deflactores!$C$5</f>
        <v>2178.6381131007311</v>
      </c>
      <c r="G62" s="56">
        <f>696.373977297259*Deflactores!$D$5</f>
        <v>2114.2021048650849</v>
      </c>
      <c r="H62" s="56">
        <f>748.821777196799*Deflactores!$E$5</f>
        <v>2154.9757832677883</v>
      </c>
      <c r="I62" s="56">
        <f>825.89299396487*Deflactores!$F$5</f>
        <v>2266.7200198292862</v>
      </c>
      <c r="J62" s="56">
        <f>908.34793750464*Deflactores!$G$5</f>
        <v>2386.1717349774722</v>
      </c>
      <c r="K62" s="56">
        <f>1022.67249062006*Deflactores!$H$5</f>
        <v>2541.7557056369933</v>
      </c>
      <c r="L62" s="56">
        <f>1184.3222981725*Deflactores!$I$5</f>
        <v>2733.7248116949831</v>
      </c>
      <c r="M62" s="56">
        <f>1370.97153685303*Deflactores!$J$5</f>
        <v>3102.454757183596</v>
      </c>
      <c r="N62" s="56">
        <f>1448.46546752273*Deflactores!$K$5</f>
        <v>3177.0685749275231</v>
      </c>
      <c r="O62" s="56">
        <f>1568.04427198859*Deflactores!$L$5</f>
        <v>3315.7842491132833</v>
      </c>
      <c r="P62" s="56">
        <f>1841.24685189151*Deflactores!$M$5</f>
        <v>3800.7595146102117</v>
      </c>
      <c r="Q62" s="56">
        <f>2100.26384225681*Deflactores!$N$5</f>
        <v>4252.9237903770572</v>
      </c>
      <c r="R62" s="56">
        <f>2382.18577578822*Deflactores!$O$5</f>
        <v>4653.4833826881013</v>
      </c>
      <c r="S62" s="56">
        <f>2648.98536617585*Deflactores!$P$5</f>
        <v>4846.5517761265564</v>
      </c>
      <c r="T62" s="56">
        <f>2986.32393476352*Deflactores!$Q$5</f>
        <v>5166.6594470503078</v>
      </c>
      <c r="U62" s="56">
        <f>3250.34815188803*Deflactores!$R$5</f>
        <v>5402.4877983942588</v>
      </c>
      <c r="V62" s="56">
        <f>3494.41001260136*Deflactores!$S$5</f>
        <v>5629.1425999399917</v>
      </c>
    </row>
    <row r="63" spans="3:22" x14ac:dyDescent="0.2">
      <c r="C63" s="88" t="s">
        <v>134</v>
      </c>
      <c r="D63" s="57">
        <f>6033.15358479573*Deflactores!$A$5</f>
        <v>22465.732279552074</v>
      </c>
      <c r="E63" s="57">
        <f>5075.91103005158*Deflactores!$B$5</f>
        <v>17558.321919498874</v>
      </c>
      <c r="F63" s="57">
        <f>5203.37213133878*Deflactores!$C$5</f>
        <v>16822.991851387538</v>
      </c>
      <c r="G63" s="57">
        <f>3961.40143956077*Deflactores!$D$5</f>
        <v>12026.875694351027</v>
      </c>
      <c r="H63" s="57">
        <f>4809.35553200061*Deflactores!$E$5</f>
        <v>13840.469147924494</v>
      </c>
      <c r="I63" s="57">
        <f>5261.76484844904*Deflactores!$F$5</f>
        <v>14441.274848882869</v>
      </c>
      <c r="J63" s="57">
        <f>5378.62466708138*Deflactores!$G$5</f>
        <v>14129.301805759476</v>
      </c>
      <c r="K63" s="57">
        <f>5715.99356838381*Deflactores!$H$5</f>
        <v>14206.561141597724</v>
      </c>
      <c r="L63" s="57">
        <f>6418.89514761426*Deflactores!$I$5</f>
        <v>14816.484461855323</v>
      </c>
      <c r="M63" s="57">
        <f>5698.50342555851*Deflactores!$J$5</f>
        <v>12895.489502307782</v>
      </c>
      <c r="N63" s="57">
        <f>6683.26415482655*Deflactores!$K$5</f>
        <v>14659.091984121316</v>
      </c>
      <c r="O63" s="57">
        <f>6995.01276954443*Deflactores!$L$5</f>
        <v>14791.644329140776</v>
      </c>
      <c r="P63" s="57">
        <f>7391.25504197387*Deflactores!$M$5</f>
        <v>15257.260533444294</v>
      </c>
      <c r="Q63" s="57">
        <f>10321.8988712674*Deflactores!$N$5</f>
        <v>20901.302202255192</v>
      </c>
      <c r="R63" s="57">
        <f>11202.4006922887*Deflactores!$O$5</f>
        <v>21883.341760165727</v>
      </c>
      <c r="S63" s="57">
        <f>14318.4089898341*Deflactores!$P$5</f>
        <v>26196.788931743842</v>
      </c>
      <c r="T63" s="57">
        <f>16382.8060048871*Deflactores!$Q$5</f>
        <v>28344.004623545719</v>
      </c>
      <c r="U63" s="57">
        <f>19152.9638946466*Deflactores!$R$5</f>
        <v>31834.637063051014</v>
      </c>
      <c r="V63" s="57">
        <f>10283.8382612932*Deflactores!$S$5</f>
        <v>16566.22772908198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138.29749610405*Deflactores!$A$5</f>
        <v>514.98018055364628</v>
      </c>
      <c r="E65" s="57">
        <f>145.673636158899*Deflactores!$B$5</f>
        <v>503.90650736758653</v>
      </c>
      <c r="F65" s="57">
        <f>159.65411845217*Deflactores!$C$5</f>
        <v>516.17679188942986</v>
      </c>
      <c r="G65" s="57">
        <f>150.23392913893*Deflactores!$D$5</f>
        <v>456.11251936844599</v>
      </c>
      <c r="H65" s="57">
        <f>151.53359715261*Deflactores!$E$5</f>
        <v>436.08671937636484</v>
      </c>
      <c r="I65" s="57">
        <f>160.57116279601*Deflactores!$F$5</f>
        <v>440.69857956981895</v>
      </c>
      <c r="J65" s="57">
        <f>296.482426564879*Deflactores!$G$5</f>
        <v>778.84030664519958</v>
      </c>
      <c r="K65" s="57">
        <f>207.85591149733*Deflactores!$H$5</f>
        <v>516.60619977994088</v>
      </c>
      <c r="L65" s="57">
        <f>287.588138715209*Deflactores!$I$5</f>
        <v>663.82844565883113</v>
      </c>
      <c r="M65" s="57">
        <f>473.35940157814*Deflactores!$J$5</f>
        <v>1071.1937394810509</v>
      </c>
      <c r="N65" s="57">
        <f>606.480458537509*Deflactores!$K$5</f>
        <v>1330.2560877910041</v>
      </c>
      <c r="O65" s="57">
        <f>808.42952351716*Deflactores!$L$5</f>
        <v>1709.5039524597435</v>
      </c>
      <c r="P65" s="57">
        <f>1328.23465518014*Deflactores!$M$5</f>
        <v>2741.7836441239911</v>
      </c>
      <c r="Q65" s="57">
        <f>1128.05367462995*Deflactores!$N$5</f>
        <v>2284.2493467396253</v>
      </c>
      <c r="R65" s="57">
        <f>1152.65630647651*Deflactores!$O$5</f>
        <v>2251.6577097620698</v>
      </c>
      <c r="S65" s="57">
        <f>1113.36564756494*Deflactores!$P$5</f>
        <v>2037.0004023366687</v>
      </c>
      <c r="T65" s="57">
        <f>1202.98166572082*Deflactores!$Q$5</f>
        <v>2081.2868006286712</v>
      </c>
      <c r="U65" s="57">
        <f>1209.40714086115*Deflactores!$R$5</f>
        <v>2010.1869142842306</v>
      </c>
      <c r="V65" s="57">
        <f>1361.43202849312*Deflactores!$S$5</f>
        <v>2193.1298848380466</v>
      </c>
    </row>
    <row r="66" spans="3:22" x14ac:dyDescent="0.2">
      <c r="C66" s="87" t="s">
        <v>137</v>
      </c>
      <c r="D66" s="56">
        <f>41.4624505620499*Deflactores!$A$5</f>
        <v>154.39426510351544</v>
      </c>
      <c r="E66" s="56">
        <f>38.72656549268*Deflactores!$B$5</f>
        <v>133.96087908777281</v>
      </c>
      <c r="F66" s="56">
        <f>41.49291398687*Deflactores!$C$5</f>
        <v>134.15049630744747</v>
      </c>
      <c r="G66" s="56">
        <f>41.68323604975*Deflactores!$D$5</f>
        <v>126.55094570880445</v>
      </c>
      <c r="H66" s="56">
        <f>43.96310641942*Deflactores!$E$5</f>
        <v>126.51799477003745</v>
      </c>
      <c r="I66" s="56">
        <f>45.84654118029*Deflactores!$F$5</f>
        <v>125.8289796531577</v>
      </c>
      <c r="J66" s="56">
        <f>47.58907513643*Deflactores!$G$5</f>
        <v>125.01344616493765</v>
      </c>
      <c r="K66" s="56">
        <f>48.44435720948*Deflactores!$H$5</f>
        <v>120.40386582458554</v>
      </c>
      <c r="L66" s="56">
        <f>51.8885971484399*Deflactores!$I$5</f>
        <v>119.77241810579754</v>
      </c>
      <c r="M66" s="56">
        <f>56.00067919992*Deflactores!$J$5</f>
        <v>126.72733818246247</v>
      </c>
      <c r="N66" s="56">
        <f>55.3055664408199*Deflactores!$K$5</f>
        <v>121.30739813784191</v>
      </c>
      <c r="O66" s="56">
        <f>57.20052996495*Deflactores!$L$5</f>
        <v>120.95616156180424</v>
      </c>
      <c r="P66" s="56">
        <f>98.3440426621239*Deflactores!$M$5</f>
        <v>203.00485807718516</v>
      </c>
      <c r="Q66" s="56">
        <f>116.6321714909*Deflactores!$N$5</f>
        <v>236.17401151085164</v>
      </c>
      <c r="R66" s="56">
        <f>123.650670830476*Deflactores!$O$5</f>
        <v>241.54553679906235</v>
      </c>
      <c r="S66" s="56">
        <f>122.90044966286*Deflactores!$P$5</f>
        <v>224.85718502106118</v>
      </c>
      <c r="T66" s="56">
        <f>136.08624181993*Deflactores!$Q$5</f>
        <v>235.44373693947298</v>
      </c>
      <c r="U66" s="56">
        <f>142.36491091918*Deflactores!$R$5</f>
        <v>236.62840354919953</v>
      </c>
      <c r="V66" s="56">
        <f>144.82796686094*Deflactores!$S$5</f>
        <v>233.30326864325485</v>
      </c>
    </row>
    <row r="67" spans="3:22" x14ac:dyDescent="0.2">
      <c r="C67" s="88" t="s">
        <v>138</v>
      </c>
      <c r="D67" s="57">
        <f>147.253696890829*Deflactores!$A$5</f>
        <v>548.33050162366806</v>
      </c>
      <c r="E67" s="57">
        <f>162.48059153946*Deflactores!$B$5</f>
        <v>562.04423502108807</v>
      </c>
      <c r="F67" s="57">
        <f>178.33110562564*Deflactores!$C$5</f>
        <v>576.56124933297508</v>
      </c>
      <c r="G67" s="57">
        <f>195.78303696134*Deflactores!$D$5</f>
        <v>594.400311233705</v>
      </c>
      <c r="H67" s="57">
        <f>222.83583278594*Deflactores!$E$5</f>
        <v>641.28186161419205</v>
      </c>
      <c r="I67" s="57">
        <f>236.61221684006*Deflactores!$F$5</f>
        <v>649.39847264325567</v>
      </c>
      <c r="J67" s="57">
        <f>257.75357164781*Deflactores!$G$5</f>
        <v>677.1020903565967</v>
      </c>
      <c r="K67" s="57">
        <f>253.69118815621*Deflactores!$H$5</f>
        <v>630.52544277876405</v>
      </c>
      <c r="L67" s="57">
        <f>292.912702386959*Deflactores!$I$5</f>
        <v>676.11892760227965</v>
      </c>
      <c r="M67" s="57">
        <f>280.909798251009*Deflactores!$J$5</f>
        <v>635.68784361768564</v>
      </c>
      <c r="N67" s="57">
        <f>278.93146432062*Deflactores!$K$5</f>
        <v>611.80912470573151</v>
      </c>
      <c r="O67" s="57">
        <f>282.44823470512*Deflactores!$L$5</f>
        <v>597.26464651241906</v>
      </c>
      <c r="P67" s="57">
        <f>114.380402031433*Deflactores!$M$5</f>
        <v>236.10761417422668</v>
      </c>
      <c r="Q67" s="57">
        <f>143.483348550119*Deflactores!$N$5</f>
        <v>290.54623247527644</v>
      </c>
      <c r="R67" s="57">
        <f>121.67975803995*Deflactores!$O$5</f>
        <v>237.69545507468237</v>
      </c>
      <c r="S67" s="57">
        <f>61.63878869845*Deflactores!$P$5</f>
        <v>112.77358669445029</v>
      </c>
      <c r="T67" s="57">
        <f>81.27033184115*Deflactores!$Q$5</f>
        <v>140.60635649201322</v>
      </c>
      <c r="U67" s="57">
        <f>83.47428335875*Deflactores!$R$5</f>
        <v>138.74476709930212</v>
      </c>
      <c r="V67" s="57">
        <f>86.33079663365*Deflactores!$S$5</f>
        <v>139.07021879652396</v>
      </c>
    </row>
    <row r="68" spans="3:22" x14ac:dyDescent="0.2">
      <c r="C68" s="87" t="s">
        <v>139</v>
      </c>
      <c r="D68" s="56">
        <f>460.58837893334*Deflactores!$A$5</f>
        <v>1715.0989224385278</v>
      </c>
      <c r="E68" s="56">
        <f>605.07429890669*Deflactores!$B$5</f>
        <v>2093.0408871470686</v>
      </c>
      <c r="F68" s="56">
        <f>561.492328777309*Deflactores!$C$5</f>
        <v>1815.3575476076737</v>
      </c>
      <c r="G68" s="56">
        <f>625.46158874886*Deflactores!$D$5</f>
        <v>1898.9110026445339</v>
      </c>
      <c r="H68" s="56">
        <f>705.268330067429*Deflactores!$E$5</f>
        <v>2029.6367150144895</v>
      </c>
      <c r="I68" s="56">
        <f>837.872979081429*Deflactores!$F$5</f>
        <v>2299.599911412573</v>
      </c>
      <c r="J68" s="56">
        <f>1017.4385001647*Deflactores!$G$5</f>
        <v>2672.7456417640383</v>
      </c>
      <c r="K68" s="56">
        <f>876.963712644009*Deflactores!$H$5</f>
        <v>2179.6103255872476</v>
      </c>
      <c r="L68" s="56">
        <f>972.56573824796*Deflactores!$I$5</f>
        <v>2244.9354316434942</v>
      </c>
      <c r="M68" s="56">
        <f>1361.12494642042*Deflactores!$J$5</f>
        <v>3080.172309657507</v>
      </c>
      <c r="N68" s="56">
        <f>2331.4572711654*Deflactores!$K$5</f>
        <v>5113.8254905546319</v>
      </c>
      <c r="O68" s="56">
        <f>2446.12135220618*Deflactores!$L$5</f>
        <v>5172.5648286567994</v>
      </c>
      <c r="P68" s="56">
        <f>1978.73505318697*Deflactores!$M$5</f>
        <v>4084.5669729548322</v>
      </c>
      <c r="Q68" s="56">
        <f>2443.64112414453*Deflactores!$N$5</f>
        <v>4948.2447218873021</v>
      </c>
      <c r="R68" s="56">
        <f>2646.14586635155*Deflactores!$O$5</f>
        <v>5169.1165073644797</v>
      </c>
      <c r="S68" s="56">
        <f>2594.21709467363*Deflactores!$P$5</f>
        <v>4746.3484050873058</v>
      </c>
      <c r="T68" s="56">
        <f>2689.94663020118*Deflactores!$Q$5</f>
        <v>4653.8950470859163</v>
      </c>
      <c r="U68" s="56">
        <f>2939.74669992191*Deflactores!$R$5</f>
        <v>4886.2290851743255</v>
      </c>
      <c r="V68" s="56">
        <f>3268.50800834835*Deflactores!$S$5</f>
        <v>5265.2372222176464</v>
      </c>
    </row>
    <row r="69" spans="3:22" x14ac:dyDescent="0.2">
      <c r="C69" s="88" t="s">
        <v>140</v>
      </c>
      <c r="D69" s="57">
        <f>102.9249749419*Deflactores!$A$5</f>
        <v>383.26306456901182</v>
      </c>
      <c r="E69" s="57">
        <f>84.86725056314*Deflactores!$B$5</f>
        <v>293.56828695148386</v>
      </c>
      <c r="F69" s="57">
        <f>107.13220107589*Deflactores!$C$5</f>
        <v>346.3684895543301</v>
      </c>
      <c r="G69" s="57">
        <f>79.76043653391*Deflactores!$D$5</f>
        <v>242.15391198193512</v>
      </c>
      <c r="H69" s="57">
        <f>2361.27084178397*Deflactores!$E$5</f>
        <v>6795.3171725713437</v>
      </c>
      <c r="I69" s="57">
        <f>2121.52937398617*Deflactores!$F$5</f>
        <v>5822.6830107665191</v>
      </c>
      <c r="J69" s="57">
        <f>194.56996628403*Deflactores!$G$5</f>
        <v>511.12281412550738</v>
      </c>
      <c r="K69" s="57">
        <f>123.31134963077*Deflactores!$H$5</f>
        <v>306.47869124138913</v>
      </c>
      <c r="L69" s="57">
        <f>126.10021302105*Deflactores!$I$5</f>
        <v>291.07218670762308</v>
      </c>
      <c r="M69" s="57">
        <f>109.900310694579*Deflactores!$J$5</f>
        <v>248.70008790481791</v>
      </c>
      <c r="N69" s="57">
        <f>965.113059284549*Deflactores!$K$5</f>
        <v>2116.881928258319</v>
      </c>
      <c r="O69" s="57">
        <f>717.11179817288*Deflactores!$L$5</f>
        <v>1516.403616729159</v>
      </c>
      <c r="P69" s="57">
        <f>172.380833882105*Deflactores!$M$5</f>
        <v>355.8339251691263</v>
      </c>
      <c r="Q69" s="57">
        <f>283.240925984181*Deflactores!$N$5</f>
        <v>573.54797444504004</v>
      </c>
      <c r="R69" s="57">
        <f>446.369548993188*Deflactores!$O$5</f>
        <v>871.96107872421726</v>
      </c>
      <c r="S69" s="57">
        <f>729.48652590746*Deflactores!$P$5</f>
        <v>1334.6597768870013</v>
      </c>
      <c r="T69" s="57">
        <f>539.33190940212*Deflactores!$Q$5</f>
        <v>933.10182206633397</v>
      </c>
      <c r="U69" s="57">
        <f>681.368709530609*Deflactores!$R$5</f>
        <v>1132.5205693145592</v>
      </c>
      <c r="V69" s="57">
        <f>603.89891789191*Deflactores!$S$5</f>
        <v>972.82033662453864</v>
      </c>
    </row>
    <row r="70" spans="3:22" x14ac:dyDescent="0.2">
      <c r="C70" s="87" t="s">
        <v>141</v>
      </c>
      <c r="D70" s="56">
        <f>356.12641867794*Deflactores!$A$5</f>
        <v>1326.1125657163523</v>
      </c>
      <c r="E70" s="56">
        <f>355.74676884506*Deflactores!$B$5</f>
        <v>1230.5803337021143</v>
      </c>
      <c r="F70" s="56">
        <f>384.67354687292*Deflactores!$C$5</f>
        <v>1243.6857832081391</v>
      </c>
      <c r="G70" s="56">
        <f>396.3349953447*Deflactores!$D$5</f>
        <v>1203.2791412476531</v>
      </c>
      <c r="H70" s="56">
        <f>443.333609127679*Deflactores!$E$5</f>
        <v>1275.8352129598557</v>
      </c>
      <c r="I70" s="56">
        <f>462.301232857609*Deflactores!$F$5</f>
        <v>1268.8174707469143</v>
      </c>
      <c r="J70" s="56">
        <f>522.89469966258*Deflactores!$G$5</f>
        <v>1373.6108171633398</v>
      </c>
      <c r="K70" s="56">
        <f>572.80116691023*Deflactores!$H$5</f>
        <v>1423.6430993727627</v>
      </c>
      <c r="L70" s="56">
        <f>651.649732025189*Deflactores!$I$5</f>
        <v>1504.1775737234116</v>
      </c>
      <c r="M70" s="56">
        <f>727.38555004797*Deflactores!$J$5</f>
        <v>1646.0449392209741</v>
      </c>
      <c r="N70" s="56">
        <f>813.95991058062*Deflactores!$K$5</f>
        <v>1785.3421508068666</v>
      </c>
      <c r="O70" s="56">
        <f>856.776343412689*Deflactores!$L$5</f>
        <v>1811.7380709524632</v>
      </c>
      <c r="P70" s="56">
        <f>974.952130122973*Deflactores!$M$5</f>
        <v>2012.5267728483382</v>
      </c>
      <c r="Q70" s="56">
        <f>1090.00803842848*Deflactores!$N$5</f>
        <v>2207.2089349276521</v>
      </c>
      <c r="R70" s="56">
        <f>1253.09101931308*Deflactores!$O$5</f>
        <v>2447.8520082841428</v>
      </c>
      <c r="S70" s="56">
        <f>1331.91588310705*Deflactores!$P$5</f>
        <v>2436.8572855661155</v>
      </c>
      <c r="T70" s="56">
        <f>1438.18776191151*Deflactores!$Q$5</f>
        <v>2488.2184749661651</v>
      </c>
      <c r="U70" s="56">
        <f>1502.06918381514*Deflactores!$R$5</f>
        <v>2496.628071424167</v>
      </c>
      <c r="V70" s="56">
        <f>1603.56073622311*Deflactores!$S$5</f>
        <v>2583.1748476318257</v>
      </c>
    </row>
    <row r="71" spans="3:22" x14ac:dyDescent="0.2">
      <c r="C71" s="88" t="s">
        <v>142</v>
      </c>
      <c r="D71" s="57">
        <f>36.03716699894*Deflactores!$A$5</f>
        <v>134.19206631039322</v>
      </c>
      <c r="E71" s="57">
        <f>40.0573951622599*Deflactores!$B$5</f>
        <v>138.56441441771864</v>
      </c>
      <c r="F71" s="57">
        <f>43.78846199612*Deflactores!$C$5</f>
        <v>141.57221908247135</v>
      </c>
      <c r="G71" s="57">
        <f>42.7430730262*Deflactores!$D$5</f>
        <v>129.76862706892791</v>
      </c>
      <c r="H71" s="57">
        <f>51.3510834593899*Deflactores!$E$5</f>
        <v>147.77927761903953</v>
      </c>
      <c r="I71" s="57">
        <f>44.44907188219*Deflactores!$F$5</f>
        <v>121.99352922768189</v>
      </c>
      <c r="J71" s="57">
        <f>52.44315140269*Deflactores!$G$5</f>
        <v>137.76479298672248</v>
      </c>
      <c r="K71" s="57">
        <f>56.516254545*Deflactores!$H$5</f>
        <v>140.46580285335455</v>
      </c>
      <c r="L71" s="57">
        <f>60.2128802634*Deflactores!$I$5</f>
        <v>138.98703504415525</v>
      </c>
      <c r="M71" s="57">
        <f>59.4634577927099*Deflactores!$J$5</f>
        <v>134.56347017316349</v>
      </c>
      <c r="N71" s="57">
        <f>182.3595709088*Deflactores!$K$5</f>
        <v>399.98803910906776</v>
      </c>
      <c r="O71" s="57">
        <f>72.24229875503*Deflactores!$L$5</f>
        <v>152.76346504418575</v>
      </c>
      <c r="P71" s="57">
        <f>93.02651162863*Deflactores!$M$5</f>
        <v>192.02824369817097</v>
      </c>
      <c r="Q71" s="57">
        <f>116.46958970141*Deflactores!$N$5</f>
        <v>235.84479194019946</v>
      </c>
      <c r="R71" s="57">
        <f>170.020695743139*Deflactores!$O$5</f>
        <v>332.12711216528766</v>
      </c>
      <c r="S71" s="57">
        <f>168.89432259088*Deflactores!$P$5</f>
        <v>309.00702192712009</v>
      </c>
      <c r="T71" s="57">
        <f>167.628225999739*Deflactores!$Q$5</f>
        <v>290.01473931608768</v>
      </c>
      <c r="U71" s="57">
        <f>172.619072036269*Deflactores!$R$5</f>
        <v>286.91462786974972</v>
      </c>
      <c r="V71" s="57">
        <f>165.366520546732*Deflactores!$S$5</f>
        <v>266.38881014437334</v>
      </c>
    </row>
    <row r="72" spans="3:22" x14ac:dyDescent="0.2">
      <c r="C72" s="87" t="s">
        <v>143</v>
      </c>
      <c r="D72" s="56">
        <f>43.45165162676*Deflactores!$A$5</f>
        <v>161.80147891663603</v>
      </c>
      <c r="E72" s="56">
        <f>49.9590945392499*Deflactores!$B$5</f>
        <v>172.8158471520558</v>
      </c>
      <c r="F72" s="56">
        <f>46.2942514339199*Deflactores!$C$5</f>
        <v>149.67367218429948</v>
      </c>
      <c r="G72" s="56">
        <f>45.00022994608*Deflactores!$D$5</f>
        <v>136.62139019132707</v>
      </c>
      <c r="H72" s="56">
        <f>73.46413730178*Deflactores!$E$5</f>
        <v>211.41671041758326</v>
      </c>
      <c r="I72" s="56">
        <f>90.8155230182699*Deflactores!$F$5</f>
        <v>249.24943744653666</v>
      </c>
      <c r="J72" s="56">
        <f>166.74805622262*Deflactores!$G$5</f>
        <v>438.03644197608776</v>
      </c>
      <c r="K72" s="56">
        <f>223.81714580047*Deflactores!$H$5</f>
        <v>556.27633731773381</v>
      </c>
      <c r="L72" s="56">
        <f>234.25407556249*Deflactores!$I$5</f>
        <v>540.71951494455118</v>
      </c>
      <c r="M72" s="56">
        <f>245.20151040389*Deflactores!$J$5</f>
        <v>554.88139029300828</v>
      </c>
      <c r="N72" s="56">
        <f>234.78993136514*Deflactores!$K$5</f>
        <v>514.98895166989587</v>
      </c>
      <c r="O72" s="56">
        <f>240.76536305463*Deflactores!$L$5</f>
        <v>509.12210376314709</v>
      </c>
      <c r="P72" s="56">
        <f>469.190350559769*Deflactores!$M$5</f>
        <v>968.5174408968478</v>
      </c>
      <c r="Q72" s="56">
        <f>472.45616030026*Deflactores!$N$5</f>
        <v>956.69886974394831</v>
      </c>
      <c r="R72" s="56">
        <f>531.12084229342*Deflactores!$O$5</f>
        <v>1037.5185843740271</v>
      </c>
      <c r="S72" s="56">
        <f>526.19455462436*Deflactores!$P$5</f>
        <v>962.71923048952021</v>
      </c>
      <c r="T72" s="56">
        <f>709.6009988415*Deflactores!$Q$5</f>
        <v>1227.6855372661016</v>
      </c>
      <c r="U72" s="56">
        <f>1747.79257188346*Deflactores!$R$5</f>
        <v>2905.0512752732934</v>
      </c>
      <c r="V72" s="56">
        <f>732.30377987225*Deflactores!$S$5</f>
        <v>1179.6676373151815</v>
      </c>
    </row>
    <row r="73" spans="3:22" x14ac:dyDescent="0.2">
      <c r="C73" s="88" t="s">
        <v>144</v>
      </c>
      <c r="D73" s="57">
        <f>678.643421644129*Deflactores!$A$5</f>
        <v>2527.0733140887514</v>
      </c>
      <c r="E73" s="57">
        <f>738.77305001638*Deflactores!$B$5</f>
        <v>2555.5245079829206</v>
      </c>
      <c r="F73" s="57">
        <f>781.126332891959*Deflactores!$C$5</f>
        <v>2525.4549552589137</v>
      </c>
      <c r="G73" s="57">
        <f>775.31151387229*Deflactores!$D$5</f>
        <v>2353.8576799161833</v>
      </c>
      <c r="H73" s="57">
        <f>961.56621641673*Deflactores!$E$5</f>
        <v>2767.2164104836138</v>
      </c>
      <c r="I73" s="57">
        <f>1004.38974572582*Deflactores!$F$5</f>
        <v>2756.6166089124158</v>
      </c>
      <c r="J73" s="57">
        <f>1125.37533443539*Deflactores!$G$5</f>
        <v>2956.2887781168438</v>
      </c>
      <c r="K73" s="57">
        <f>1220.42196722433*Deflactores!$H$5</f>
        <v>3033.2433178058518</v>
      </c>
      <c r="L73" s="57">
        <f>1355.79252654312*Deflactores!$I$5</f>
        <v>3129.5228292507527</v>
      </c>
      <c r="M73" s="57">
        <f>1585.63666387871*Deflactores!$J$5</f>
        <v>3588.2335108920593</v>
      </c>
      <c r="N73" s="57">
        <f>1689.0095350929*Deflactores!$K$5</f>
        <v>3704.6786665022037</v>
      </c>
      <c r="O73" s="57">
        <f>1860.45699984173*Deflactores!$L$5</f>
        <v>3934.1197990567007</v>
      </c>
      <c r="P73" s="57">
        <f>2219.91812791399*Deflactores!$M$5</f>
        <v>4582.4246421152511</v>
      </c>
      <c r="Q73" s="57">
        <f>2494.22593724524*Deflactores!$N$5</f>
        <v>5050.6763072621279</v>
      </c>
      <c r="R73" s="57">
        <f>2752.42311395511*Deflactores!$O$5</f>
        <v>5376.7239117523068</v>
      </c>
      <c r="S73" s="57">
        <f>2970.78230995659*Deflactores!$P$5</f>
        <v>5435.3075953722227</v>
      </c>
      <c r="T73" s="57">
        <f>3306.30360744719*Deflactores!$Q$5</f>
        <v>5720.2584653919221</v>
      </c>
      <c r="U73" s="57">
        <f>3524.69792549179*Deflactores!$R$5</f>
        <v>5858.4916586347672</v>
      </c>
      <c r="V73" s="57">
        <f>3949.16069910725*Deflactores!$S$5</f>
        <v>6361.7001568755086</v>
      </c>
    </row>
    <row r="74" spans="3:22" x14ac:dyDescent="0.2">
      <c r="C74" s="87" t="s">
        <v>145</v>
      </c>
      <c r="D74" s="56">
        <f>187.49715294061*Deflactores!$A$5</f>
        <v>698.18558104626675</v>
      </c>
      <c r="E74" s="56">
        <f>189.97231215174*Deflactores!$B$5</f>
        <v>657.14213523515662</v>
      </c>
      <c r="F74" s="56">
        <f>210.96739935276*Deflactores!$C$5</f>
        <v>682.07745873957901</v>
      </c>
      <c r="G74" s="56">
        <f>304.822110879569*Deflactores!$D$5</f>
        <v>925.44461660132708</v>
      </c>
      <c r="H74" s="56">
        <f>147.47271126364*Deflactores!$E$5</f>
        <v>424.40021263225833</v>
      </c>
      <c r="I74" s="56">
        <f>148.36300841235*Deflactores!$F$5</f>
        <v>407.19246176905966</v>
      </c>
      <c r="J74" s="56">
        <f>408.90242987653*Deflactores!$G$5</f>
        <v>1074.1604403433785</v>
      </c>
      <c r="K74" s="56">
        <f>350.94343400737*Deflactores!$H$5</f>
        <v>872.23669740371452</v>
      </c>
      <c r="L74" s="56">
        <f>263.80998737838*Deflactores!$I$5</f>
        <v>608.94226950050654</v>
      </c>
      <c r="M74" s="56">
        <f>317.388947580319*Deflactores!$J$5</f>
        <v>718.23872620895645</v>
      </c>
      <c r="N74" s="56">
        <f>676.280384023349*Deflactores!$K$5</f>
        <v>1483.3554572724274</v>
      </c>
      <c r="O74" s="56">
        <f>545.033377578611*Deflactores!$L$5</f>
        <v>1152.5268265061595</v>
      </c>
      <c r="P74" s="56">
        <f>386.28406036611*Deflactores!$M$5</f>
        <v>797.37967577270058</v>
      </c>
      <c r="Q74" s="56">
        <f>515.309880864773*Deflactores!$N$5</f>
        <v>1043.4753994484972</v>
      </c>
      <c r="R74" s="56">
        <f>1059.10315517669*Deflactores!$O$5</f>
        <v>2068.9062050739981</v>
      </c>
      <c r="S74" s="56">
        <f>807.23388948733*Deflactores!$P$5</f>
        <v>1476.9054185045482</v>
      </c>
      <c r="T74" s="56">
        <f>689.20250379177*Deflactores!$Q$5</f>
        <v>1192.3939615842285</v>
      </c>
      <c r="U74" s="56">
        <f>727.410252894089*Deflactores!$R$5</f>
        <v>1209.0474103226391</v>
      </c>
      <c r="V74" s="56">
        <f>1767.19434080512*Deflactores!$S$5</f>
        <v>2846.7721046831289</v>
      </c>
    </row>
    <row r="75" spans="3:22" x14ac:dyDescent="0.2">
      <c r="C75" s="88" t="s">
        <v>146</v>
      </c>
      <c r="D75" s="57">
        <f>192.83473874689*Deflactores!$A$5</f>
        <v>718.06121856446589</v>
      </c>
      <c r="E75" s="57">
        <f>204.74265237698*Deflactores!$B$5</f>
        <v>708.23491188152991</v>
      </c>
      <c r="F75" s="57">
        <f>222.24646347613*Deflactores!$C$5</f>
        <v>718.54373465629135</v>
      </c>
      <c r="G75" s="57">
        <f>218.74693916362*Deflactores!$D$5</f>
        <v>664.11907149009494</v>
      </c>
      <c r="H75" s="57">
        <f>216.933690200069*Deflactores!$E$5</f>
        <v>624.29654584311663</v>
      </c>
      <c r="I75" s="57">
        <f>267.78262422327*Deflactores!$F$5</f>
        <v>734.94779556772403</v>
      </c>
      <c r="J75" s="57">
        <f>282.4040689129*Deflactores!$G$5</f>
        <v>741.85736462813304</v>
      </c>
      <c r="K75" s="57">
        <f>259.83420072364*Deflactores!$H$5</f>
        <v>645.79331923606264</v>
      </c>
      <c r="L75" s="57">
        <f>257.36825354476*Deflactores!$I$5</f>
        <v>594.0730673935501</v>
      </c>
      <c r="M75" s="57">
        <f>276.625429823309*Deflactores!$J$5</f>
        <v>625.9924860900187</v>
      </c>
      <c r="N75" s="57">
        <f>329.24775120321*Deflactores!$K$5</f>
        <v>722.17302184103266</v>
      </c>
      <c r="O75" s="57">
        <f>356.030659699409*Deflactores!$L$5</f>
        <v>752.86194064889378</v>
      </c>
      <c r="P75" s="57">
        <f>549.462180689614*Deflactores!$M$5</f>
        <v>1134.2170709099341</v>
      </c>
      <c r="Q75" s="57">
        <f>570.0520020007*Deflactores!$N$5</f>
        <v>1154.3253148879398</v>
      </c>
      <c r="R75" s="57">
        <f>597.286281056977*Deflactores!$O$5</f>
        <v>1166.7695323579651</v>
      </c>
      <c r="S75" s="57">
        <f>759.672573968521*Deflactores!$P$5</f>
        <v>1389.8878074803818</v>
      </c>
      <c r="T75" s="57">
        <f>916.142804119189*Deflactores!$Q$5</f>
        <v>1585.0249260130565</v>
      </c>
      <c r="U75" s="57">
        <f>846.391405260521*Deflactores!$R$5</f>
        <v>1406.8090634935945</v>
      </c>
      <c r="V75" s="57">
        <f>772.191272898605*Deflactores!$S$5</f>
        <v>1243.9223714161508</v>
      </c>
    </row>
    <row r="76" spans="3:22" x14ac:dyDescent="0.2">
      <c r="C76" s="90" t="s">
        <v>147</v>
      </c>
      <c r="D76" s="58">
        <f>4135.16705251476*Deflactores!$A$5</f>
        <v>15398.175204281068</v>
      </c>
      <c r="E76" s="58">
        <f>5159.41170124029*Deflactores!$B$5</f>
        <v>17847.1630076396</v>
      </c>
      <c r="F76" s="58">
        <f>6372.49928027459*Deflactores!$C$5</f>
        <v>20602.889964252787</v>
      </c>
      <c r="G76" s="58">
        <f>7291.99746109808*Deflactores!$D$5</f>
        <v>22138.616438195124</v>
      </c>
      <c r="H76" s="58">
        <f>9461.16661754421*Deflactores!$E$5</f>
        <v>27227.553422115594</v>
      </c>
      <c r="I76" s="58">
        <f>12450.1136802153*Deflactores!$F$5</f>
        <v>34170.191700760319</v>
      </c>
      <c r="J76" s="58">
        <f>13712.3931026237*Deflactores!$G$5</f>
        <v>36021.576633142933</v>
      </c>
      <c r="K76" s="58">
        <f>14720.8605306446*Deflactores!$H$5</f>
        <v>36587.305895913953</v>
      </c>
      <c r="L76" s="58">
        <f>17103.7653879847*Deflactores!$I$5</f>
        <v>39479.952278778546</v>
      </c>
      <c r="M76" s="58">
        <f>19307.3581836011*Deflactores!$J$5</f>
        <v>43691.793472866426</v>
      </c>
      <c r="N76" s="58">
        <f>19824.4167307461*Deflactores!$K$5</f>
        <v>43482.936130496666</v>
      </c>
      <c r="O76" s="58">
        <f>20681.0891121721*Deflactores!$L$5</f>
        <v>43732.202436914005</v>
      </c>
      <c r="P76" s="58">
        <f>23378.1286469848*Deflactores!$M$5</f>
        <v>48257.866563371877</v>
      </c>
      <c r="Q76" s="58">
        <f>23430.9000713274*Deflactores!$N$5</f>
        <v>47446.33999708265</v>
      </c>
      <c r="R76" s="58">
        <f>27761.3737231937*Deflactores!$O$5</f>
        <v>54230.485554272287</v>
      </c>
      <c r="S76" s="58">
        <f>27204.6394732364*Deflactores!$P$5</f>
        <v>49773.281287784914</v>
      </c>
      <c r="T76" s="58">
        <f>28823.2737735131*Deflactores!$Q$5</f>
        <v>49867.342923945551</v>
      </c>
      <c r="U76" s="58">
        <f>35161.8792371471*Deflactores!$R$5</f>
        <v>58443.469644000019</v>
      </c>
      <c r="V76" s="58">
        <f>43359.8010172042*Deflactores!$S$5</f>
        <v>69848.272569813591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0.24945068766497933</v>
      </c>
      <c r="V77" s="59">
        <f>113.937033405*Deflactores!$S$5</f>
        <v>183.54108594526804</v>
      </c>
    </row>
    <row r="78" spans="3:22" x14ac:dyDescent="0.2">
      <c r="C78" s="90" t="s">
        <v>149</v>
      </c>
      <c r="D78" s="56">
        <f>100.31849029677*Deflactores!$A$5</f>
        <v>373.55726387866912</v>
      </c>
      <c r="E78" s="56">
        <f>85.3317523085099*Deflactores!$B$5</f>
        <v>295.17506672541754</v>
      </c>
      <c r="F78" s="56">
        <f>92.70891876129*Deflactores!$C$5</f>
        <v>299.73666028588451</v>
      </c>
      <c r="G78" s="56">
        <f>122.55957212703*Deflactores!$D$5</f>
        <v>372.09274586623894</v>
      </c>
      <c r="H78" s="56">
        <f>104.666697869159*Deflactores!$E$5</f>
        <v>301.2121256235389</v>
      </c>
      <c r="I78" s="56">
        <f>46.02609812751*Deflactores!$F$5</f>
        <v>126.32178602146105</v>
      </c>
      <c r="J78" s="56">
        <f>128.08598045274*Deflactores!$G$5</f>
        <v>336.47365022133266</v>
      </c>
      <c r="K78" s="56">
        <f>135.20751176692*Deflactores!$H$5</f>
        <v>336.04547656325582</v>
      </c>
      <c r="L78" s="56">
        <f>188.00550742177*Deflactores!$I$5</f>
        <v>433.96575507129296</v>
      </c>
      <c r="M78" s="56">
        <f>223.259648357389*Deflactores!$J$5</f>
        <v>505.22781802126622</v>
      </c>
      <c r="N78" s="56">
        <f>355.11843871492*Deflactores!$K$5</f>
        <v>778.91786674630748</v>
      </c>
      <c r="O78" s="56">
        <f>385.39623561156*Deflactores!$L$5</f>
        <v>814.9583468633474</v>
      </c>
      <c r="P78" s="56">
        <f>617.77322116505*Deflactores!$M$5</f>
        <v>1275.2268636887868</v>
      </c>
      <c r="Q78" s="56">
        <f>340.12341157424*Deflactores!$N$5</f>
        <v>688.73201530430345</v>
      </c>
      <c r="R78" s="56">
        <f>410.87017871473*Deflactores!$O$5</f>
        <v>802.61479542184293</v>
      </c>
      <c r="S78" s="56">
        <f>430.13363158081*Deflactores!$P$5</f>
        <v>786.96732066860068</v>
      </c>
      <c r="T78" s="56">
        <f>174.19846881539*Deflactores!$Q$5</f>
        <v>301.38196131023676</v>
      </c>
      <c r="U78" s="56">
        <f>187.71612860704*Deflactores!$R$5</f>
        <v>312.0078363827767</v>
      </c>
      <c r="V78" s="56">
        <f>283.1384113745*Deflactores!$S$5</f>
        <v>456.10746518008972</v>
      </c>
    </row>
    <row r="79" spans="3:22" x14ac:dyDescent="0.2">
      <c r="C79" s="88" t="s">
        <v>150</v>
      </c>
      <c r="D79" s="57">
        <f>276.955312458099*Deflactores!$A$5</f>
        <v>1031.3020902971109</v>
      </c>
      <c r="E79" s="57">
        <f>306.8650648252*Deflactores!$B$5</f>
        <v>1061.4913386285261</v>
      </c>
      <c r="F79" s="57">
        <f>470.176811866369*Deflactores!$C$5</f>
        <v>1520.1258866534658</v>
      </c>
      <c r="G79" s="57">
        <f>293.02362643052*Deflactores!$D$5</f>
        <v>889.62423636079802</v>
      </c>
      <c r="H79" s="57">
        <f>353.6044754872*Deflactores!$E$5</f>
        <v>1017.6107382755237</v>
      </c>
      <c r="I79" s="57">
        <f>331.48315266399*Deflactores!$F$5</f>
        <v>909.77826894067846</v>
      </c>
      <c r="J79" s="57">
        <f>322.399391351659*Deflactores!$G$5</f>
        <v>846.92250981561733</v>
      </c>
      <c r="K79" s="57">
        <f>325.11843630995*Deflactores!$H$5</f>
        <v>808.05110930240505</v>
      </c>
      <c r="L79" s="57">
        <f>318.107665360169*Deflactores!$I$5</f>
        <v>734.2754746130737</v>
      </c>
      <c r="M79" s="57">
        <f>421.432817409609*Deflactores!$J$5</f>
        <v>953.68591838671443</v>
      </c>
      <c r="N79" s="57">
        <f>488.961736074099*Deflactores!$K$5</f>
        <v>1072.4901634554485</v>
      </c>
      <c r="O79" s="57">
        <f>376.63307563714*Deflactores!$L$5</f>
        <v>796.42778089993101</v>
      </c>
      <c r="P79" s="57">
        <f>599.14499751747*Deflactores!$M$5</f>
        <v>1236.773900037502</v>
      </c>
      <c r="Q79" s="57">
        <f>547.11541106014*Deflactores!$N$5</f>
        <v>1107.8799248761611</v>
      </c>
      <c r="R79" s="57">
        <f>582.033167859641*Deflactores!$O$5</f>
        <v>1136.9733218694787</v>
      </c>
      <c r="S79" s="57">
        <f>588.62080860801*Deflactores!$P$5</f>
        <v>1076.9335542017568</v>
      </c>
      <c r="T79" s="57">
        <f>675.22526020932*Deflactores!$Q$5</f>
        <v>1168.2118369465315</v>
      </c>
      <c r="U79" s="57">
        <f>855.61917767238*Deflactores!$R$5</f>
        <v>1422.1467828798916</v>
      </c>
      <c r="V79" s="57">
        <f>875.30798217457*Deflactores!$S$5</f>
        <v>1410.0330049301751</v>
      </c>
    </row>
    <row r="80" spans="3:22" x14ac:dyDescent="0.2">
      <c r="C80" s="87" t="s">
        <v>151</v>
      </c>
      <c r="D80" s="56">
        <f>40.88947547701*Deflactores!$A$5</f>
        <v>152.26067034541086</v>
      </c>
      <c r="E80" s="56">
        <f>35.54807253003*Deflactores!$B$5</f>
        <v>122.96600499981949</v>
      </c>
      <c r="F80" s="56">
        <f>24.4723868283*Deflactores!$C$5</f>
        <v>79.121530001078028</v>
      </c>
      <c r="G80" s="56">
        <f>28.19308490483*Deflactores!$D$5</f>
        <v>85.594639362848937</v>
      </c>
      <c r="H80" s="56">
        <f>32.44077906453*Deflactores!$E$5</f>
        <v>93.358787635832726</v>
      </c>
      <c r="I80" s="56">
        <f>18.1404707742099*Deflactores!$F$5</f>
        <v>49.787767390576377</v>
      </c>
      <c r="J80" s="56">
        <f>38.01207628417*Deflactores!$G$5</f>
        <v>99.85528482210114</v>
      </c>
      <c r="K80" s="56">
        <f>26.3945079002599*Deflactores!$H$5</f>
        <v>65.601051820891072</v>
      </c>
      <c r="L80" s="56">
        <f>8.57064459184*Deflactores!$I$5</f>
        <v>19.783283493932675</v>
      </c>
      <c r="M80" s="56">
        <f>6.98087088462*Deflactores!$J$5</f>
        <v>15.797436710457049</v>
      </c>
      <c r="N80" s="56">
        <f>11.42518650773*Deflactores!$K$5</f>
        <v>25.060038937949553</v>
      </c>
      <c r="O80" s="56">
        <f>323.29695072997*Deflactores!$L$5</f>
        <v>683.6432849292587</v>
      </c>
      <c r="P80" s="56">
        <f>1354.35392205057*Deflactores!$M$5</f>
        <v>2795.6998542022034</v>
      </c>
      <c r="Q80" s="56">
        <f>1461.6487467777*Deflactores!$N$5</f>
        <v>2959.7618181466528</v>
      </c>
      <c r="R80" s="56">
        <f>1517.89312989286*Deflactores!$O$5</f>
        <v>2965.1299778732332</v>
      </c>
      <c r="S80" s="56">
        <f>1592.54365751788*Deflactores!$P$5</f>
        <v>2913.6987279944042</v>
      </c>
      <c r="T80" s="56">
        <f>1749.10394856217*Deflactores!$Q$5</f>
        <v>3026.1366941853053</v>
      </c>
      <c r="U80" s="56">
        <f>1945.66599381234*Deflactores!$R$5</f>
        <v>3233.9418118074609</v>
      </c>
      <c r="V80" s="56">
        <f>1962.91010346537*Deflactores!$S$5</f>
        <v>3162.0504873278733</v>
      </c>
    </row>
    <row r="81" spans="3:22" x14ac:dyDescent="0.2">
      <c r="C81" s="79" t="s">
        <v>179</v>
      </c>
      <c r="D81" s="44">
        <f t="shared" ref="D81:V81" si="1">+SUM(D52:D80)</f>
        <v>93417.880990594305</v>
      </c>
      <c r="E81" s="44">
        <f t="shared" si="1"/>
        <v>99479.60240787678</v>
      </c>
      <c r="F81" s="44">
        <f t="shared" si="1"/>
        <v>104954.06326771794</v>
      </c>
      <c r="G81" s="44">
        <f t="shared" si="1"/>
        <v>105603.12146649798</v>
      </c>
      <c r="H81" s="44">
        <f t="shared" si="1"/>
        <v>123867.86051272038</v>
      </c>
      <c r="I81" s="44">
        <f t="shared" si="1"/>
        <v>132868.44770224017</v>
      </c>
      <c r="J81" s="44">
        <f t="shared" si="1"/>
        <v>133742.02717179951</v>
      </c>
      <c r="K81" s="44">
        <f t="shared" si="1"/>
        <v>135231.80787413457</v>
      </c>
      <c r="L81" s="44">
        <f t="shared" si="1"/>
        <v>144783.42298035033</v>
      </c>
      <c r="M81" s="44">
        <f t="shared" si="1"/>
        <v>157915.12696018288</v>
      </c>
      <c r="N81" s="44">
        <f t="shared" si="1"/>
        <v>169845.7305414115</v>
      </c>
      <c r="O81" s="44">
        <f t="shared" si="1"/>
        <v>172659.9805554229</v>
      </c>
      <c r="P81" s="44">
        <f t="shared" si="1"/>
        <v>183907.96305054746</v>
      </c>
      <c r="Q81" s="44">
        <f t="shared" si="1"/>
        <v>197258.02205731161</v>
      </c>
      <c r="R81" s="44">
        <f t="shared" si="1"/>
        <v>207135.74066503631</v>
      </c>
      <c r="S81" s="44">
        <f t="shared" si="1"/>
        <v>204986.56604912563</v>
      </c>
      <c r="T81" s="44">
        <f t="shared" si="1"/>
        <v>209862.37731619895</v>
      </c>
      <c r="U81" s="44">
        <f t="shared" si="1"/>
        <v>228861.42775724054</v>
      </c>
      <c r="V81" s="44">
        <f t="shared" si="1"/>
        <v>229716.14562796653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C86" s="9"/>
      <c r="D86" s="155" t="s">
        <v>181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3:22" ht="2.25" customHeight="1" x14ac:dyDescent="0.2">
      <c r="H87" s="27"/>
      <c r="I87" s="27"/>
      <c r="J87" s="27"/>
      <c r="L87" s="177"/>
      <c r="M87" s="156"/>
      <c r="N87" s="156"/>
      <c r="O87" s="156"/>
      <c r="P87" s="156"/>
      <c r="Q87" s="156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76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60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92.876864533913945</v>
      </c>
      <c r="E91" s="60">
        <f t="shared" si="2"/>
        <v>93.367193107102381</v>
      </c>
      <c r="F91" s="60">
        <f t="shared" si="2"/>
        <v>96.720426789253779</v>
      </c>
      <c r="G91" s="60">
        <f t="shared" si="2"/>
        <v>95.666876990936828</v>
      </c>
      <c r="H91" s="60">
        <f t="shared" si="2"/>
        <v>91.387026617078575</v>
      </c>
      <c r="I91" s="60">
        <f t="shared" si="2"/>
        <v>89.117814775340022</v>
      </c>
      <c r="J91" s="60">
        <f t="shared" si="2"/>
        <v>95.265298216479508</v>
      </c>
      <c r="K91" s="60">
        <f t="shared" si="2"/>
        <v>94.084074457043101</v>
      </c>
      <c r="L91" s="60">
        <f t="shared" si="2"/>
        <v>99.2257453302893</v>
      </c>
      <c r="M91" s="60">
        <f t="shared" si="2"/>
        <v>95.84587977306316</v>
      </c>
      <c r="N91" s="60">
        <f t="shared" si="2"/>
        <v>93.647436620934457</v>
      </c>
      <c r="O91" s="60">
        <f t="shared" si="2"/>
        <v>96.39704353247285</v>
      </c>
      <c r="P91" s="60">
        <f t="shared" si="2"/>
        <v>89.57833686465267</v>
      </c>
      <c r="Q91" s="60">
        <f t="shared" si="2"/>
        <v>96.355523612485854</v>
      </c>
      <c r="R91" s="60">
        <f t="shared" si="2"/>
        <v>88.557403850740556</v>
      </c>
      <c r="S91" s="60">
        <f t="shared" si="2"/>
        <v>95.268439401220974</v>
      </c>
      <c r="T91" s="60">
        <f t="shared" si="2"/>
        <v>96.491335060139605</v>
      </c>
      <c r="U91" s="60">
        <f t="shared" si="2"/>
        <v>96.681137839948235</v>
      </c>
      <c r="V91" s="60">
        <f t="shared" si="2"/>
        <v>97.313739167973893</v>
      </c>
    </row>
    <row r="92" spans="3:22" x14ac:dyDescent="0.2">
      <c r="C92" s="88" t="s">
        <v>124</v>
      </c>
      <c r="D92" s="62">
        <f t="shared" ref="D92:V92" si="3">+IFERROR(IF(D53&gt;0,+((D53/D14)*100)," "),"")</f>
        <v>90.166779729171665</v>
      </c>
      <c r="E92" s="62">
        <f t="shared" si="3"/>
        <v>91.34958874424143</v>
      </c>
      <c r="F92" s="62">
        <f t="shared" si="3"/>
        <v>90.927323846488989</v>
      </c>
      <c r="G92" s="62">
        <f t="shared" si="3"/>
        <v>88.372613169237297</v>
      </c>
      <c r="H92" s="62">
        <f t="shared" si="3"/>
        <v>94.769146337464889</v>
      </c>
      <c r="I92" s="62">
        <f t="shared" si="3"/>
        <v>94.527453785649328</v>
      </c>
      <c r="J92" s="62">
        <f t="shared" si="3"/>
        <v>93.951997788120252</v>
      </c>
      <c r="K92" s="62">
        <f t="shared" si="3"/>
        <v>91.734434401251747</v>
      </c>
      <c r="L92" s="62">
        <f t="shared" si="3"/>
        <v>99.363108259456993</v>
      </c>
      <c r="M92" s="62">
        <f t="shared" si="3"/>
        <v>99.485765229592232</v>
      </c>
      <c r="N92" s="62">
        <f t="shared" si="3"/>
        <v>96.997727650534515</v>
      </c>
      <c r="O92" s="62">
        <f t="shared" si="3"/>
        <v>98.952768847901538</v>
      </c>
      <c r="P92" s="62">
        <f t="shared" si="3"/>
        <v>86.758991400934462</v>
      </c>
      <c r="Q92" s="62">
        <f t="shared" si="3"/>
        <v>88.633265798759993</v>
      </c>
      <c r="R92" s="62">
        <f t="shared" si="3"/>
        <v>93.922576130354798</v>
      </c>
      <c r="S92" s="62">
        <f t="shared" si="3"/>
        <v>95.093720152432738</v>
      </c>
      <c r="T92" s="62">
        <f t="shared" si="3"/>
        <v>95.548323285036687</v>
      </c>
      <c r="U92" s="62">
        <f t="shared" si="3"/>
        <v>97.863317410303893</v>
      </c>
      <c r="V92" s="62">
        <f t="shared" si="3"/>
        <v>98.200381285306676</v>
      </c>
    </row>
    <row r="93" spans="3:22" x14ac:dyDescent="0.2">
      <c r="C93" s="87" t="s">
        <v>125</v>
      </c>
      <c r="D93" s="60">
        <f t="shared" ref="D93:V93" si="4">+IFERROR(IF(D54&gt;0,+((D54/D15)*100)," "),"")</f>
        <v>92.776431609059586</v>
      </c>
      <c r="E93" s="60">
        <f t="shared" si="4"/>
        <v>90.621761881464408</v>
      </c>
      <c r="F93" s="60">
        <f t="shared" si="4"/>
        <v>97.762902756293641</v>
      </c>
      <c r="G93" s="60">
        <f t="shared" si="4"/>
        <v>94.862946584101209</v>
      </c>
      <c r="H93" s="60">
        <f t="shared" si="4"/>
        <v>87.918150158072251</v>
      </c>
      <c r="I93" s="60">
        <f t="shared" si="4"/>
        <v>90.510585680947656</v>
      </c>
      <c r="J93" s="60">
        <f t="shared" si="4"/>
        <v>89.735700703751931</v>
      </c>
      <c r="K93" s="60">
        <f t="shared" si="4"/>
        <v>78.801590117085084</v>
      </c>
      <c r="L93" s="60">
        <f t="shared" si="4"/>
        <v>94.195323688397394</v>
      </c>
      <c r="M93" s="60">
        <f t="shared" si="4"/>
        <v>31.854463090242437</v>
      </c>
      <c r="N93" s="60">
        <f t="shared" si="4"/>
        <v>95.011290031895399</v>
      </c>
      <c r="O93" s="60">
        <f t="shared" si="4"/>
        <v>89.324973546356233</v>
      </c>
      <c r="P93" s="60">
        <f t="shared" si="4"/>
        <v>73.70469666475168</v>
      </c>
      <c r="Q93" s="60">
        <f t="shared" si="4"/>
        <v>92.222037641139096</v>
      </c>
      <c r="R93" s="60">
        <f t="shared" si="4"/>
        <v>91.751771790915072</v>
      </c>
      <c r="S93" s="60">
        <f t="shared" si="4"/>
        <v>93.408780766827121</v>
      </c>
      <c r="T93" s="60">
        <f t="shared" si="4"/>
        <v>93.770023491383142</v>
      </c>
      <c r="U93" s="60">
        <f t="shared" si="4"/>
        <v>94.718913429029783</v>
      </c>
      <c r="V93" s="60">
        <f t="shared" si="4"/>
        <v>94.148932995088643</v>
      </c>
    </row>
    <row r="94" spans="3:22" x14ac:dyDescent="0.2">
      <c r="C94" s="88" t="s">
        <v>126</v>
      </c>
      <c r="D94" s="62">
        <f t="shared" ref="D94:V94" si="5">+IFERROR(IF(D55&gt;0,+((D55/D16)*100)," "),"")</f>
        <v>93.142765140310175</v>
      </c>
      <c r="E94" s="62">
        <f t="shared" si="5"/>
        <v>92.851884199927753</v>
      </c>
      <c r="F94" s="62">
        <f t="shared" si="5"/>
        <v>93.116001692292159</v>
      </c>
      <c r="G94" s="62">
        <f t="shared" si="5"/>
        <v>91.047004116991047</v>
      </c>
      <c r="H94" s="62">
        <f t="shared" si="5"/>
        <v>95.553225823773474</v>
      </c>
      <c r="I94" s="62">
        <f t="shared" si="5"/>
        <v>95.319750662657199</v>
      </c>
      <c r="J94" s="62">
        <f t="shared" si="5"/>
        <v>96.684645306623182</v>
      </c>
      <c r="K94" s="62">
        <f t="shared" si="5"/>
        <v>90.931149091031955</v>
      </c>
      <c r="L94" s="62">
        <f t="shared" si="5"/>
        <v>93.791526438038929</v>
      </c>
      <c r="M94" s="62">
        <f t="shared" si="5"/>
        <v>95.703669911927264</v>
      </c>
      <c r="N94" s="62">
        <f t="shared" si="5"/>
        <v>92.656079531907736</v>
      </c>
      <c r="O94" s="62">
        <f t="shared" si="5"/>
        <v>90.814465494893199</v>
      </c>
      <c r="P94" s="62">
        <f t="shared" si="5"/>
        <v>94.371437174211835</v>
      </c>
      <c r="Q94" s="62">
        <f t="shared" si="5"/>
        <v>95.678967090875744</v>
      </c>
      <c r="R94" s="62">
        <f t="shared" si="5"/>
        <v>91.393911355305519</v>
      </c>
      <c r="S94" s="62">
        <f t="shared" si="5"/>
        <v>95.541379869377806</v>
      </c>
      <c r="T94" s="62">
        <f t="shared" si="5"/>
        <v>97.870341328783823</v>
      </c>
      <c r="U94" s="62">
        <f t="shared" si="5"/>
        <v>98.492512230785508</v>
      </c>
      <c r="V94" s="62">
        <f t="shared" si="5"/>
        <v>97.696708467003802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86.959021208309778</v>
      </c>
      <c r="E95" s="60">
        <f t="shared" si="6"/>
        <v>91.885170061567337</v>
      </c>
      <c r="F95" s="60">
        <f t="shared" si="6"/>
        <v>97.623412691031987</v>
      </c>
      <c r="G95" s="60">
        <f t="shared" si="6"/>
        <v>97.782302006310573</v>
      </c>
      <c r="H95" s="60">
        <f t="shared" si="6"/>
        <v>97.366980045354538</v>
      </c>
      <c r="I95" s="60">
        <f t="shared" si="6"/>
        <v>99.027427343110702</v>
      </c>
      <c r="J95" s="60">
        <f t="shared" si="6"/>
        <v>98.5397710717031</v>
      </c>
      <c r="K95" s="60">
        <f t="shared" si="6"/>
        <v>98.568381726243388</v>
      </c>
      <c r="L95" s="60">
        <f t="shared" si="6"/>
        <v>97.445486068836075</v>
      </c>
      <c r="M95" s="60">
        <f t="shared" si="6"/>
        <v>98.938369829605264</v>
      </c>
      <c r="N95" s="60">
        <f t="shared" si="6"/>
        <v>98.798074828872828</v>
      </c>
      <c r="O95" s="60">
        <f t="shared" si="6"/>
        <v>99.00028992899766</v>
      </c>
      <c r="P95" s="60">
        <f t="shared" si="6"/>
        <v>97.333950173802037</v>
      </c>
      <c r="Q95" s="60">
        <f t="shared" si="6"/>
        <v>96.268250409648374</v>
      </c>
      <c r="R95" s="60">
        <f t="shared" si="6"/>
        <v>97.561608140849032</v>
      </c>
      <c r="S95" s="60">
        <f t="shared" si="6"/>
        <v>98.424446448225183</v>
      </c>
      <c r="T95" s="60">
        <f t="shared" si="6"/>
        <v>98.631344378749475</v>
      </c>
      <c r="U95" s="60">
        <f t="shared" si="6"/>
        <v>99.39686288818848</v>
      </c>
      <c r="V95" s="60">
        <f t="shared" si="6"/>
        <v>98.695524972927558</v>
      </c>
    </row>
    <row r="96" spans="3:22" x14ac:dyDescent="0.2">
      <c r="C96" s="88" t="s">
        <v>128</v>
      </c>
      <c r="D96" s="62">
        <f t="shared" ref="D96:V96" si="7">+IFERROR(IF(D57&gt;0,+((D57/D18)*100)," "),"")</f>
        <v>95.114374259608766</v>
      </c>
      <c r="E96" s="62">
        <f t="shared" si="7"/>
        <v>98.101601760810325</v>
      </c>
      <c r="F96" s="62">
        <f t="shared" si="7"/>
        <v>98.011344744234407</v>
      </c>
      <c r="G96" s="62">
        <f t="shared" si="7"/>
        <v>99.131728348422413</v>
      </c>
      <c r="H96" s="62">
        <f t="shared" si="7"/>
        <v>98.928557507580422</v>
      </c>
      <c r="I96" s="62">
        <f t="shared" si="7"/>
        <v>94.575257406497855</v>
      </c>
      <c r="J96" s="62">
        <f t="shared" si="7"/>
        <v>96.833116343918533</v>
      </c>
      <c r="K96" s="62">
        <f t="shared" si="7"/>
        <v>96.414533939019321</v>
      </c>
      <c r="L96" s="62">
        <f t="shared" si="7"/>
        <v>97.795776169055642</v>
      </c>
      <c r="M96" s="62">
        <f t="shared" si="7"/>
        <v>91.978010896371458</v>
      </c>
      <c r="N96" s="62">
        <f t="shared" si="7"/>
        <v>91.846370590724618</v>
      </c>
      <c r="O96" s="62">
        <f t="shared" si="7"/>
        <v>97.537040942554484</v>
      </c>
      <c r="P96" s="62">
        <f t="shared" si="7"/>
        <v>97.565665231947193</v>
      </c>
      <c r="Q96" s="62">
        <f t="shared" si="7"/>
        <v>94.720475211488449</v>
      </c>
      <c r="R96" s="62">
        <f t="shared" si="7"/>
        <v>99.061404361184174</v>
      </c>
      <c r="S96" s="62">
        <f t="shared" si="7"/>
        <v>98.62706286644017</v>
      </c>
      <c r="T96" s="62">
        <f t="shared" si="7"/>
        <v>99.613836542258511</v>
      </c>
      <c r="U96" s="62">
        <f t="shared" si="7"/>
        <v>99.711882299771133</v>
      </c>
      <c r="V96" s="62">
        <f t="shared" si="7"/>
        <v>99.408767209191467</v>
      </c>
    </row>
    <row r="97" spans="3:22" x14ac:dyDescent="0.2">
      <c r="C97" s="87" t="s">
        <v>129</v>
      </c>
      <c r="D97" s="60">
        <f t="shared" ref="D97:V97" si="8">+IFERROR(IF(D58&gt;0,+((D58/D19)*100)," "),"")</f>
        <v>97.500804869567375</v>
      </c>
      <c r="E97" s="60">
        <f t="shared" si="8"/>
        <v>97.541174989269408</v>
      </c>
      <c r="F97" s="60">
        <f t="shared" si="8"/>
        <v>97.872955805911332</v>
      </c>
      <c r="G97" s="60">
        <f t="shared" si="8"/>
        <v>97.672458718433219</v>
      </c>
      <c r="H97" s="60">
        <f t="shared" si="8"/>
        <v>98.758030951858771</v>
      </c>
      <c r="I97" s="60">
        <f t="shared" si="8"/>
        <v>98.780375119173186</v>
      </c>
      <c r="J97" s="60">
        <f t="shared" si="8"/>
        <v>98.902191409498087</v>
      </c>
      <c r="K97" s="60">
        <f t="shared" si="8"/>
        <v>97.844545292147018</v>
      </c>
      <c r="L97" s="60">
        <f t="shared" si="8"/>
        <v>99.06047675537971</v>
      </c>
      <c r="M97" s="60">
        <f t="shared" si="8"/>
        <v>98.167986101530076</v>
      </c>
      <c r="N97" s="60">
        <f t="shared" si="8"/>
        <v>98.032268437522859</v>
      </c>
      <c r="O97" s="60">
        <f t="shared" si="8"/>
        <v>97.669465911901909</v>
      </c>
      <c r="P97" s="60">
        <f t="shared" si="8"/>
        <v>98.428247151530996</v>
      </c>
      <c r="Q97" s="60">
        <f t="shared" si="8"/>
        <v>98.457444854383468</v>
      </c>
      <c r="R97" s="60">
        <f t="shared" si="8"/>
        <v>98.916828210849744</v>
      </c>
      <c r="S97" s="60">
        <f t="shared" si="8"/>
        <v>98.306084337679977</v>
      </c>
      <c r="T97" s="60">
        <f t="shared" si="8"/>
        <v>99.44855219768543</v>
      </c>
      <c r="U97" s="60">
        <f t="shared" si="8"/>
        <v>99.746931111572053</v>
      </c>
      <c r="V97" s="60">
        <f t="shared" si="8"/>
        <v>99.649867645985807</v>
      </c>
    </row>
    <row r="98" spans="3:22" x14ac:dyDescent="0.2">
      <c r="C98" s="88" t="s">
        <v>130</v>
      </c>
      <c r="D98" s="62">
        <f t="shared" ref="D98:V98" si="9">+IFERROR(IF(D59&gt;0,+((D59/D20)*100)," "),"")</f>
        <v>98.166917498286821</v>
      </c>
      <c r="E98" s="62">
        <f t="shared" si="9"/>
        <v>97.78338810735363</v>
      </c>
      <c r="F98" s="62">
        <f t="shared" si="9"/>
        <v>95.000221825884083</v>
      </c>
      <c r="G98" s="62">
        <f t="shared" si="9"/>
        <v>95.387030093187889</v>
      </c>
      <c r="H98" s="62">
        <f t="shared" si="9"/>
        <v>97.107109958202457</v>
      </c>
      <c r="I98" s="62">
        <f t="shared" si="9"/>
        <v>99.130851908763148</v>
      </c>
      <c r="J98" s="62">
        <f t="shared" si="9"/>
        <v>97.552200206094113</v>
      </c>
      <c r="K98" s="62">
        <f t="shared" si="9"/>
        <v>96.771406037204088</v>
      </c>
      <c r="L98" s="62">
        <f t="shared" si="9"/>
        <v>96.994436531566848</v>
      </c>
      <c r="M98" s="62">
        <f t="shared" si="9"/>
        <v>97.443065142519529</v>
      </c>
      <c r="N98" s="62">
        <f t="shared" si="9"/>
        <v>96.829106238289341</v>
      </c>
      <c r="O98" s="62">
        <f t="shared" si="9"/>
        <v>89.119381515514831</v>
      </c>
      <c r="P98" s="62">
        <f t="shared" si="9"/>
        <v>83.555911719755073</v>
      </c>
      <c r="Q98" s="62">
        <f t="shared" si="9"/>
        <v>95.918233366242134</v>
      </c>
      <c r="R98" s="62">
        <f t="shared" si="9"/>
        <v>97.139063980899891</v>
      </c>
      <c r="S98" s="62">
        <f t="shared" si="9"/>
        <v>98.885135875862602</v>
      </c>
      <c r="T98" s="62">
        <f t="shared" si="9"/>
        <v>94.527951748784417</v>
      </c>
      <c r="U98" s="62">
        <f t="shared" si="9"/>
        <v>99.170963690722161</v>
      </c>
      <c r="V98" s="62">
        <f t="shared" si="9"/>
        <v>98.126025247475667</v>
      </c>
    </row>
    <row r="99" spans="3:22" x14ac:dyDescent="0.2">
      <c r="C99" s="87" t="s">
        <v>131</v>
      </c>
      <c r="D99" s="60">
        <f t="shared" ref="D99:V99" si="10">+IFERROR(IF(D60&gt;0,+((D60/D21)*100)," "),"")</f>
        <v>95.058496663115136</v>
      </c>
      <c r="E99" s="60">
        <f t="shared" si="10"/>
        <v>97.083960796250707</v>
      </c>
      <c r="F99" s="60">
        <f t="shared" si="10"/>
        <v>99.726116515669176</v>
      </c>
      <c r="G99" s="60">
        <f t="shared" si="10"/>
        <v>99.59170371556452</v>
      </c>
      <c r="H99" s="60">
        <f t="shared" si="10"/>
        <v>99.909740128966163</v>
      </c>
      <c r="I99" s="60">
        <f t="shared" si="10"/>
        <v>99.814840143750956</v>
      </c>
      <c r="J99" s="60">
        <f t="shared" si="10"/>
        <v>99.605426660853993</v>
      </c>
      <c r="K99" s="60">
        <f t="shared" si="10"/>
        <v>99.780240759031429</v>
      </c>
      <c r="L99" s="60">
        <f t="shared" si="10"/>
        <v>99.87483180376239</v>
      </c>
      <c r="M99" s="60">
        <f t="shared" si="10"/>
        <v>99.680349980612249</v>
      </c>
      <c r="N99" s="60">
        <f t="shared" si="10"/>
        <v>97.844348787151674</v>
      </c>
      <c r="O99" s="60">
        <f t="shared" si="10"/>
        <v>99.972122286556214</v>
      </c>
      <c r="P99" s="60">
        <f t="shared" si="10"/>
        <v>99.905318999129094</v>
      </c>
      <c r="Q99" s="60">
        <f t="shared" si="10"/>
        <v>99.862159132602486</v>
      </c>
      <c r="R99" s="60">
        <f t="shared" si="10"/>
        <v>99.971036212627638</v>
      </c>
      <c r="S99" s="60">
        <f t="shared" si="10"/>
        <v>99.950851111059109</v>
      </c>
      <c r="T99" s="60">
        <f t="shared" si="10"/>
        <v>99.171685587364294</v>
      </c>
      <c r="U99" s="60">
        <f t="shared" si="10"/>
        <v>99.968547468125081</v>
      </c>
      <c r="V99" s="60">
        <f t="shared" si="10"/>
        <v>99.971017673079757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86.579180208039602</v>
      </c>
      <c r="E100" s="62">
        <f t="shared" si="11"/>
        <v>89.437767060642699</v>
      </c>
      <c r="F100" s="62">
        <f t="shared" si="11"/>
        <v>86.21567192216601</v>
      </c>
      <c r="G100" s="62">
        <f t="shared" si="11"/>
        <v>87.731614637130178</v>
      </c>
      <c r="H100" s="62">
        <f t="shared" si="11"/>
        <v>84.275058947899396</v>
      </c>
      <c r="I100" s="62">
        <f t="shared" si="11"/>
        <v>92.993629282741836</v>
      </c>
      <c r="J100" s="62">
        <f t="shared" si="11"/>
        <v>78.264527061519857</v>
      </c>
      <c r="K100" s="62">
        <f t="shared" si="11"/>
        <v>58.310330186470914</v>
      </c>
      <c r="L100" s="62">
        <f t="shared" si="11"/>
        <v>61.250703109831761</v>
      </c>
      <c r="M100" s="62">
        <f t="shared" si="11"/>
        <v>42.92358688526523</v>
      </c>
      <c r="N100" s="62">
        <f t="shared" si="11"/>
        <v>69.217563279823096</v>
      </c>
      <c r="O100" s="62">
        <f t="shared" si="11"/>
        <v>67.170116037465618</v>
      </c>
      <c r="P100" s="62">
        <f t="shared" si="11"/>
        <v>70.341558238904824</v>
      </c>
      <c r="Q100" s="62">
        <f t="shared" si="11"/>
        <v>53.471154921233463</v>
      </c>
      <c r="R100" s="62">
        <f t="shared" si="11"/>
        <v>60.500333834850451</v>
      </c>
      <c r="S100" s="62">
        <f t="shared" si="11"/>
        <v>61.962783966975543</v>
      </c>
      <c r="T100" s="62">
        <f t="shared" si="11"/>
        <v>81.92235938728291</v>
      </c>
      <c r="U100" s="62">
        <f t="shared" si="11"/>
        <v>85.178874452201995</v>
      </c>
      <c r="V100" s="62">
        <f t="shared" si="11"/>
        <v>86.8600832669581</v>
      </c>
    </row>
    <row r="101" spans="3:22" x14ac:dyDescent="0.2">
      <c r="C101" s="87" t="s">
        <v>133</v>
      </c>
      <c r="D101" s="60">
        <f t="shared" ref="D101:V101" si="12">+IFERROR(IF(D62&gt;0,+((D62/D23)*100)," "),"")</f>
        <v>97.414955033237234</v>
      </c>
      <c r="E101" s="60">
        <f t="shared" si="12"/>
        <v>99.474456504943845</v>
      </c>
      <c r="F101" s="60">
        <f t="shared" si="12"/>
        <v>99.722220701515866</v>
      </c>
      <c r="G101" s="60">
        <f t="shared" si="12"/>
        <v>98.477246686217626</v>
      </c>
      <c r="H101" s="60">
        <f t="shared" si="12"/>
        <v>99.674599706929683</v>
      </c>
      <c r="I101" s="60">
        <f t="shared" si="12"/>
        <v>99.73770835807187</v>
      </c>
      <c r="J101" s="60">
        <f t="shared" si="12"/>
        <v>99.702489978687709</v>
      </c>
      <c r="K101" s="60">
        <f t="shared" si="12"/>
        <v>99.177979870258383</v>
      </c>
      <c r="L101" s="60">
        <f t="shared" si="12"/>
        <v>99.35182700966557</v>
      </c>
      <c r="M101" s="60">
        <f t="shared" si="12"/>
        <v>99.452223207070105</v>
      </c>
      <c r="N101" s="60">
        <f t="shared" si="12"/>
        <v>95.976502284700871</v>
      </c>
      <c r="O101" s="60">
        <f t="shared" si="12"/>
        <v>98.157185556911628</v>
      </c>
      <c r="P101" s="60">
        <f t="shared" si="12"/>
        <v>96.385489812981291</v>
      </c>
      <c r="Q101" s="60">
        <f t="shared" si="12"/>
        <v>98.477653183158893</v>
      </c>
      <c r="R101" s="60">
        <f t="shared" si="12"/>
        <v>93.680274417996912</v>
      </c>
      <c r="S101" s="60">
        <f t="shared" si="12"/>
        <v>92.737546432904679</v>
      </c>
      <c r="T101" s="60">
        <f t="shared" si="12"/>
        <v>97.42982866489028</v>
      </c>
      <c r="U101" s="60">
        <f t="shared" si="12"/>
        <v>99.414050223263274</v>
      </c>
      <c r="V101" s="60">
        <f t="shared" si="12"/>
        <v>96.89183612368403</v>
      </c>
    </row>
    <row r="102" spans="3:22" x14ac:dyDescent="0.2">
      <c r="C102" s="88" t="s">
        <v>134</v>
      </c>
      <c r="D102" s="62">
        <f t="shared" ref="D102:V102" si="13">+IFERROR(IF(D63&gt;0,+((D63/D24)*100)," "),"")</f>
        <v>93.017738345486052</v>
      </c>
      <c r="E102" s="62">
        <f t="shared" si="13"/>
        <v>93.215773354294939</v>
      </c>
      <c r="F102" s="62">
        <f t="shared" si="13"/>
        <v>97.541662402578567</v>
      </c>
      <c r="G102" s="62">
        <f t="shared" si="13"/>
        <v>97.948415499516571</v>
      </c>
      <c r="H102" s="62">
        <f t="shared" si="13"/>
        <v>97.427780945644798</v>
      </c>
      <c r="I102" s="62">
        <f t="shared" si="13"/>
        <v>93.745226365293448</v>
      </c>
      <c r="J102" s="62">
        <f t="shared" si="13"/>
        <v>95.536131500207205</v>
      </c>
      <c r="K102" s="62">
        <f t="shared" si="13"/>
        <v>83.761266946465298</v>
      </c>
      <c r="L102" s="62">
        <f t="shared" si="13"/>
        <v>87.957029826464378</v>
      </c>
      <c r="M102" s="62">
        <f t="shared" si="13"/>
        <v>73.98408118331939</v>
      </c>
      <c r="N102" s="62">
        <f t="shared" si="13"/>
        <v>77.074133616634711</v>
      </c>
      <c r="O102" s="62">
        <f t="shared" si="13"/>
        <v>97.885650051153476</v>
      </c>
      <c r="P102" s="62">
        <f t="shared" si="13"/>
        <v>95.654434483126749</v>
      </c>
      <c r="Q102" s="62">
        <f t="shared" si="13"/>
        <v>87.783413027722673</v>
      </c>
      <c r="R102" s="62">
        <f t="shared" si="13"/>
        <v>76.970807615513365</v>
      </c>
      <c r="S102" s="62">
        <f t="shared" si="13"/>
        <v>94.98162222374873</v>
      </c>
      <c r="T102" s="62">
        <f t="shared" si="13"/>
        <v>98.496148322266947</v>
      </c>
      <c r="U102" s="62">
        <f t="shared" si="13"/>
        <v>97.36105635630112</v>
      </c>
      <c r="V102" s="62">
        <f t="shared" si="13"/>
        <v>89.978355574108576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95.942453022142132</v>
      </c>
      <c r="E104" s="62">
        <f t="shared" si="15"/>
        <v>98.325752814200811</v>
      </c>
      <c r="F104" s="62">
        <f t="shared" si="15"/>
        <v>95.447841774292613</v>
      </c>
      <c r="G104" s="62">
        <f t="shared" si="15"/>
        <v>97.372700466958307</v>
      </c>
      <c r="H104" s="62">
        <f t="shared" si="15"/>
        <v>95.929851803435852</v>
      </c>
      <c r="I104" s="62">
        <f t="shared" si="15"/>
        <v>97.248166755970303</v>
      </c>
      <c r="J104" s="62">
        <f t="shared" si="15"/>
        <v>83.9085359104823</v>
      </c>
      <c r="K104" s="62">
        <f t="shared" si="15"/>
        <v>76.904014455420352</v>
      </c>
      <c r="L104" s="62">
        <f t="shared" si="15"/>
        <v>80.249385506063263</v>
      </c>
      <c r="M104" s="62">
        <f t="shared" si="15"/>
        <v>85.897442068161666</v>
      </c>
      <c r="N104" s="62">
        <f t="shared" si="15"/>
        <v>90.086984521817314</v>
      </c>
      <c r="O104" s="62">
        <f t="shared" si="15"/>
        <v>91.519685498996324</v>
      </c>
      <c r="P104" s="62">
        <f t="shared" si="15"/>
        <v>91.730100413713004</v>
      </c>
      <c r="Q104" s="62">
        <f t="shared" si="15"/>
        <v>92.605682192516682</v>
      </c>
      <c r="R104" s="62">
        <f t="shared" si="15"/>
        <v>93.513513323319486</v>
      </c>
      <c r="S104" s="62">
        <f t="shared" si="15"/>
        <v>93.859439100226254</v>
      </c>
      <c r="T104" s="62">
        <f t="shared" si="15"/>
        <v>94.003892938870706</v>
      </c>
      <c r="U104" s="62">
        <f t="shared" si="15"/>
        <v>97.93722200652708</v>
      </c>
      <c r="V104" s="62">
        <f t="shared" si="15"/>
        <v>92.941654442216262</v>
      </c>
    </row>
    <row r="105" spans="3:22" x14ac:dyDescent="0.2">
      <c r="C105" s="87" t="s">
        <v>137</v>
      </c>
      <c r="D105" s="60">
        <f t="shared" ref="D105:V105" si="16">+IFERROR(IF(D66&gt;0,+((D66/D27)*100)," "),"")</f>
        <v>97.26104147629448</v>
      </c>
      <c r="E105" s="60">
        <f t="shared" si="16"/>
        <v>95.524562573649774</v>
      </c>
      <c r="F105" s="60">
        <f t="shared" si="16"/>
        <v>99.238568233848525</v>
      </c>
      <c r="G105" s="60">
        <f t="shared" si="16"/>
        <v>97.298467069546561</v>
      </c>
      <c r="H105" s="60">
        <f t="shared" si="16"/>
        <v>96.892666135481392</v>
      </c>
      <c r="I105" s="60">
        <f t="shared" si="16"/>
        <v>98.04113354356609</v>
      </c>
      <c r="J105" s="60">
        <f t="shared" si="16"/>
        <v>98.7200451592946</v>
      </c>
      <c r="K105" s="60">
        <f t="shared" si="16"/>
        <v>96.640781720330267</v>
      </c>
      <c r="L105" s="60">
        <f t="shared" si="16"/>
        <v>98.317803314435807</v>
      </c>
      <c r="M105" s="60">
        <f t="shared" si="16"/>
        <v>94.017074737379488</v>
      </c>
      <c r="N105" s="60">
        <f t="shared" si="16"/>
        <v>93.497618139091102</v>
      </c>
      <c r="O105" s="60">
        <f t="shared" si="16"/>
        <v>94.487081878940472</v>
      </c>
      <c r="P105" s="60">
        <f t="shared" si="16"/>
        <v>85.068831697067125</v>
      </c>
      <c r="Q105" s="60">
        <f t="shared" si="16"/>
        <v>74.803058263686168</v>
      </c>
      <c r="R105" s="60">
        <f t="shared" si="16"/>
        <v>91.026701141398703</v>
      </c>
      <c r="S105" s="60">
        <f t="shared" si="16"/>
        <v>93.447286792489663</v>
      </c>
      <c r="T105" s="60">
        <f t="shared" si="16"/>
        <v>97.871984709079214</v>
      </c>
      <c r="U105" s="60">
        <f t="shared" si="16"/>
        <v>95.775279597570986</v>
      </c>
      <c r="V105" s="60">
        <f t="shared" si="16"/>
        <v>92.977954152557444</v>
      </c>
    </row>
    <row r="106" spans="3:22" x14ac:dyDescent="0.2">
      <c r="C106" s="88" t="s">
        <v>138</v>
      </c>
      <c r="D106" s="62">
        <f t="shared" ref="D106:V106" si="17">+IFERROR(IF(D67&gt;0,+((D67/D28)*100)," "),"")</f>
        <v>95.926119449799728</v>
      </c>
      <c r="E106" s="62">
        <f t="shared" si="17"/>
        <v>95.999796479435318</v>
      </c>
      <c r="F106" s="62">
        <f t="shared" si="17"/>
        <v>97.621588672158822</v>
      </c>
      <c r="G106" s="62">
        <f t="shared" si="17"/>
        <v>98.202665634016427</v>
      </c>
      <c r="H106" s="62">
        <f t="shared" si="17"/>
        <v>98.662440266772009</v>
      </c>
      <c r="I106" s="62">
        <f t="shared" si="17"/>
        <v>96.072999180176595</v>
      </c>
      <c r="J106" s="62">
        <f t="shared" si="17"/>
        <v>96.123437672804428</v>
      </c>
      <c r="K106" s="62">
        <f t="shared" si="17"/>
        <v>93.954927304251299</v>
      </c>
      <c r="L106" s="62">
        <f t="shared" si="17"/>
        <v>93.310283173934707</v>
      </c>
      <c r="M106" s="62">
        <f t="shared" si="17"/>
        <v>89.126019096815426</v>
      </c>
      <c r="N106" s="62">
        <f t="shared" si="17"/>
        <v>84.415068002737641</v>
      </c>
      <c r="O106" s="62">
        <f t="shared" si="17"/>
        <v>88.494160448100672</v>
      </c>
      <c r="P106" s="62">
        <f t="shared" si="17"/>
        <v>78.593213922021548</v>
      </c>
      <c r="Q106" s="62">
        <f t="shared" si="17"/>
        <v>76.795108758073198</v>
      </c>
      <c r="R106" s="62">
        <f t="shared" si="17"/>
        <v>83.798632367478945</v>
      </c>
      <c r="S106" s="62">
        <f t="shared" si="17"/>
        <v>94.710774852150536</v>
      </c>
      <c r="T106" s="62">
        <f t="shared" si="17"/>
        <v>97.117475985002827</v>
      </c>
      <c r="U106" s="62">
        <f t="shared" si="17"/>
        <v>98.246649591297484</v>
      </c>
      <c r="V106" s="62">
        <f t="shared" si="17"/>
        <v>97.085973391286132</v>
      </c>
    </row>
    <row r="107" spans="3:22" x14ac:dyDescent="0.2">
      <c r="C107" s="87" t="s">
        <v>139</v>
      </c>
      <c r="D107" s="60">
        <f t="shared" ref="D107:V107" si="18">+IFERROR(IF(D68&gt;0,+((D68/D29)*100)," "),"")</f>
        <v>96.695329438738781</v>
      </c>
      <c r="E107" s="60">
        <f t="shared" si="18"/>
        <v>98.181444628840524</v>
      </c>
      <c r="F107" s="60">
        <f t="shared" si="18"/>
        <v>95.312940230659365</v>
      </c>
      <c r="G107" s="60">
        <f t="shared" si="18"/>
        <v>94.284457576436466</v>
      </c>
      <c r="H107" s="60">
        <f t="shared" si="18"/>
        <v>96.004748990736516</v>
      </c>
      <c r="I107" s="60">
        <f t="shared" si="18"/>
        <v>97.409137304106039</v>
      </c>
      <c r="J107" s="60">
        <f t="shared" si="18"/>
        <v>93.234879843726333</v>
      </c>
      <c r="K107" s="60">
        <f t="shared" si="18"/>
        <v>90.400410295762597</v>
      </c>
      <c r="L107" s="60">
        <f t="shared" si="18"/>
        <v>94.265615663244034</v>
      </c>
      <c r="M107" s="60">
        <f t="shared" si="18"/>
        <v>92.479410127212731</v>
      </c>
      <c r="N107" s="60">
        <f t="shared" si="18"/>
        <v>89.279223101843115</v>
      </c>
      <c r="O107" s="60">
        <f t="shared" si="18"/>
        <v>95.790091454720212</v>
      </c>
      <c r="P107" s="60">
        <f t="shared" si="18"/>
        <v>90.601076816014654</v>
      </c>
      <c r="Q107" s="60">
        <f t="shared" si="18"/>
        <v>92.383894832231363</v>
      </c>
      <c r="R107" s="60">
        <f t="shared" si="18"/>
        <v>92.261560723474176</v>
      </c>
      <c r="S107" s="60">
        <f t="shared" si="18"/>
        <v>94.145252879649874</v>
      </c>
      <c r="T107" s="60">
        <f t="shared" si="18"/>
        <v>97.420070451318381</v>
      </c>
      <c r="U107" s="60">
        <f t="shared" si="18"/>
        <v>96.884741445616442</v>
      </c>
      <c r="V107" s="60">
        <f t="shared" si="18"/>
        <v>97.332399261303465</v>
      </c>
    </row>
    <row r="108" spans="3:22" x14ac:dyDescent="0.2">
      <c r="C108" s="88" t="s">
        <v>140</v>
      </c>
      <c r="D108" s="62">
        <f t="shared" ref="D108:V108" si="19">+IFERROR(IF(D69&gt;0,+((D69/D30)*100)," "),"")</f>
        <v>90.699548096140418</v>
      </c>
      <c r="E108" s="62">
        <f t="shared" si="19"/>
        <v>81.638951332836967</v>
      </c>
      <c r="F108" s="62">
        <f t="shared" si="19"/>
        <v>91.13232517812159</v>
      </c>
      <c r="G108" s="62">
        <f t="shared" si="19"/>
        <v>90.082346633498545</v>
      </c>
      <c r="H108" s="62">
        <f t="shared" si="19"/>
        <v>99.113212450108733</v>
      </c>
      <c r="I108" s="62">
        <f t="shared" si="19"/>
        <v>98.741171980705275</v>
      </c>
      <c r="J108" s="62">
        <f t="shared" si="19"/>
        <v>86.577280020855923</v>
      </c>
      <c r="K108" s="62">
        <f t="shared" si="19"/>
        <v>77.817152751568869</v>
      </c>
      <c r="L108" s="62">
        <f t="shared" si="19"/>
        <v>94.223400256778902</v>
      </c>
      <c r="M108" s="62">
        <f t="shared" si="19"/>
        <v>82.057043068685061</v>
      </c>
      <c r="N108" s="62">
        <f t="shared" si="19"/>
        <v>98.024247811081693</v>
      </c>
      <c r="O108" s="62">
        <f t="shared" si="19"/>
        <v>96.981216594926622</v>
      </c>
      <c r="P108" s="62">
        <f t="shared" si="19"/>
        <v>76.31933236614644</v>
      </c>
      <c r="Q108" s="62">
        <f t="shared" si="19"/>
        <v>77.816249430413777</v>
      </c>
      <c r="R108" s="62">
        <f t="shared" si="19"/>
        <v>90.412178052357135</v>
      </c>
      <c r="S108" s="62">
        <f t="shared" si="19"/>
        <v>93.49778367496036</v>
      </c>
      <c r="T108" s="62">
        <f t="shared" si="19"/>
        <v>93.378293767216505</v>
      </c>
      <c r="U108" s="62">
        <f t="shared" si="19"/>
        <v>95.499230970073043</v>
      </c>
      <c r="V108" s="62">
        <f t="shared" si="19"/>
        <v>91.127846790597175</v>
      </c>
    </row>
    <row r="109" spans="3:22" x14ac:dyDescent="0.2">
      <c r="C109" s="87" t="s">
        <v>141</v>
      </c>
      <c r="D109" s="60">
        <f t="shared" ref="D109:V109" si="20">+IFERROR(IF(D70&gt;0,+((D70/D31)*100)," "),"")</f>
        <v>95.385658210877764</v>
      </c>
      <c r="E109" s="60">
        <f t="shared" si="20"/>
        <v>97.291271441594048</v>
      </c>
      <c r="F109" s="60">
        <f t="shared" si="20"/>
        <v>97.638379403165274</v>
      </c>
      <c r="G109" s="60">
        <f t="shared" si="20"/>
        <v>97.708932233700452</v>
      </c>
      <c r="H109" s="60">
        <f t="shared" si="20"/>
        <v>95.745009771295642</v>
      </c>
      <c r="I109" s="60">
        <f t="shared" si="20"/>
        <v>96.479663971217789</v>
      </c>
      <c r="J109" s="60">
        <f t="shared" si="20"/>
        <v>97.302163238918354</v>
      </c>
      <c r="K109" s="60">
        <f t="shared" si="20"/>
        <v>95.540765124431076</v>
      </c>
      <c r="L109" s="60">
        <f t="shared" si="20"/>
        <v>94.622456832976098</v>
      </c>
      <c r="M109" s="60">
        <f t="shared" si="20"/>
        <v>93.01574113171101</v>
      </c>
      <c r="N109" s="60">
        <f t="shared" si="20"/>
        <v>91.481292384299877</v>
      </c>
      <c r="O109" s="60">
        <f t="shared" si="20"/>
        <v>93.94277299173585</v>
      </c>
      <c r="P109" s="60">
        <f t="shared" si="20"/>
        <v>88.51890609554502</v>
      </c>
      <c r="Q109" s="60">
        <f t="shared" si="20"/>
        <v>90.261695430048462</v>
      </c>
      <c r="R109" s="60">
        <f t="shared" si="20"/>
        <v>94.443739072936665</v>
      </c>
      <c r="S109" s="60">
        <f t="shared" si="20"/>
        <v>95.683401532662444</v>
      </c>
      <c r="T109" s="60">
        <f t="shared" si="20"/>
        <v>96.358806181256313</v>
      </c>
      <c r="U109" s="60">
        <f t="shared" si="20"/>
        <v>96.903006787693428</v>
      </c>
      <c r="V109" s="60">
        <f t="shared" si="20"/>
        <v>96.479546291367782</v>
      </c>
    </row>
    <row r="110" spans="3:22" x14ac:dyDescent="0.2">
      <c r="C110" s="88" t="s">
        <v>142</v>
      </c>
      <c r="D110" s="62">
        <f t="shared" ref="D110:V110" si="21">+IFERROR(IF(D71&gt;0,+((D71/D32)*100)," "),"")</f>
        <v>87.607906926004546</v>
      </c>
      <c r="E110" s="62">
        <f t="shared" si="21"/>
        <v>92.670718522507258</v>
      </c>
      <c r="F110" s="62">
        <f t="shared" si="21"/>
        <v>92.403137640596611</v>
      </c>
      <c r="G110" s="62">
        <f t="shared" si="21"/>
        <v>88.838129007073491</v>
      </c>
      <c r="H110" s="62">
        <f t="shared" si="21"/>
        <v>89.467134980149169</v>
      </c>
      <c r="I110" s="62">
        <f t="shared" si="21"/>
        <v>88.433508196115895</v>
      </c>
      <c r="J110" s="62">
        <f t="shared" si="21"/>
        <v>72.095429513475466</v>
      </c>
      <c r="K110" s="62">
        <f t="shared" si="21"/>
        <v>70.228312802702334</v>
      </c>
      <c r="L110" s="62">
        <f t="shared" si="21"/>
        <v>81.62104469223334</v>
      </c>
      <c r="M110" s="62">
        <f t="shared" si="21"/>
        <v>71.734211751913264</v>
      </c>
      <c r="N110" s="62">
        <f t="shared" si="21"/>
        <v>92.26961578864325</v>
      </c>
      <c r="O110" s="62">
        <f t="shared" si="21"/>
        <v>88.347697767444984</v>
      </c>
      <c r="P110" s="62">
        <f t="shared" si="21"/>
        <v>87.383892511374867</v>
      </c>
      <c r="Q110" s="62">
        <f t="shared" si="21"/>
        <v>67.695109508648272</v>
      </c>
      <c r="R110" s="62">
        <f t="shared" si="21"/>
        <v>87.579226806904714</v>
      </c>
      <c r="S110" s="62">
        <f t="shared" si="21"/>
        <v>89.936466038195306</v>
      </c>
      <c r="T110" s="62">
        <f t="shared" si="21"/>
        <v>94.778376367150614</v>
      </c>
      <c r="U110" s="62">
        <f t="shared" si="21"/>
        <v>93.040726231360352</v>
      </c>
      <c r="V110" s="62">
        <f t="shared" si="21"/>
        <v>94.497362369708782</v>
      </c>
    </row>
    <row r="111" spans="3:22" x14ac:dyDescent="0.2">
      <c r="C111" s="87" t="s">
        <v>143</v>
      </c>
      <c r="D111" s="60">
        <f t="shared" ref="D111:V111" si="22">+IFERROR(IF(D72&gt;0,+((D72/D33)*100)," "),"")</f>
        <v>91.121416902551132</v>
      </c>
      <c r="E111" s="60">
        <f t="shared" si="22"/>
        <v>97.012939424745881</v>
      </c>
      <c r="F111" s="60">
        <f t="shared" si="22"/>
        <v>92.489250782692238</v>
      </c>
      <c r="G111" s="60">
        <f t="shared" si="22"/>
        <v>95.042790989278132</v>
      </c>
      <c r="H111" s="60">
        <f t="shared" si="22"/>
        <v>97.362105032533506</v>
      </c>
      <c r="I111" s="60">
        <f t="shared" si="22"/>
        <v>99.462926130154329</v>
      </c>
      <c r="J111" s="60">
        <f t="shared" si="22"/>
        <v>98.668636502283903</v>
      </c>
      <c r="K111" s="60">
        <f t="shared" si="22"/>
        <v>99.469372817642537</v>
      </c>
      <c r="L111" s="60">
        <f t="shared" si="22"/>
        <v>98.285469294354158</v>
      </c>
      <c r="M111" s="60">
        <f t="shared" si="22"/>
        <v>91.861705356181844</v>
      </c>
      <c r="N111" s="60">
        <f t="shared" si="22"/>
        <v>91.165194258219856</v>
      </c>
      <c r="O111" s="60">
        <f t="shared" si="22"/>
        <v>96.453823405360566</v>
      </c>
      <c r="P111" s="60">
        <f t="shared" si="22"/>
        <v>95.574116548326344</v>
      </c>
      <c r="Q111" s="60">
        <f t="shared" si="22"/>
        <v>93.156431780101911</v>
      </c>
      <c r="R111" s="60">
        <f t="shared" si="22"/>
        <v>94.031483184133052</v>
      </c>
      <c r="S111" s="60">
        <f t="shared" si="22"/>
        <v>96.606633235879187</v>
      </c>
      <c r="T111" s="60">
        <f t="shared" si="22"/>
        <v>98.692010531777569</v>
      </c>
      <c r="U111" s="60">
        <f t="shared" si="22"/>
        <v>98.412442979105734</v>
      </c>
      <c r="V111" s="60">
        <f t="shared" si="22"/>
        <v>97.252781330568396</v>
      </c>
    </row>
    <row r="112" spans="3:22" x14ac:dyDescent="0.2">
      <c r="C112" s="88" t="s">
        <v>144</v>
      </c>
      <c r="D112" s="62">
        <f t="shared" ref="D112:V112" si="23">+IFERROR(IF(D73&gt;0,+((D73/D34)*100)," "),"")</f>
        <v>99.292198301472496</v>
      </c>
      <c r="E112" s="62">
        <f t="shared" si="23"/>
        <v>97.197979451948584</v>
      </c>
      <c r="F112" s="62">
        <f t="shared" si="23"/>
        <v>98.881360937648139</v>
      </c>
      <c r="G112" s="62">
        <f t="shared" si="23"/>
        <v>99.425039365868443</v>
      </c>
      <c r="H112" s="62">
        <f t="shared" si="23"/>
        <v>99.086724614956879</v>
      </c>
      <c r="I112" s="62">
        <f t="shared" si="23"/>
        <v>99.891525681601053</v>
      </c>
      <c r="J112" s="62">
        <f t="shared" si="23"/>
        <v>98.87837962248912</v>
      </c>
      <c r="K112" s="62">
        <f t="shared" si="23"/>
        <v>99.508056861722238</v>
      </c>
      <c r="L112" s="62">
        <f t="shared" si="23"/>
        <v>99.243613870119745</v>
      </c>
      <c r="M112" s="62">
        <f t="shared" si="23"/>
        <v>99.131728799000015</v>
      </c>
      <c r="N112" s="62">
        <f t="shared" si="23"/>
        <v>98.799482048851019</v>
      </c>
      <c r="O112" s="62">
        <f t="shared" si="23"/>
        <v>97.520309041840775</v>
      </c>
      <c r="P112" s="62">
        <f t="shared" si="23"/>
        <v>98.768752530293852</v>
      </c>
      <c r="Q112" s="62">
        <f t="shared" si="23"/>
        <v>99.751244998334869</v>
      </c>
      <c r="R112" s="62">
        <f t="shared" si="23"/>
        <v>99.814171537535998</v>
      </c>
      <c r="S112" s="62">
        <f t="shared" si="23"/>
        <v>99.427390263341806</v>
      </c>
      <c r="T112" s="62">
        <f t="shared" si="23"/>
        <v>99.202966952618652</v>
      </c>
      <c r="U112" s="62">
        <f t="shared" si="23"/>
        <v>98.498012535292844</v>
      </c>
      <c r="V112" s="62">
        <f t="shared" si="23"/>
        <v>99.443620323360747</v>
      </c>
    </row>
    <row r="113" spans="3:22" x14ac:dyDescent="0.2">
      <c r="C113" s="87" t="s">
        <v>145</v>
      </c>
      <c r="D113" s="60">
        <f t="shared" ref="D113:V113" si="24">+IFERROR(IF(D74&gt;0,+((D74/D35)*100)," "),"")</f>
        <v>97.902355581969744</v>
      </c>
      <c r="E113" s="60">
        <f t="shared" si="24"/>
        <v>96.869282101205329</v>
      </c>
      <c r="F113" s="60">
        <f t="shared" si="24"/>
        <v>82.429896607171685</v>
      </c>
      <c r="G113" s="60">
        <f t="shared" si="24"/>
        <v>91.39767591597095</v>
      </c>
      <c r="H113" s="60">
        <f t="shared" si="24"/>
        <v>97.408124285306002</v>
      </c>
      <c r="I113" s="60">
        <f t="shared" si="24"/>
        <v>97.273099122421229</v>
      </c>
      <c r="J113" s="60">
        <f t="shared" si="24"/>
        <v>87.110488428070951</v>
      </c>
      <c r="K113" s="60">
        <f t="shared" si="24"/>
        <v>94.178441443945076</v>
      </c>
      <c r="L113" s="60">
        <f t="shared" si="24"/>
        <v>94.156096963269974</v>
      </c>
      <c r="M113" s="60">
        <f t="shared" si="24"/>
        <v>97.243005079182311</v>
      </c>
      <c r="N113" s="60">
        <f t="shared" si="24"/>
        <v>98.75861241485147</v>
      </c>
      <c r="O113" s="60">
        <f t="shared" si="24"/>
        <v>92.441648074029033</v>
      </c>
      <c r="P113" s="60">
        <f t="shared" si="24"/>
        <v>91.705112097477411</v>
      </c>
      <c r="Q113" s="60">
        <f t="shared" si="24"/>
        <v>88.618914213514543</v>
      </c>
      <c r="R113" s="60">
        <f t="shared" si="24"/>
        <v>94.369072339607357</v>
      </c>
      <c r="S113" s="60">
        <f t="shared" si="24"/>
        <v>92.371780984594679</v>
      </c>
      <c r="T113" s="60">
        <f t="shared" si="24"/>
        <v>94.723851771875388</v>
      </c>
      <c r="U113" s="60">
        <f t="shared" si="24"/>
        <v>96.123561287133612</v>
      </c>
      <c r="V113" s="60">
        <f t="shared" si="24"/>
        <v>97.643800416449352</v>
      </c>
    </row>
    <row r="114" spans="3:22" x14ac:dyDescent="0.2">
      <c r="C114" s="88" t="s">
        <v>146</v>
      </c>
      <c r="D114" s="62">
        <f t="shared" ref="D114:V114" si="25">+IFERROR(IF(D75&gt;0,+((D75/D36)*100)," "),"")</f>
        <v>93.936193735780378</v>
      </c>
      <c r="E114" s="62">
        <f t="shared" si="25"/>
        <v>94.890453023847087</v>
      </c>
      <c r="F114" s="62">
        <f t="shared" si="25"/>
        <v>95.212529488722836</v>
      </c>
      <c r="G114" s="62">
        <f t="shared" si="25"/>
        <v>98.749048902949156</v>
      </c>
      <c r="H114" s="62">
        <f t="shared" si="25"/>
        <v>90.463364974179555</v>
      </c>
      <c r="I114" s="62">
        <f t="shared" si="25"/>
        <v>90.165066438580368</v>
      </c>
      <c r="J114" s="62">
        <f t="shared" si="25"/>
        <v>95.035009912893912</v>
      </c>
      <c r="K114" s="62">
        <f t="shared" si="25"/>
        <v>87.301104690373762</v>
      </c>
      <c r="L114" s="62">
        <f t="shared" si="25"/>
        <v>90.500191102981759</v>
      </c>
      <c r="M114" s="62">
        <f t="shared" si="25"/>
        <v>95.485933026147123</v>
      </c>
      <c r="N114" s="62">
        <f t="shared" si="25"/>
        <v>89.314966596489953</v>
      </c>
      <c r="O114" s="62">
        <f t="shared" si="25"/>
        <v>97.064882215082164</v>
      </c>
      <c r="P114" s="62">
        <f t="shared" si="25"/>
        <v>96.561825943655322</v>
      </c>
      <c r="Q114" s="62">
        <f t="shared" si="25"/>
        <v>98.856439727559163</v>
      </c>
      <c r="R114" s="62">
        <f t="shared" si="25"/>
        <v>98.075035127855486</v>
      </c>
      <c r="S114" s="62">
        <f t="shared" si="25"/>
        <v>98.659491232979633</v>
      </c>
      <c r="T114" s="62">
        <f t="shared" si="25"/>
        <v>98.083560884061626</v>
      </c>
      <c r="U114" s="62">
        <f t="shared" si="25"/>
        <v>96.950750015384685</v>
      </c>
      <c r="V114" s="62">
        <f t="shared" si="25"/>
        <v>90.775091435410829</v>
      </c>
    </row>
    <row r="115" spans="3:22" x14ac:dyDescent="0.2">
      <c r="C115" s="90" t="s">
        <v>147</v>
      </c>
      <c r="D115" s="61">
        <f t="shared" ref="D115:V115" si="26">+IFERROR(IF(D76&gt;0,+((D76/D37)*100)," "),"")</f>
        <v>96.544357132852795</v>
      </c>
      <c r="E115" s="61">
        <f t="shared" si="26"/>
        <v>98.883952791106935</v>
      </c>
      <c r="F115" s="61">
        <f t="shared" si="26"/>
        <v>98.915757176088732</v>
      </c>
      <c r="G115" s="61">
        <f t="shared" si="26"/>
        <v>99.362001753861406</v>
      </c>
      <c r="H115" s="61">
        <f t="shared" si="26"/>
        <v>99.503949323023065</v>
      </c>
      <c r="I115" s="61">
        <f t="shared" si="26"/>
        <v>99.397948584887217</v>
      </c>
      <c r="J115" s="61">
        <f t="shared" si="26"/>
        <v>99.13044319538227</v>
      </c>
      <c r="K115" s="61">
        <f t="shared" si="26"/>
        <v>97.257152387297168</v>
      </c>
      <c r="L115" s="61">
        <f t="shared" si="26"/>
        <v>99.6820060445677</v>
      </c>
      <c r="M115" s="61">
        <f t="shared" si="26"/>
        <v>95.587339576337925</v>
      </c>
      <c r="N115" s="61">
        <f t="shared" si="26"/>
        <v>87.007785128777698</v>
      </c>
      <c r="O115" s="61">
        <f t="shared" si="26"/>
        <v>98.868537456913003</v>
      </c>
      <c r="P115" s="61">
        <f t="shared" si="26"/>
        <v>98.575683566307092</v>
      </c>
      <c r="Q115" s="61">
        <f t="shared" si="26"/>
        <v>98.403192370272421</v>
      </c>
      <c r="R115" s="61">
        <f t="shared" si="26"/>
        <v>97.35099800601435</v>
      </c>
      <c r="S115" s="61">
        <f t="shared" si="26"/>
        <v>98.73440314505946</v>
      </c>
      <c r="T115" s="61">
        <f t="shared" si="26"/>
        <v>99.705522404434063</v>
      </c>
      <c r="U115" s="61">
        <f t="shared" si="26"/>
        <v>99.797841488648615</v>
      </c>
      <c r="V115" s="61">
        <f t="shared" si="26"/>
        <v>95.506466976453922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81.957035290999485</v>
      </c>
    </row>
    <row r="117" spans="3:22" x14ac:dyDescent="0.2">
      <c r="C117" s="87" t="s">
        <v>149</v>
      </c>
      <c r="D117" s="60">
        <f t="shared" ref="D117:V117" si="28">+IFERROR(IF(D78&gt;0,+((D78/D39)*100)," "),"")</f>
        <v>42.932243030419251</v>
      </c>
      <c r="E117" s="60">
        <f t="shared" si="28"/>
        <v>42.212624359482945</v>
      </c>
      <c r="F117" s="60">
        <f t="shared" si="28"/>
        <v>46.919462483028418</v>
      </c>
      <c r="G117" s="60">
        <f t="shared" si="28"/>
        <v>58.954742789152611</v>
      </c>
      <c r="H117" s="60">
        <f t="shared" si="28"/>
        <v>53.975131561589684</v>
      </c>
      <c r="I117" s="60">
        <f t="shared" si="28"/>
        <v>29.729279866158461</v>
      </c>
      <c r="J117" s="60">
        <f t="shared" si="28"/>
        <v>51.114256016619088</v>
      </c>
      <c r="K117" s="60">
        <f t="shared" si="28"/>
        <v>55.155711369864235</v>
      </c>
      <c r="L117" s="60">
        <f t="shared" si="28"/>
        <v>62.034398203644926</v>
      </c>
      <c r="M117" s="60">
        <f t="shared" si="28"/>
        <v>52.70385616385127</v>
      </c>
      <c r="N117" s="60">
        <f t="shared" si="28"/>
        <v>70.933012229193096</v>
      </c>
      <c r="O117" s="60">
        <f t="shared" si="28"/>
        <v>74.117029018673406</v>
      </c>
      <c r="P117" s="60">
        <f t="shared" si="28"/>
        <v>93.131731424606173</v>
      </c>
      <c r="Q117" s="60">
        <f t="shared" si="28"/>
        <v>74.179836774630886</v>
      </c>
      <c r="R117" s="60">
        <f t="shared" si="28"/>
        <v>75.437898091638928</v>
      </c>
      <c r="S117" s="60">
        <f t="shared" si="28"/>
        <v>85.027955250507446</v>
      </c>
      <c r="T117" s="60">
        <f t="shared" si="28"/>
        <v>92.412269626057181</v>
      </c>
      <c r="U117" s="60">
        <f t="shared" si="28"/>
        <v>96.581717300902341</v>
      </c>
      <c r="V117" s="60">
        <f t="shared" si="28"/>
        <v>80.549937549024563</v>
      </c>
    </row>
    <row r="118" spans="3:22" x14ac:dyDescent="0.2">
      <c r="C118" s="88" t="s">
        <v>150</v>
      </c>
      <c r="D118" s="62">
        <f t="shared" ref="D118:V118" si="29">+IFERROR(IF(D79&gt;0,+((D79/D40)*100)," "),"")</f>
        <v>92.543226451126827</v>
      </c>
      <c r="E118" s="62">
        <f t="shared" si="29"/>
        <v>92.254738933888873</v>
      </c>
      <c r="F118" s="62">
        <f t="shared" si="29"/>
        <v>95.408566734900376</v>
      </c>
      <c r="G118" s="62">
        <f t="shared" si="29"/>
        <v>94.55979171315748</v>
      </c>
      <c r="H118" s="62">
        <f t="shared" si="29"/>
        <v>95.067514418489111</v>
      </c>
      <c r="I118" s="62">
        <f t="shared" si="29"/>
        <v>91.842488313898357</v>
      </c>
      <c r="J118" s="62">
        <f t="shared" si="29"/>
        <v>83.475487566808539</v>
      </c>
      <c r="K118" s="62">
        <f t="shared" si="29"/>
        <v>86.715361976565319</v>
      </c>
      <c r="L118" s="62">
        <f t="shared" si="29"/>
        <v>89.40737873828165</v>
      </c>
      <c r="M118" s="62">
        <f t="shared" si="29"/>
        <v>89.132143321449064</v>
      </c>
      <c r="N118" s="62">
        <f t="shared" si="29"/>
        <v>88.08658857250181</v>
      </c>
      <c r="O118" s="62">
        <f t="shared" si="29"/>
        <v>85.772271079688338</v>
      </c>
      <c r="P118" s="62">
        <f t="shared" si="29"/>
        <v>92.261194758052895</v>
      </c>
      <c r="Q118" s="62">
        <f t="shared" si="29"/>
        <v>90.039115645632208</v>
      </c>
      <c r="R118" s="62">
        <f t="shared" si="29"/>
        <v>93.89298528537033</v>
      </c>
      <c r="S118" s="62">
        <f t="shared" si="29"/>
        <v>94.146355430018019</v>
      </c>
      <c r="T118" s="62">
        <f t="shared" si="29"/>
        <v>94.72240700572533</v>
      </c>
      <c r="U118" s="62">
        <f t="shared" si="29"/>
        <v>90.879234051027822</v>
      </c>
      <c r="V118" s="62">
        <f t="shared" si="29"/>
        <v>95.760083209729672</v>
      </c>
    </row>
    <row r="119" spans="3:22" x14ac:dyDescent="0.2">
      <c r="C119" s="87" t="s">
        <v>151</v>
      </c>
      <c r="D119" s="60">
        <f t="shared" ref="D119:V119" si="30">+IFERROR(IF(D80&gt;0,+((D80/D41)*100)," "),"")</f>
        <v>85.431599017387427</v>
      </c>
      <c r="E119" s="60">
        <f t="shared" si="30"/>
        <v>80.747384982998611</v>
      </c>
      <c r="F119" s="60">
        <f t="shared" si="30"/>
        <v>78.314447146408042</v>
      </c>
      <c r="G119" s="60">
        <f t="shared" si="30"/>
        <v>85.284125623963718</v>
      </c>
      <c r="H119" s="60">
        <f t="shared" si="30"/>
        <v>87.395875094143321</v>
      </c>
      <c r="I119" s="60">
        <f t="shared" si="30"/>
        <v>89.613344358374391</v>
      </c>
      <c r="J119" s="60">
        <f t="shared" si="30"/>
        <v>93.034680191030191</v>
      </c>
      <c r="K119" s="60">
        <f t="shared" si="30"/>
        <v>66.48863064161678</v>
      </c>
      <c r="L119" s="60">
        <f t="shared" si="30"/>
        <v>82.656981949464011</v>
      </c>
      <c r="M119" s="60">
        <f t="shared" si="30"/>
        <v>92.000341446585352</v>
      </c>
      <c r="N119" s="60">
        <f t="shared" si="30"/>
        <v>94.051401440640078</v>
      </c>
      <c r="O119" s="60">
        <f t="shared" si="30"/>
        <v>98.340470802343162</v>
      </c>
      <c r="P119" s="60">
        <f t="shared" si="30"/>
        <v>99.319268894690865</v>
      </c>
      <c r="Q119" s="60">
        <f t="shared" si="30"/>
        <v>99.658083599775438</v>
      </c>
      <c r="R119" s="60">
        <f t="shared" si="30"/>
        <v>99.67828832748252</v>
      </c>
      <c r="S119" s="60">
        <f t="shared" si="30"/>
        <v>99.322030911091844</v>
      </c>
      <c r="T119" s="60">
        <f t="shared" si="30"/>
        <v>99.935689433309477</v>
      </c>
      <c r="U119" s="60">
        <f t="shared" si="30"/>
        <v>99.951549296956401</v>
      </c>
      <c r="V119" s="60">
        <f t="shared" si="30"/>
        <v>99.845606171778641</v>
      </c>
    </row>
    <row r="120" spans="3:22" x14ac:dyDescent="0.2">
      <c r="C120" s="91" t="s">
        <v>179</v>
      </c>
      <c r="D120" s="64">
        <f t="shared" ref="D120:V120" si="31">+IFERROR(IF(D81&gt;0,+((D81/D42)*100)," "),"")</f>
        <v>94.932289539555597</v>
      </c>
      <c r="E120" s="64">
        <f t="shared" si="31"/>
        <v>96.237721411121385</v>
      </c>
      <c r="F120" s="64">
        <f t="shared" si="31"/>
        <v>97.89349622490397</v>
      </c>
      <c r="G120" s="64">
        <f t="shared" si="31"/>
        <v>98.146559458328142</v>
      </c>
      <c r="H120" s="64">
        <f t="shared" si="31"/>
        <v>98.622380290304676</v>
      </c>
      <c r="I120" s="64">
        <f t="shared" si="31"/>
        <v>98.160413207793923</v>
      </c>
      <c r="J120" s="64">
        <f t="shared" si="31"/>
        <v>97.886144839681648</v>
      </c>
      <c r="K120" s="64">
        <f t="shared" si="31"/>
        <v>95.679795313690335</v>
      </c>
      <c r="L120" s="64">
        <f t="shared" si="31"/>
        <v>97.523718256093161</v>
      </c>
      <c r="M120" s="64">
        <f t="shared" si="31"/>
        <v>94.529092965709722</v>
      </c>
      <c r="N120" s="64">
        <f t="shared" si="31"/>
        <v>91.983290185035287</v>
      </c>
      <c r="O120" s="64">
        <f t="shared" si="31"/>
        <v>98.062435680322352</v>
      </c>
      <c r="P120" s="64">
        <f t="shared" si="31"/>
        <v>97.766714692032124</v>
      </c>
      <c r="Q120" s="64">
        <f t="shared" si="31"/>
        <v>96.665596480826579</v>
      </c>
      <c r="R120" s="64">
        <f t="shared" si="31"/>
        <v>95.078690300677408</v>
      </c>
      <c r="S120" s="64">
        <f t="shared" si="31"/>
        <v>97.826289839176155</v>
      </c>
      <c r="T120" s="64">
        <f t="shared" si="31"/>
        <v>98.956883759356941</v>
      </c>
      <c r="U120" s="64">
        <f t="shared" si="31"/>
        <v>99.137014390568481</v>
      </c>
      <c r="V120" s="64">
        <f t="shared" si="31"/>
        <v>97.200335529479048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55" t="s">
        <v>182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76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60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222.124814193099*Deflactores!$A$5</f>
        <v>827.12905252127246</v>
      </c>
      <c r="E130" s="56">
        <f>218.367590217*Deflactores!$B$5</f>
        <v>755.36557341438208</v>
      </c>
      <c r="F130" s="56">
        <f>234.00828153269*Deflactores!$C$5</f>
        <v>756.57079947667762</v>
      </c>
      <c r="G130" s="56">
        <f>255.2115002705*Deflactores!$D$5</f>
        <v>774.82603981243165</v>
      </c>
      <c r="H130" s="56">
        <f>230.38824859065*Deflactores!$E$5</f>
        <v>663.01636995774629</v>
      </c>
      <c r="I130" s="56">
        <f>246.01010022728*Deflactores!$F$5</f>
        <v>675.19160876802914</v>
      </c>
      <c r="J130" s="56">
        <f>330.89418432616*Deflactores!$G$5</f>
        <v>869.237785772454</v>
      </c>
      <c r="K130" s="56">
        <f>408.519768399719*Deflactores!$H$5</f>
        <v>1015.3372284082061</v>
      </c>
      <c r="L130" s="56">
        <f>737.32749905714*Deflactores!$I$5</f>
        <v>1701.9442103115139</v>
      </c>
      <c r="M130" s="56">
        <f>329.10998471905*Deflactores!$J$5</f>
        <v>744.76297303150716</v>
      </c>
      <c r="N130" s="56">
        <f>387.87214163266*Deflactores!$K$5</f>
        <v>850.75993863942335</v>
      </c>
      <c r="O130" s="56">
        <f>276.99535675509*Deflactores!$L$5</f>
        <v>585.73399834001953</v>
      </c>
      <c r="P130" s="56">
        <f>389.89337569897*Deflactores!$M$5</f>
        <v>804.83013771293611</v>
      </c>
      <c r="Q130" s="56">
        <f>1360.44157914843*Deflactores!$N$5</f>
        <v>2754.8226279805772</v>
      </c>
      <c r="R130" s="56">
        <f>370.54897343679*Deflactores!$O$5</f>
        <v>723.84929331957096</v>
      </c>
      <c r="S130" s="56">
        <f>507.64841724706*Deflactores!$P$5</f>
        <v>928.78744053176729</v>
      </c>
      <c r="T130" s="56">
        <f>496.49831748097*Deflactores!$Q$5</f>
        <v>858.99513197344152</v>
      </c>
      <c r="U130" s="56">
        <f>572.62400768223*Deflactores!$R$5</f>
        <v>951.7731855198009</v>
      </c>
      <c r="V130" s="56">
        <f>542.207281734146*Deflactores!$S$5</f>
        <v>873.44132388609171</v>
      </c>
    </row>
    <row r="131" spans="3:22" x14ac:dyDescent="0.2">
      <c r="C131" s="88" t="s">
        <v>124</v>
      </c>
      <c r="D131" s="57">
        <f>83.98998956845*Deflactores!$A$5</f>
        <v>312.75461386601768</v>
      </c>
      <c r="E131" s="57">
        <f>87.54642611221*Deflactores!$B$5</f>
        <v>302.83594875463865</v>
      </c>
      <c r="F131" s="57">
        <f>91.71599906838*Deflactores!$C$5</f>
        <v>296.52645746331433</v>
      </c>
      <c r="G131" s="57">
        <f>95.6120785984899*Deflactores!$D$5</f>
        <v>290.2797410782124</v>
      </c>
      <c r="H131" s="57">
        <f>101.76931173269*Deflactores!$E$5</f>
        <v>292.87396406226588</v>
      </c>
      <c r="I131" s="57">
        <f>108.84738859964*Deflactores!$F$5</f>
        <v>298.73913042957315</v>
      </c>
      <c r="J131" s="57">
        <f>112.41079347924*Deflactores!$G$5</f>
        <v>295.29594005951299</v>
      </c>
      <c r="K131" s="57">
        <f>122.22620291332*Deflactores!$H$5</f>
        <v>303.78166175655429</v>
      </c>
      <c r="L131" s="57">
        <f>1045.64662823755*Deflactores!$I$5</f>
        <v>2413.6251899411927</v>
      </c>
      <c r="M131" s="57">
        <f>1254.96676436468*Deflactores!$J$5</f>
        <v>2839.9405119290182</v>
      </c>
      <c r="N131" s="57">
        <f>1351.68793149371*Deflactores!$K$5</f>
        <v>2964.7964321869918</v>
      </c>
      <c r="O131" s="57">
        <f>1091.70411365078*Deflactores!$L$5</f>
        <v>2308.5160090185095</v>
      </c>
      <c r="P131" s="57">
        <f>200.40428465808*Deflactores!$M$5</f>
        <v>413.68081140253923</v>
      </c>
      <c r="Q131" s="57">
        <f>236.12314525709*Deflactores!$N$5</f>
        <v>478.13694723395861</v>
      </c>
      <c r="R131" s="57">
        <f>260.69888760772*Deflactores!$O$5</f>
        <v>509.26252423213595</v>
      </c>
      <c r="S131" s="57">
        <f>259.92938949881*Deflactores!$P$5</f>
        <v>475.56368579022239</v>
      </c>
      <c r="T131" s="57">
        <f>275.16214171036*Deflactores!$Q$5</f>
        <v>476.05990173701832</v>
      </c>
      <c r="U131" s="57">
        <f>292.18057753445*Deflactores!$R$5</f>
        <v>485.64090100340462</v>
      </c>
      <c r="V131" s="57">
        <f>308.413534822359*Deflactores!$S$5</f>
        <v>496.82314353666851</v>
      </c>
    </row>
    <row r="132" spans="3:22" x14ac:dyDescent="0.2">
      <c r="C132" s="87" t="s">
        <v>125</v>
      </c>
      <c r="D132" s="56">
        <f>7.4800009024*Deflactores!$A$5</f>
        <v>27.85337640792314</v>
      </c>
      <c r="E132" s="56">
        <f>5.004461224*Deflactores!$B$5</f>
        <v>17.311166544175705</v>
      </c>
      <c r="F132" s="56">
        <f>5.552895033*Deflactores!$C$5</f>
        <v>17.953032290184133</v>
      </c>
      <c r="G132" s="56">
        <f>5.77523603946*Deflactores!$D$5</f>
        <v>17.533705435272143</v>
      </c>
      <c r="H132" s="56">
        <f>5.70175097836*Deflactores!$E$5</f>
        <v>16.408624394693611</v>
      </c>
      <c r="I132" s="56">
        <f>5.93439640719999*Deflactores!$F$5</f>
        <v>16.287358338307179</v>
      </c>
      <c r="J132" s="56">
        <f>6.3373701568*Deflactores!$G$5</f>
        <v>16.647864675939406</v>
      </c>
      <c r="K132" s="56">
        <f>6.53084866*Deflactores!$H$5</f>
        <v>16.23180636661305</v>
      </c>
      <c r="L132" s="56">
        <f>7.55060477075*Deflactores!$I$5</f>
        <v>17.428765494792128</v>
      </c>
      <c r="M132" s="56">
        <f>9.10560782598*Deflactores!$J$5</f>
        <v>20.605632981706638</v>
      </c>
      <c r="N132" s="56">
        <f>24.86316433908*Deflactores!$K$5</f>
        <v>54.534940505034946</v>
      </c>
      <c r="O132" s="56">
        <f>9.245342365*Deflactores!$L$5</f>
        <v>19.550188179731332</v>
      </c>
      <c r="P132" s="56">
        <f>12.26222954297*Deflactores!$M$5</f>
        <v>25.312078908865264</v>
      </c>
      <c r="Q132" s="56">
        <f>16.18188487038*Deflactores!$N$5</f>
        <v>32.767465569674194</v>
      </c>
      <c r="R132" s="56">
        <f>20.8623101315599*Deflactores!$O$5</f>
        <v>40.753502312210259</v>
      </c>
      <c r="S132" s="56">
        <f>19.85339796843*Deflactores!$P$5</f>
        <v>36.323538217558536</v>
      </c>
      <c r="T132" s="56">
        <f>20.49881051983*Deflactores!$Q$5</f>
        <v>35.465132162214914</v>
      </c>
      <c r="U132" s="56">
        <f>22.18707046851*Deflactores!$R$5</f>
        <v>36.87770413720532</v>
      </c>
      <c r="V132" s="56">
        <f>21.95025763725*Deflactores!$S$5</f>
        <v>35.35965439084778</v>
      </c>
    </row>
    <row r="133" spans="3:22" x14ac:dyDescent="0.2">
      <c r="C133" s="88" t="s">
        <v>126</v>
      </c>
      <c r="D133" s="57">
        <f>144.238100280329*Deflactores!$A$5</f>
        <v>537.1012853999423</v>
      </c>
      <c r="E133" s="57">
        <f>142.847855055259*Deflactores!$B$5</f>
        <v>494.1317154143785</v>
      </c>
      <c r="F133" s="57">
        <f>145.063460937199*Deflactores!$C$5</f>
        <v>469.00382284452917</v>
      </c>
      <c r="G133" s="57">
        <f>142.9712129488*Deflactores!$D$5</f>
        <v>434.06280131923739</v>
      </c>
      <c r="H133" s="57">
        <f>147.92108650638*Deflactores!$E$5</f>
        <v>425.69055676933533</v>
      </c>
      <c r="I133" s="57">
        <f>165.97263838644*Deflactores!$F$5</f>
        <v>455.52330014126835</v>
      </c>
      <c r="J133" s="57">
        <f>245.97585378084*Deflactores!$G$5</f>
        <v>646.1627814020261</v>
      </c>
      <c r="K133" s="57">
        <f>224.753885766309*Deflactores!$H$5</f>
        <v>558.6045158643434</v>
      </c>
      <c r="L133" s="57">
        <f>231.137730252739*Deflactores!$I$5</f>
        <v>533.52617702613031</v>
      </c>
      <c r="M133" s="57">
        <f>279.455442555739*Deflactores!$J$5</f>
        <v>632.39669378405404</v>
      </c>
      <c r="N133" s="57">
        <f>226.47980551878*Deflactores!$K$5</f>
        <v>496.7614962889142</v>
      </c>
      <c r="O133" s="57">
        <f>337.93891329389*Deflactores!$L$5</f>
        <v>714.60515871869052</v>
      </c>
      <c r="P133" s="57">
        <f>474.563546549459*Deflactores!$M$5</f>
        <v>979.60896062474308</v>
      </c>
      <c r="Q133" s="57">
        <f>675.423748569308*Deflactores!$N$5</f>
        <v>1367.6975583169724</v>
      </c>
      <c r="R133" s="57">
        <f>567.302868225348*Deflactores!$O$5</f>
        <v>1108.1984021017213</v>
      </c>
      <c r="S133" s="57">
        <f>555.316762918119*Deflactores!$P$5</f>
        <v>1016.0008726356233</v>
      </c>
      <c r="T133" s="57">
        <f>542.91012510251*Deflactores!$Q$5</f>
        <v>939.29251750188052</v>
      </c>
      <c r="U133" s="57">
        <f>620.14735867007*Deflactores!$R$5</f>
        <v>1030.7629773368649</v>
      </c>
      <c r="V133" s="57">
        <f>564.987764612059*Deflactores!$S$5</f>
        <v>910.13838752568483</v>
      </c>
    </row>
    <row r="134" spans="3:22" x14ac:dyDescent="0.2">
      <c r="C134" s="87" t="s">
        <v>127</v>
      </c>
      <c r="D134" s="56">
        <f>168.145621939619*Deflactores!$A$5</f>
        <v>626.12603398561691</v>
      </c>
      <c r="E134" s="56">
        <f>180.690713609919*Deflactores!$B$5</f>
        <v>625.03572238434106</v>
      </c>
      <c r="F134" s="56">
        <f>184.05198404973*Deflactores!$C$5</f>
        <v>595.05738773745293</v>
      </c>
      <c r="G134" s="56">
        <f>202.91752296671*Deflactores!$D$5</f>
        <v>616.06072046988334</v>
      </c>
      <c r="H134" s="56">
        <f>215.22518708014*Deflactores!$E$5</f>
        <v>619.37977798031864</v>
      </c>
      <c r="I134" s="56">
        <f>232.36405837457*Deflactores!$F$5</f>
        <v>637.73911009689766</v>
      </c>
      <c r="J134" s="56">
        <f>245.32097440796*Deflactores!$G$5</f>
        <v>644.44245531896274</v>
      </c>
      <c r="K134" s="56">
        <f>268.95410375599*Deflactores!$H$5</f>
        <v>668.45997525736334</v>
      </c>
      <c r="L134" s="56">
        <f>290.24802463175*Deflactores!$I$5</f>
        <v>669.96815622372253</v>
      </c>
      <c r="M134" s="56">
        <f>320.39755102817*Deflactores!$J$5</f>
        <v>725.04707767968796</v>
      </c>
      <c r="N134" s="56">
        <f>330.420910244069*Deflactores!$K$5</f>
        <v>724.74623245990904</v>
      </c>
      <c r="O134" s="56">
        <f>346.845641381639*Deflactores!$L$5</f>
        <v>733.43931361601346</v>
      </c>
      <c r="P134" s="56">
        <f>367.903559809254*Deflactores!$M$5</f>
        <v>759.4380698967683</v>
      </c>
      <c r="Q134" s="56">
        <f>387.015021271943*Deflactores!$N$5</f>
        <v>783.68505807922725</v>
      </c>
      <c r="R134" s="56">
        <f>400.185791997995*Deflactores!$O$5</f>
        <v>781.74336862302903</v>
      </c>
      <c r="S134" s="56">
        <f>412.976977419946*Deflactores!$P$5</f>
        <v>755.57771249731695</v>
      </c>
      <c r="T134" s="56">
        <f>435.709711989344*Deflactores!$Q$5</f>
        <v>753.82435020384935</v>
      </c>
      <c r="U134" s="56">
        <f>480.81214223413*Deflactores!$R$5</f>
        <v>799.17030741178758</v>
      </c>
      <c r="V134" s="56">
        <f>494.89480554938*Deflactores!$S$5</f>
        <v>797.22568970467273</v>
      </c>
    </row>
    <row r="135" spans="3:22" x14ac:dyDescent="0.2">
      <c r="C135" s="88" t="s">
        <v>128</v>
      </c>
      <c r="D135" s="57">
        <f>38.1737133256599*Deflactores!$A$5</f>
        <v>142.14795158735896</v>
      </c>
      <c r="E135" s="57">
        <f>40.30094531914*Deflactores!$B$5</f>
        <v>139.40689018861522</v>
      </c>
      <c r="F135" s="57">
        <f>40.67830021621*Deflactores!$C$5</f>
        <v>131.51677331398642</v>
      </c>
      <c r="G135" s="57">
        <f>48.60549279229*Deflactores!$D$5</f>
        <v>147.56702363907922</v>
      </c>
      <c r="H135" s="57">
        <f>53.3581402709*Deflactores!$E$5</f>
        <v>153.55522986316109</v>
      </c>
      <c r="I135" s="57">
        <f>61.44267143271*Deflactores!$F$5</f>
        <v>168.63362981166156</v>
      </c>
      <c r="J135" s="57">
        <f>68.93680993588*Deflactores!$G$5</f>
        <v>181.09257540717516</v>
      </c>
      <c r="K135" s="57">
        <f>81.49983902528*Deflactores!$H$5</f>
        <v>202.56013802170671</v>
      </c>
      <c r="L135" s="57">
        <f>99.49439567945*Deflactores!$I$5</f>
        <v>229.65901977292197</v>
      </c>
      <c r="M135" s="57">
        <f>96.74107373799*Deflactores!$J$5</f>
        <v>218.92125136486402</v>
      </c>
      <c r="N135" s="57">
        <f>105.41960336892*Deflactores!$K$5</f>
        <v>231.2276796060128</v>
      </c>
      <c r="O135" s="57">
        <f>118.73751768268*Deflactores!$L$5</f>
        <v>251.08219069079007</v>
      </c>
      <c r="P135" s="57">
        <f>150.27514970007*Deflactores!$M$5</f>
        <v>310.20267838897507</v>
      </c>
      <c r="Q135" s="57">
        <f>204.468558032969*Deflactores!$N$5</f>
        <v>414.03807338229495</v>
      </c>
      <c r="R135" s="57">
        <f>199.112182804239*Deflactores!$O$5</f>
        <v>388.95590905948507</v>
      </c>
      <c r="S135" s="57">
        <f>217.68253425043*Deflactores!$P$5</f>
        <v>398.2693473789148</v>
      </c>
      <c r="T135" s="57">
        <f>208.196424162699*Deflactores!$Q$5</f>
        <v>360.20205618700987</v>
      </c>
      <c r="U135" s="57">
        <f>213.71670242014*Deflactores!$R$5</f>
        <v>355.2240631414175</v>
      </c>
      <c r="V135" s="57">
        <f>252.709597565559*Deflactores!$S$5</f>
        <v>407.08971069224725</v>
      </c>
    </row>
    <row r="136" spans="3:22" x14ac:dyDescent="0.2">
      <c r="C136" s="87" t="s">
        <v>129</v>
      </c>
      <c r="D136" s="56">
        <f>5907.42356248733*Deflactores!$A$5</f>
        <v>21997.549764225263</v>
      </c>
      <c r="E136" s="56">
        <f>6533.42244119463*Deflactores!$B$5</f>
        <v>22600.068003439334</v>
      </c>
      <c r="F136" s="56">
        <f>7333.09014137714*Deflactores!$C$5</f>
        <v>23708.5706307416</v>
      </c>
      <c r="G136" s="56">
        <f>8288.75347013472*Deflactores!$D$5</f>
        <v>25164.783011106319</v>
      </c>
      <c r="H136" s="56">
        <f>9438.45062371736*Deflactores!$E$5</f>
        <v>27162.180835366082</v>
      </c>
      <c r="I136" s="56">
        <f>10348.0624762821*Deflactores!$F$5</f>
        <v>28400.967864888538</v>
      </c>
      <c r="J136" s="56">
        <f>11220.5781129928*Deflactores!$G$5</f>
        <v>29475.738577535456</v>
      </c>
      <c r="K136" s="56">
        <f>13282.8554247752*Deflactores!$H$5</f>
        <v>33013.280275685756</v>
      </c>
      <c r="L136" s="56">
        <f>14929.9637065032*Deflactores!$I$5</f>
        <v>34462.250930471506</v>
      </c>
      <c r="M136" s="56">
        <f>16853.9335010462*Deflactores!$J$5</f>
        <v>38139.789749101234</v>
      </c>
      <c r="N136" s="56">
        <f>18305.0685211937*Deflactores!$K$5</f>
        <v>40150.393132977413</v>
      </c>
      <c r="O136" s="56">
        <f>19769.6028433506*Deflactores!$L$5</f>
        <v>41804.774833349918</v>
      </c>
      <c r="P136" s="56">
        <f>21479.6504365308*Deflactores!$M$5</f>
        <v>44338.968282975322</v>
      </c>
      <c r="Q136" s="56">
        <f>23020.5455384256*Deflactores!$N$5</f>
        <v>46615.393655792577</v>
      </c>
      <c r="R136" s="56">
        <f>24186.6270196346*Deflactores!$O$5</f>
        <v>47247.392736153553</v>
      </c>
      <c r="S136" s="56">
        <f>25176.5204996881*Deflactores!$P$5</f>
        <v>46062.659198680492</v>
      </c>
      <c r="T136" s="56">
        <f>27488.0724823446*Deflactores!$Q$5</f>
        <v>47557.302045786171</v>
      </c>
      <c r="U136" s="56">
        <f>28703.70509456*Deflactores!$R$5</f>
        <v>47709.171232008237</v>
      </c>
      <c r="V136" s="56">
        <f>29434.0087530151*Deflactores!$S$5</f>
        <v>47415.223731934027</v>
      </c>
    </row>
    <row r="137" spans="3:22" x14ac:dyDescent="0.2">
      <c r="C137" s="88" t="s">
        <v>130</v>
      </c>
      <c r="D137" s="57">
        <f>6.911688302*Deflactores!$A$5</f>
        <v>25.737143404364566</v>
      </c>
      <c r="E137" s="57">
        <f>6.86678604313*Deflactores!$B$5</f>
        <v>23.753221674646497</v>
      </c>
      <c r="F137" s="57">
        <f>7.53816628743999*Deflactores!$C$5</f>
        <v>24.371601113099516</v>
      </c>
      <c r="G137" s="57">
        <f>6.49895046697*Deflactores!$D$5</f>
        <v>19.730913567461911</v>
      </c>
      <c r="H137" s="57">
        <f>8.08030196897*Deflactores!$E$5</f>
        <v>23.253670759691435</v>
      </c>
      <c r="I137" s="57">
        <f>8.48689846788*Deflactores!$F$5</f>
        <v>23.292875474156606</v>
      </c>
      <c r="J137" s="57">
        <f>8.947296323*Deflactores!$G$5</f>
        <v>23.503973212138668</v>
      </c>
      <c r="K137" s="57">
        <f>9.4300604395*Deflactores!$H$5</f>
        <v>23.437522908304835</v>
      </c>
      <c r="L137" s="57">
        <f>10.10922054117*Deflactores!$I$5</f>
        <v>23.334718144661473</v>
      </c>
      <c r="M137" s="57">
        <f>10.6886029675*Deflactores!$J$5</f>
        <v>24.187888831219382</v>
      </c>
      <c r="N137" s="57">
        <f>13.48423579342*Deflactores!$K$5</f>
        <v>29.576363922197068</v>
      </c>
      <c r="O137" s="57">
        <f>10.69761660297*Deflactores!$L$5</f>
        <v>22.621165275006202</v>
      </c>
      <c r="P137" s="57">
        <f>17.00020386953*Deflactores!$M$5</f>
        <v>35.092354151781414</v>
      </c>
      <c r="Q137" s="57">
        <f>23.58124672871*Deflactores!$N$5</f>
        <v>47.750784068880343</v>
      </c>
      <c r="R137" s="57">
        <f>24.2334173202399*Deflactores!$O$5</f>
        <v>47.338795299526552</v>
      </c>
      <c r="S137" s="57">
        <f>28.36021246125*Deflactores!$P$5</f>
        <v>51.88750373273043</v>
      </c>
      <c r="T137" s="57">
        <f>59.84470980392*Deflactores!$Q$5</f>
        <v>103.53774139003178</v>
      </c>
      <c r="U137" s="57">
        <f>54.8438541566299*Deflactores!$R$5</f>
        <v>91.15738962486202</v>
      </c>
      <c r="V137" s="57">
        <f>36.46642153386*Deflactores!$S$5</f>
        <v>58.743732470823247</v>
      </c>
    </row>
    <row r="138" spans="3:22" x14ac:dyDescent="0.2">
      <c r="C138" s="87" t="s">
        <v>131</v>
      </c>
      <c r="D138" s="56">
        <f>4767.63741646977*Deflactores!$A$5</f>
        <v>17753.313304390482</v>
      </c>
      <c r="E138" s="56">
        <f>7256.87772076036*Deflactores!$B$5</f>
        <v>25102.606093207047</v>
      </c>
      <c r="F138" s="56">
        <f>8433.19672662194*Deflactores!$C$5</f>
        <v>27265.318764853877</v>
      </c>
      <c r="G138" s="56">
        <f>9485.83426901536*Deflactores!$D$5</f>
        <v>28799.138726852263</v>
      </c>
      <c r="H138" s="56">
        <f>11103.5406628056*Deflactores!$E$5</f>
        <v>31954.01357910391</v>
      </c>
      <c r="I138" s="56">
        <f>11913.735529711*Deflactores!$F$5</f>
        <v>32698.065044121289</v>
      </c>
      <c r="J138" s="56">
        <f>12771.2374031876*Deflactores!$G$5</f>
        <v>33549.221013140326</v>
      </c>
      <c r="K138" s="56">
        <f>13678.5521634784*Deflactores!$H$5</f>
        <v>33996.747077155109</v>
      </c>
      <c r="L138" s="56">
        <f>15395.643394213*Deflactores!$I$5</f>
        <v>35537.16112895299</v>
      </c>
      <c r="M138" s="56">
        <f>17649.7546982472*Deflactores!$J$5</f>
        <v>39940.70187072792</v>
      </c>
      <c r="N138" s="56">
        <f>19184.3160264629*Deflactores!$K$5</f>
        <v>42078.937293130381</v>
      </c>
      <c r="O138" s="56">
        <f>20814.8548507237*Deflactores!$L$5</f>
        <v>44015.063282671828</v>
      </c>
      <c r="P138" s="56">
        <f>21747.6739099752*Deflactores!$M$5</f>
        <v>44892.23074519552</v>
      </c>
      <c r="Q138" s="56">
        <f>23672.1662445763*Deflactores!$N$5</f>
        <v>47934.891305436802</v>
      </c>
      <c r="R138" s="56">
        <f>25016.1222907151*Deflactores!$O$5</f>
        <v>48867.771171464388</v>
      </c>
      <c r="S138" s="56">
        <f>26584.600258389*Deflactores!$P$5</f>
        <v>48638.864995283853</v>
      </c>
      <c r="T138" s="56">
        <f>28765.949324675*Deflactores!$Q$5</f>
        <v>49768.165503275079</v>
      </c>
      <c r="U138" s="56">
        <f>32304.5530290798*Deflactores!$R$5</f>
        <v>53694.233791788618</v>
      </c>
      <c r="V138" s="56">
        <f>34698.157180987*Deflactores!$S$5</f>
        <v>55895.23668446223</v>
      </c>
    </row>
    <row r="139" spans="3:22" x14ac:dyDescent="0.2">
      <c r="C139" s="88" t="s">
        <v>132</v>
      </c>
      <c r="D139" s="57">
        <f>27.0460544952199*Deflactores!$A$5</f>
        <v>100.71174402704328</v>
      </c>
      <c r="E139" s="57">
        <f>28.85357543767*Deflactores!$B$5</f>
        <v>99.808756115649913</v>
      </c>
      <c r="F139" s="57">
        <f>30.5732848540499*Deflactores!$C$5</f>
        <v>98.846307545852582</v>
      </c>
      <c r="G139" s="57">
        <f>31.02774847197*Deflactores!$D$5</f>
        <v>94.200721548015835</v>
      </c>
      <c r="H139" s="57">
        <f>30.34563718894*Deflactores!$E$5</f>
        <v>87.329342256575131</v>
      </c>
      <c r="I139" s="57">
        <f>31.31989653012*Deflactores!$F$5</f>
        <v>85.959606150654139</v>
      </c>
      <c r="J139" s="57">
        <f>39.3906369443899*Deflactores!$G$5</f>
        <v>103.47667520187706</v>
      </c>
      <c r="K139" s="57">
        <f>42.54074139805*Deflactores!$H$5</f>
        <v>105.73098735154387</v>
      </c>
      <c r="L139" s="57">
        <f>43.64812894736*Deflactores!$I$5</f>
        <v>100.75126785300166</v>
      </c>
      <c r="M139" s="57">
        <f>41.48100681689*Deflactores!$J$5</f>
        <v>93.869889689490776</v>
      </c>
      <c r="N139" s="57">
        <f>47.53467306237*Deflactores!$K$5</f>
        <v>104.26269689687281</v>
      </c>
      <c r="O139" s="57">
        <f>46.1825875940299*Deflactores!$L$5</f>
        <v>97.65763586086625</v>
      </c>
      <c r="P139" s="57">
        <f>50.00917226723*Deflactores!$M$5</f>
        <v>103.23050226382955</v>
      </c>
      <c r="Q139" s="57">
        <f>53.8796491209599*Deflactores!$N$5</f>
        <v>109.10345498186211</v>
      </c>
      <c r="R139" s="57">
        <f>61.05252871064*Deflactores!$O$5</f>
        <v>119.26312830578709</v>
      </c>
      <c r="S139" s="57">
        <f>61.14247627293*Deflactores!$P$5</f>
        <v>111.86553944808512</v>
      </c>
      <c r="T139" s="57">
        <f>66.50172310378*Deflactores!$Q$5</f>
        <v>115.05508559187062</v>
      </c>
      <c r="U139" s="57">
        <f>70.19442634322*Deflactores!$R$5</f>
        <v>116.67197300518421</v>
      </c>
      <c r="V139" s="57">
        <f>76.1317125890399*Deflactores!$S$5</f>
        <v>122.64052157471932</v>
      </c>
    </row>
    <row r="140" spans="3:22" x14ac:dyDescent="0.2">
      <c r="C140" s="87" t="s">
        <v>133</v>
      </c>
      <c r="D140" s="56">
        <f>602.50234428489*Deflactores!$A$5</f>
        <v>2243.5457964501893</v>
      </c>
      <c r="E140" s="56">
        <f>628.75255188928*Deflactores!$B$5</f>
        <v>2174.9474426202096</v>
      </c>
      <c r="F140" s="56">
        <f>668.961280795839*Deflactores!$C$5</f>
        <v>2162.8147846551651</v>
      </c>
      <c r="G140" s="56">
        <f>690.381102590499*Deflactores!$D$5</f>
        <v>2096.0076450887454</v>
      </c>
      <c r="H140" s="56">
        <f>723.44723264948*Deflactores!$E$5</f>
        <v>2081.9523607711549</v>
      </c>
      <c r="I140" s="56">
        <f>812.724987644989*Deflactores!$F$5</f>
        <v>2230.5795224953395</v>
      </c>
      <c r="J140" s="56">
        <f>889.32597128657*Deflactores!$G$5</f>
        <v>2336.2022505330569</v>
      </c>
      <c r="K140" s="56">
        <f>1015.97885089196*Deflactores!$H$5</f>
        <v>2525.1192974746291</v>
      </c>
      <c r="L140" s="56">
        <f>1169.7203911875*Deflactores!$I$5</f>
        <v>2700.0198012560568</v>
      </c>
      <c r="M140" s="56">
        <f>1354.53650786752*Deflactores!$J$5</f>
        <v>3065.2629319050147</v>
      </c>
      <c r="N140" s="56">
        <f>1420.75229556257*Deflactores!$K$5</f>
        <v>3116.2824190126221</v>
      </c>
      <c r="O140" s="56">
        <f>1511.70665331145*Deflactores!$L$5</f>
        <v>3196.6527985673702</v>
      </c>
      <c r="P140" s="56">
        <f>1777.5244721857*Deflactores!$M$5</f>
        <v>3669.2217793458408</v>
      </c>
      <c r="Q140" s="56">
        <f>2039.45646714808*Deflactores!$N$5</f>
        <v>4129.792054722162</v>
      </c>
      <c r="R140" s="56">
        <f>2326.48662643212*Deflactores!$O$5</f>
        <v>4544.6778190780542</v>
      </c>
      <c r="S140" s="56">
        <f>2611.84829878625*Deflactores!$P$5</f>
        <v>4778.6062441446147</v>
      </c>
      <c r="T140" s="56">
        <f>2958.725662096*Deflactores!$Q$5</f>
        <v>5118.9114869110799</v>
      </c>
      <c r="U140" s="56">
        <f>3244.97349774679*Deflactores!$R$5</f>
        <v>5393.5544466233814</v>
      </c>
      <c r="V140" s="56">
        <f>3355.25717259692*Deflactores!$S$5</f>
        <v>5404.9813891070071</v>
      </c>
    </row>
    <row r="141" spans="3:22" x14ac:dyDescent="0.2">
      <c r="C141" s="88" t="s">
        <v>134</v>
      </c>
      <c r="D141" s="57">
        <f>5714.9413800053*Deflactores!$A$5</f>
        <v>21280.80136399842</v>
      </c>
      <c r="E141" s="57">
        <f>4919.09349417365*Deflactores!$B$5</f>
        <v>17015.867025930875</v>
      </c>
      <c r="F141" s="57">
        <f>4349.07553856882*Deflactores!$C$5</f>
        <v>14060.970559026226</v>
      </c>
      <c r="G141" s="57">
        <f>3478.8740606916*Deflactores!$D$5</f>
        <v>10561.915151138828</v>
      </c>
      <c r="H141" s="57">
        <f>4250.22625052219*Deflactores!$E$5</f>
        <v>12231.394601758819</v>
      </c>
      <c r="I141" s="57">
        <f>5127.94848158207*Deflactores!$F$5</f>
        <v>14074.006643468012</v>
      </c>
      <c r="J141" s="57">
        <f>5195.7958086813*Deflactores!$G$5</f>
        <v>13649.022128512735</v>
      </c>
      <c r="K141" s="57">
        <f>5686.70162285612*Deflactores!$H$5</f>
        <v>14133.758782722231</v>
      </c>
      <c r="L141" s="57">
        <f>5724.39518833667*Deflactores!$I$5</f>
        <v>13213.397385535012</v>
      </c>
      <c r="M141" s="57">
        <f>5509.48686593612*Deflactores!$J$5</f>
        <v>12467.752449550995</v>
      </c>
      <c r="N141" s="57">
        <f>6654.51997361832*Deflactores!$K$5</f>
        <v>14596.044409376662</v>
      </c>
      <c r="O141" s="57">
        <f>6922.17639370402*Deflactores!$L$5</f>
        <v>14637.62462951339</v>
      </c>
      <c r="P141" s="57">
        <f>7367.68979295495*Deflactores!$M$5</f>
        <v>15208.616407138899</v>
      </c>
      <c r="Q141" s="57">
        <f>10307.6196407544*Deflactores!$N$5</f>
        <v>20872.387511664812</v>
      </c>
      <c r="R141" s="57">
        <f>11012.416500871*Deflactores!$O$5</f>
        <v>21512.216935762321</v>
      </c>
      <c r="S141" s="57">
        <f>14317.3687086914*Deflactores!$P$5</f>
        <v>26194.885645872881</v>
      </c>
      <c r="T141" s="57">
        <f>15148.7159109444*Deflactores!$Q$5</f>
        <v>26208.896918666018</v>
      </c>
      <c r="U141" s="57">
        <f>18318.8847972068*Deflactores!$R$5</f>
        <v>30448.292605089871</v>
      </c>
      <c r="V141" s="57">
        <f>9968.44327742332*Deflactores!$S$5</f>
        <v>16058.158174248128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138.26553373093*Deflactores!$A$5</f>
        <v>514.86116185017045</v>
      </c>
      <c r="E143" s="57">
        <f>143.817717899989*Deflactores!$B$5</f>
        <v>497.48661347005958</v>
      </c>
      <c r="F143" s="57">
        <f>151.003144581369*Deflactores!$C$5</f>
        <v>488.2073791198676</v>
      </c>
      <c r="G143" s="57">
        <f>145.684314951949*Deflactores!$D$5</f>
        <v>442.29982072658777</v>
      </c>
      <c r="H143" s="57">
        <f>146.50443900392*Deflactores!$E$5</f>
        <v>421.61369742283455</v>
      </c>
      <c r="I143" s="57">
        <f>150.36224422048*Deflactores!$F$5</f>
        <v>412.67950169283046</v>
      </c>
      <c r="J143" s="57">
        <f>286.423250910489*Deflactores!$G$5</f>
        <v>752.41549778878448</v>
      </c>
      <c r="K143" s="57">
        <f>206.3289375548*Deflactores!$H$5</f>
        <v>512.81105053481804</v>
      </c>
      <c r="L143" s="57">
        <f>286.031754822509*Deflactores!$I$5</f>
        <v>660.23590562934612</v>
      </c>
      <c r="M143" s="57">
        <f>471.14805222227*Deflactores!$J$5</f>
        <v>1066.1895427165712</v>
      </c>
      <c r="N143" s="57">
        <f>603.181745098669*Deflactores!$K$5</f>
        <v>1323.0206796717109</v>
      </c>
      <c r="O143" s="57">
        <f>798.13852607074*Deflactores!$L$5</f>
        <v>1687.742623490868</v>
      </c>
      <c r="P143" s="57">
        <f>1319.06021490712*Deflactores!$M$5</f>
        <v>2722.8454766951741</v>
      </c>
      <c r="Q143" s="57">
        <f>1123.06947597608*Deflactores!$N$5</f>
        <v>2274.1566066731052</v>
      </c>
      <c r="R143" s="57">
        <f>1148.6913168245*Deflactores!$O$5</f>
        <v>2243.9122964338194</v>
      </c>
      <c r="S143" s="57">
        <f>1111.51966864374*Deflactores!$P$5</f>
        <v>2033.6230214973968</v>
      </c>
      <c r="T143" s="57">
        <f>1089.61959734252*Deflactores!$Q$5</f>
        <v>1885.1583114497878</v>
      </c>
      <c r="U143" s="57">
        <f>1206.46590553429*Deflactores!$R$5</f>
        <v>2005.2982109136892</v>
      </c>
      <c r="V143" s="57">
        <f>1322.58557221971*Deflactores!$S$5</f>
        <v>2130.5521561007795</v>
      </c>
    </row>
    <row r="144" spans="3:22" x14ac:dyDescent="0.2">
      <c r="C144" s="87" t="s">
        <v>137</v>
      </c>
      <c r="D144" s="56">
        <f>41.4623345620499*Deflactores!$A$5</f>
        <v>154.3938331528104</v>
      </c>
      <c r="E144" s="56">
        <f>38.53777138555*Deflactores!$B$5</f>
        <v>133.3078125367897</v>
      </c>
      <c r="F144" s="56">
        <f>41.2701122593*Deflactores!$C$5</f>
        <v>133.43015735171323</v>
      </c>
      <c r="G144" s="56">
        <f>40.84839648938*Deflactores!$D$5</f>
        <v>124.01635996421757</v>
      </c>
      <c r="H144" s="56">
        <f>43.17407628115*Deflactores!$E$5</f>
        <v>124.2473064807552</v>
      </c>
      <c r="I144" s="56">
        <f>44.5209525541499*Deflactores!$F$5</f>
        <v>122.19081066651346</v>
      </c>
      <c r="J144" s="56">
        <f>46.9906695168*Deflactores!$G$5</f>
        <v>123.44147300723397</v>
      </c>
      <c r="K144" s="56">
        <f>48.43621042957*Deflactores!$H$5</f>
        <v>120.3836177740036</v>
      </c>
      <c r="L144" s="56">
        <f>51.8119674619999*Deflactores!$I$5</f>
        <v>119.59553679953768</v>
      </c>
      <c r="M144" s="56">
        <f>55.84385986891*Deflactores!$J$5</f>
        <v>126.37246219384268</v>
      </c>
      <c r="N144" s="56">
        <f>55.2589337216899*Deflactores!$K$5</f>
        <v>121.20511378945166</v>
      </c>
      <c r="O144" s="56">
        <f>57.1631239167899*Deflactores!$L$5</f>
        <v>120.87706278409335</v>
      </c>
      <c r="P144" s="56">
        <f>94.0253671901599*Deflactores!$M$5</f>
        <v>194.09011268401935</v>
      </c>
      <c r="Q144" s="56">
        <f>115.52672200124*Deflactores!$N$5</f>
        <v>233.93553444952045</v>
      </c>
      <c r="R144" s="56">
        <f>122.400133255609*Deflactores!$O$5</f>
        <v>239.1026728195958</v>
      </c>
      <c r="S144" s="56">
        <f>122.16916820745*Deflactores!$P$5</f>
        <v>223.51924126273749</v>
      </c>
      <c r="T144" s="56">
        <f>135.42637836581*Deflactores!$Q$5</f>
        <v>234.30210266821891</v>
      </c>
      <c r="U144" s="56">
        <f>141.41537391028*Deflactores!$R$5</f>
        <v>235.05015350797663</v>
      </c>
      <c r="V144" s="56">
        <f>143.23609048606*Deflactores!$S$5</f>
        <v>230.7389161249869</v>
      </c>
    </row>
    <row r="145" spans="3:22" x14ac:dyDescent="0.2">
      <c r="C145" s="88" t="s">
        <v>138</v>
      </c>
      <c r="D145" s="57">
        <f>145.20093360966*Deflactores!$A$5</f>
        <v>540.68660036044525</v>
      </c>
      <c r="E145" s="57">
        <f>157.23552125867*Deflactores!$B$5</f>
        <v>543.90076640328391</v>
      </c>
      <c r="F145" s="57">
        <f>171.920296316729*Deflactores!$C$5</f>
        <v>555.8344994403318</v>
      </c>
      <c r="G145" s="57">
        <f>181.024966819509*Deflactores!$D$5</f>
        <v>549.59458331333678</v>
      </c>
      <c r="H145" s="57">
        <f>205.74318372704*Deflactores!$E$5</f>
        <v>592.09226014224657</v>
      </c>
      <c r="I145" s="57">
        <f>222.820924808759*Deflactores!$F$5</f>
        <v>611.54732488549689</v>
      </c>
      <c r="J145" s="57">
        <f>231.50549271652*Deflactores!$G$5</f>
        <v>608.15007157912032</v>
      </c>
      <c r="K145" s="57">
        <f>247.228236222159*Deflactores!$H$5</f>
        <v>614.46238729980848</v>
      </c>
      <c r="L145" s="57">
        <f>284.13260741899*Deflactores!$I$5</f>
        <v>655.85217800209693</v>
      </c>
      <c r="M145" s="57">
        <f>271.04674477507*Deflactores!$J$5</f>
        <v>613.36814087095865</v>
      </c>
      <c r="N145" s="57">
        <f>272.46507854433*Deflactores!$K$5</f>
        <v>597.62573441866766</v>
      </c>
      <c r="O145" s="57">
        <f>275.626656918009*Deflactores!$L$5</f>
        <v>582.83974755729048</v>
      </c>
      <c r="P145" s="57">
        <f>110.500662654179*Deflactores!$M$5</f>
        <v>228.09893443790693</v>
      </c>
      <c r="Q145" s="57">
        <f>141.49083727288*Deflactores!$N$5</f>
        <v>286.51150196043852</v>
      </c>
      <c r="R145" s="57">
        <f>121.384811127959*Deflactores!$O$5</f>
        <v>237.11929071014151</v>
      </c>
      <c r="S145" s="57">
        <f>61.57294763745*Deflactores!$P$5</f>
        <v>112.65312468087856</v>
      </c>
      <c r="T145" s="57">
        <f>81.17168908215*Deflactores!$Q$5</f>
        <v>140.43569398057645</v>
      </c>
      <c r="U145" s="57">
        <f>83.01780791045*Deflactores!$R$5</f>
        <v>137.98604744083269</v>
      </c>
      <c r="V145" s="57">
        <f>85.16751586172*Deflactores!$S$5</f>
        <v>137.19629062972382</v>
      </c>
    </row>
    <row r="146" spans="3:22" x14ac:dyDescent="0.2">
      <c r="C146" s="87" t="s">
        <v>139</v>
      </c>
      <c r="D146" s="56">
        <f>459.70547677558*Deflactores!$A$5</f>
        <v>1711.8112482186536</v>
      </c>
      <c r="E146" s="56">
        <f>514.41192875036*Deflactores!$B$5</f>
        <v>1779.4264302022953</v>
      </c>
      <c r="F146" s="56">
        <f>526.961275631739*Deflactores!$C$5</f>
        <v>1703.7154026630471</v>
      </c>
      <c r="G146" s="56">
        <f>567.758025497939*Deflactores!$D$5</f>
        <v>1723.7220971704912</v>
      </c>
      <c r="H146" s="56">
        <f>672.628252167389*Deflactores!$E$5</f>
        <v>1935.7043808055785</v>
      </c>
      <c r="I146" s="56">
        <f>792.339285676469*Deflactores!$F$5</f>
        <v>2174.6295639559366</v>
      </c>
      <c r="J146" s="56">
        <f>869.144216373439*Deflactores!$G$5</f>
        <v>2283.1860756207757</v>
      </c>
      <c r="K146" s="56">
        <f>860.81928996674*Deflactores!$H$5</f>
        <v>2139.4848906796524</v>
      </c>
      <c r="L146" s="56">
        <f>940.67197581647*Deflactores!$I$5</f>
        <v>2171.3163080047616</v>
      </c>
      <c r="M146" s="56">
        <f>1251.11370149365*Deflactores!$J$5</f>
        <v>2831.2211819410345</v>
      </c>
      <c r="N146" s="56">
        <f>2272.79698811987*Deflactores!$K$5</f>
        <v>4985.1598467826434</v>
      </c>
      <c r="O146" s="56">
        <f>2385.99703200844*Deflactores!$L$5</f>
        <v>5045.4260243120198</v>
      </c>
      <c r="P146" s="56">
        <f>1931.71520208642*Deflactores!$M$5</f>
        <v>3987.5071212231751</v>
      </c>
      <c r="Q146" s="56">
        <f>2414.72837373522*Deflactores!$N$5</f>
        <v>4889.697923343716</v>
      </c>
      <c r="R146" s="56">
        <f>2605.48426388206*Deflactores!$O$5</f>
        <v>5089.6860559998577</v>
      </c>
      <c r="S146" s="56">
        <f>2576.36821119419*Deflactores!$P$5</f>
        <v>4713.6923024777097</v>
      </c>
      <c r="T146" s="56">
        <f>2541.86441705906*Deflactores!$Q$5</f>
        <v>4397.6969981855582</v>
      </c>
      <c r="U146" s="56">
        <f>2847.27909976675*Deflactores!$R$5</f>
        <v>4732.5362934360392</v>
      </c>
      <c r="V146" s="56">
        <f>2961.61033193039*Deflactores!$S$5</f>
        <v>4770.8559739047523</v>
      </c>
    </row>
    <row r="147" spans="3:22" x14ac:dyDescent="0.2">
      <c r="C147" s="88" t="s">
        <v>140</v>
      </c>
      <c r="D147" s="57">
        <f>102.44803926789*Deflactores!$A$5</f>
        <v>381.48709301180185</v>
      </c>
      <c r="E147" s="57">
        <f>78.04915571209*Deflactores!$B$5</f>
        <v>269.98349526312421</v>
      </c>
      <c r="F147" s="57">
        <f>99.42932301794*Deflactores!$C$5</f>
        <v>321.46435978420288</v>
      </c>
      <c r="G147" s="57">
        <f>67.18051263772*Deflactores!$D$5</f>
        <v>203.96106956184235</v>
      </c>
      <c r="H147" s="57">
        <f>2118.57145574798*Deflactores!$E$5</f>
        <v>6096.8715404485683</v>
      </c>
      <c r="I147" s="57">
        <f>2105.53666144738*Deflactores!$F$5</f>
        <v>5778.7899132975372</v>
      </c>
      <c r="J147" s="57">
        <f>130.623575099039*Deflactores!$G$5</f>
        <v>343.13974849691539</v>
      </c>
      <c r="K147" s="57">
        <f>116.704704471559*Deflactores!$H$5</f>
        <v>290.05849984818752</v>
      </c>
      <c r="L147" s="57">
        <f>120.004995080509*Deflactores!$I$5</f>
        <v>277.00283367554971</v>
      </c>
      <c r="M147" s="57">
        <f>104.424507521189*Deflactores!$J$5</f>
        <v>236.30856032892044</v>
      </c>
      <c r="N147" s="57">
        <f>953.92518210105*Deflactores!$K$5</f>
        <v>2092.3424043160367</v>
      </c>
      <c r="O147" s="57">
        <f>707.04380221883*Deflactores!$L$5</f>
        <v>1495.1138464076628</v>
      </c>
      <c r="P147" s="57">
        <f>163.5443739173*Deflactores!$M$5</f>
        <v>337.59342729552355</v>
      </c>
      <c r="Q147" s="57">
        <f>280.374385694519*Deflactores!$N$5</f>
        <v>567.74338116076103</v>
      </c>
      <c r="R147" s="57">
        <f>440.58155477272*Deflactores!$O$5</f>
        <v>860.65451514811218</v>
      </c>
      <c r="S147" s="57">
        <f>722.188406297429*Deflactores!$P$5</f>
        <v>1321.3072249967499</v>
      </c>
      <c r="T147" s="57">
        <f>531.12411387791*Deflactores!$Q$5</f>
        <v>918.90145894063198</v>
      </c>
      <c r="U147" s="57">
        <f>667.699732059889*Deflactores!$R$5</f>
        <v>1109.8010080395015</v>
      </c>
      <c r="V147" s="57">
        <f>583.70012659325*Deflactores!$S$5</f>
        <v>940.28211811081019</v>
      </c>
    </row>
    <row r="148" spans="3:22" x14ac:dyDescent="0.2">
      <c r="C148" s="87" t="s">
        <v>141</v>
      </c>
      <c r="D148" s="56">
        <f>346.56155818694*Deflactores!$A$5</f>
        <v>1290.4957706087987</v>
      </c>
      <c r="E148" s="56">
        <f>344.21546720842*Deflactores!$B$5</f>
        <v>1190.6918673581895</v>
      </c>
      <c r="F148" s="56">
        <f>368.441932765959*Deflactores!$C$5</f>
        <v>1191.2074470515408</v>
      </c>
      <c r="G148" s="56">
        <f>373.958293749549*Deflactores!$D$5</f>
        <v>1135.34313106528</v>
      </c>
      <c r="H148" s="56">
        <f>391.502878472259*Deflactores!$E$5</f>
        <v>1126.6755960886292</v>
      </c>
      <c r="I148" s="56">
        <f>436.548535009829*Deflactores!$F$5</f>
        <v>1198.1374235704147</v>
      </c>
      <c r="J148" s="56">
        <f>498.65728081346*Deflactores!$G$5</f>
        <v>1309.9406733796038</v>
      </c>
      <c r="K148" s="56">
        <f>564.894573611649*Deflactores!$H$5</f>
        <v>1403.9920098860057</v>
      </c>
      <c r="L148" s="56">
        <f>641.2924328496*Deflactores!$I$5</f>
        <v>1480.2702253756297</v>
      </c>
      <c r="M148" s="56">
        <f>712.488127224819*Deflactores!$J$5</f>
        <v>1612.3326563142466</v>
      </c>
      <c r="N148" s="56">
        <f>802.26068116254*Deflactores!$K$5</f>
        <v>1759.6810253134029</v>
      </c>
      <c r="O148" s="56">
        <f>841.651196739249*Deflactores!$L$5</f>
        <v>1779.7544567132311</v>
      </c>
      <c r="P148" s="56">
        <f>960.408873686879*Deflactores!$M$5</f>
        <v>1982.5061266671289</v>
      </c>
      <c r="Q148" s="56">
        <f>1078.52056801704*Deflactores!$N$5</f>
        <v>2183.9474116746646</v>
      </c>
      <c r="R148" s="56">
        <f>1219.27156394122*Deflactores!$O$5</f>
        <v>2381.7873565747523</v>
      </c>
      <c r="S148" s="56">
        <f>1315.71499915379*Deflactores!$P$5</f>
        <v>2407.2163430750497</v>
      </c>
      <c r="T148" s="56">
        <f>1426.74714426155*Deflactores!$Q$5</f>
        <v>2468.4249841887026</v>
      </c>
      <c r="U148" s="56">
        <f>1473.28724633961*Deflactores!$R$5</f>
        <v>2448.7888681267063</v>
      </c>
      <c r="V148" s="56">
        <f>1555.10218304274*Deflactores!$S$5</f>
        <v>2505.1129988346347</v>
      </c>
    </row>
    <row r="149" spans="3:22" x14ac:dyDescent="0.2">
      <c r="C149" s="88" t="s">
        <v>142</v>
      </c>
      <c r="D149" s="57">
        <f>35.92921651784*Deflactores!$A$5</f>
        <v>133.79008970334093</v>
      </c>
      <c r="E149" s="57">
        <f>39.5225876584899*Deflactores!$B$5</f>
        <v>136.71443669735226</v>
      </c>
      <c r="F149" s="57">
        <f>42.85838355421*Deflactores!$C$5</f>
        <v>138.56518793911599</v>
      </c>
      <c r="G149" s="57">
        <f>39.93811564153*Deflactores!$D$5</f>
        <v>121.2527333106022</v>
      </c>
      <c r="H149" s="57">
        <f>46.7662852174499*Deflactores!$E$5</f>
        <v>134.5850443803435</v>
      </c>
      <c r="I149" s="57">
        <f>40.73782181588*Deflactores!$F$5</f>
        <v>111.80774864185521</v>
      </c>
      <c r="J149" s="57">
        <f>49.6557395263599*Deflactores!$G$5</f>
        <v>130.4424408808639</v>
      </c>
      <c r="K149" s="57">
        <f>56.30379101789*Deflactores!$H$5</f>
        <v>139.93774486096228</v>
      </c>
      <c r="L149" s="57">
        <f>59.4365520008*Deflactores!$I$5</f>
        <v>137.19506689767644</v>
      </c>
      <c r="M149" s="57">
        <f>58.6188164287399*Deflactores!$J$5</f>
        <v>132.65207993104519</v>
      </c>
      <c r="N149" s="57">
        <f>182.08310818444*Deflactores!$K$5</f>
        <v>399.38164492612236</v>
      </c>
      <c r="O149" s="57">
        <f>71.56005613904*Deflactores!$L$5</f>
        <v>151.32079575188021</v>
      </c>
      <c r="P149" s="57">
        <f>92.37137783813*Deflactores!$M$5</f>
        <v>190.67589597519859</v>
      </c>
      <c r="Q149" s="57">
        <f>115.462494284449*Deflactores!$N$5</f>
        <v>233.80547670189549</v>
      </c>
      <c r="R149" s="57">
        <f>168.47162539721*Deflactores!$O$5</f>
        <v>329.10107902099594</v>
      </c>
      <c r="S149" s="57">
        <f>168.63980494138*Deflactores!$P$5</f>
        <v>308.54135949576414</v>
      </c>
      <c r="T149" s="57">
        <f>165.6255608775*Deflactores!$Q$5</f>
        <v>286.5499147025738</v>
      </c>
      <c r="U149" s="57">
        <f>171.40204116766*Deflactores!$R$5</f>
        <v>284.89176936023591</v>
      </c>
      <c r="V149" s="57">
        <f>162.753684345698*Deflactores!$S$5</f>
        <v>262.17979416946872</v>
      </c>
    </row>
    <row r="150" spans="3:22" x14ac:dyDescent="0.2">
      <c r="C150" s="87" t="s">
        <v>143</v>
      </c>
      <c r="D150" s="56">
        <f>43.09638433476*Deflactores!$A$5</f>
        <v>160.47856549207691</v>
      </c>
      <c r="E150" s="56">
        <f>49.8516351752499*Deflactores!$B$5</f>
        <v>172.44412942587704</v>
      </c>
      <c r="F150" s="56">
        <f>44.61879786302*Deflactores!$C$5</f>
        <v>144.25677309286834</v>
      </c>
      <c r="G150" s="56">
        <f>43.01179650741*Deflactores!$D$5</f>
        <v>130.58447569067837</v>
      </c>
      <c r="H150" s="56">
        <f>72.66717688817*Deflactores!$E$5</f>
        <v>209.12320020747455</v>
      </c>
      <c r="I150" s="56">
        <f>83.9373622477999*Deflactores!$F$5</f>
        <v>230.37185302342439</v>
      </c>
      <c r="J150" s="56">
        <f>153.67729701814*Deflactores!$G$5</f>
        <v>403.70039641395704</v>
      </c>
      <c r="K150" s="56">
        <f>220.12080702452*Deflactores!$H$5</f>
        <v>547.08943705405136</v>
      </c>
      <c r="L150" s="56">
        <f>230.23721046073*Deflactores!$I$5</f>
        <v>531.4475424326281</v>
      </c>
      <c r="M150" s="56">
        <f>242.234704079849*Deflactores!$J$5</f>
        <v>548.16762407230942</v>
      </c>
      <c r="N150" s="56">
        <f>233.57271468664*Deflactores!$K$5</f>
        <v>512.31910489422239</v>
      </c>
      <c r="O150" s="56">
        <f>231.88984514513*Deflactores!$L$5</f>
        <v>490.35394586558931</v>
      </c>
      <c r="P150" s="56">
        <f>461.901050196629*Deflactores!$M$5</f>
        <v>953.47063840993803</v>
      </c>
      <c r="Q150" s="56">
        <f>464.91617155111*Deflactores!$N$5</f>
        <v>941.43078918889842</v>
      </c>
      <c r="R150" s="56">
        <f>529.710350074369*Deflactores!$O$5</f>
        <v>1034.7632568217111</v>
      </c>
      <c r="S150" s="56">
        <f>525.026806258089*Deflactores!$P$5</f>
        <v>960.58273211890457</v>
      </c>
      <c r="T150" s="56">
        <f>641.46877520373*Deflactores!$Q$5</f>
        <v>1109.8095115580923</v>
      </c>
      <c r="U150" s="56">
        <f>1085.66618486037*Deflactores!$R$5</f>
        <v>1804.5138682852848</v>
      </c>
      <c r="V150" s="56">
        <f>535.55672130543*Deflactores!$S$5</f>
        <v>862.72794082922155</v>
      </c>
    </row>
    <row r="151" spans="3:22" x14ac:dyDescent="0.2">
      <c r="C151" s="88" t="s">
        <v>144</v>
      </c>
      <c r="D151" s="57">
        <f>678.44721150574*Deflactores!$A$5</f>
        <v>2526.3426838507462</v>
      </c>
      <c r="E151" s="57">
        <f>736.81475745617*Deflactores!$B$5</f>
        <v>2548.750486338105</v>
      </c>
      <c r="F151" s="57">
        <f>747.57260765507*Deflactores!$C$5</f>
        <v>2416.9726034309178</v>
      </c>
      <c r="G151" s="57">
        <f>766.533401883579*Deflactores!$D$5</f>
        <v>2327.2071969166554</v>
      </c>
      <c r="H151" s="57">
        <f>839.57765320767*Deflactores!$E$5</f>
        <v>2416.1550397322826</v>
      </c>
      <c r="I151" s="57">
        <f>992.574045490239*Deflactores!$F$5</f>
        <v>2724.1876084631976</v>
      </c>
      <c r="J151" s="57">
        <f>1105.08848766432*Deflactores!$G$5</f>
        <v>2902.9965336384457</v>
      </c>
      <c r="K151" s="57">
        <f>1212.86646386487*Deflactores!$H$5</f>
        <v>3014.4648291410954</v>
      </c>
      <c r="L151" s="57">
        <f>1347.25005625124*Deflactores!$I$5</f>
        <v>3109.8045793907995</v>
      </c>
      <c r="M151" s="57">
        <f>1554.2829444968*Deflactores!$J$5</f>
        <v>3517.2812750235521</v>
      </c>
      <c r="N151" s="57">
        <f>1657.850552971*Deflactores!$K$5</f>
        <v>3636.3344600672904</v>
      </c>
      <c r="O151" s="57">
        <f>1830.8304714417*Deflactores!$L$5</f>
        <v>3871.4715830722466</v>
      </c>
      <c r="P151" s="57">
        <f>2201.67452918483*Deflactores!$M$5</f>
        <v>4544.7656332868846</v>
      </c>
      <c r="Q151" s="57">
        <f>2483.41697163107*Deflactores!$N$5</f>
        <v>5028.788720528989</v>
      </c>
      <c r="R151" s="57">
        <f>2744.17665261521*Deflactores!$O$5</f>
        <v>5360.6148529201901</v>
      </c>
      <c r="S151" s="57">
        <f>2965.76541632754*Deflactores!$P$5</f>
        <v>5426.1287471086662</v>
      </c>
      <c r="T151" s="57">
        <f>3287.70824833605*Deflactores!$Q$5</f>
        <v>5688.086507519417</v>
      </c>
      <c r="U151" s="57">
        <f>3516.74807606508*Deflactores!$R$5</f>
        <v>5845.2780081210749</v>
      </c>
      <c r="V151" s="57">
        <f>3912.23873500985*Deflactores!$S$5</f>
        <v>6302.2225912136</v>
      </c>
    </row>
    <row r="152" spans="3:22" x14ac:dyDescent="0.2">
      <c r="C152" s="87" t="s">
        <v>145</v>
      </c>
      <c r="D152" s="56">
        <f>185.343321357329*Deflactores!$A$5</f>
        <v>690.16533043518052</v>
      </c>
      <c r="E152" s="56">
        <f>137.18875462474*Deflactores!$B$5</f>
        <v>474.55605568639118</v>
      </c>
      <c r="F152" s="56">
        <f>195.71264788576*Deflactores!$C$5</f>
        <v>632.75741144204801</v>
      </c>
      <c r="G152" s="56">
        <f>240.290428760269*Deflactores!$D$5</f>
        <v>729.52543723074314</v>
      </c>
      <c r="H152" s="56">
        <f>130.76368663002*Deflactores!$E$5</f>
        <v>376.31461397049173</v>
      </c>
      <c r="I152" s="56">
        <f>143.58627310984*Deflactores!$F$5</f>
        <v>394.08238380648368</v>
      </c>
      <c r="J152" s="56">
        <f>399.54435852686*Deflactores!$G$5</f>
        <v>1049.5773874993013</v>
      </c>
      <c r="K152" s="56">
        <f>337.63036568637*Deflactores!$H$5</f>
        <v>839.14832583333998</v>
      </c>
      <c r="L152" s="56">
        <f>258.84513221658*Deflactores!$I$5</f>
        <v>597.48208863316313</v>
      </c>
      <c r="M152" s="56">
        <f>308.842359788199*Deflactores!$J$5</f>
        <v>698.8981336141502</v>
      </c>
      <c r="N152" s="56">
        <f>661.41322131935*Deflactores!$K$5</f>
        <v>1450.7457772460248</v>
      </c>
      <c r="O152" s="56">
        <f>524.87450936606*Deflactores!$L$5</f>
        <v>1109.89891166141</v>
      </c>
      <c r="P152" s="56">
        <f>381.16079132079*Deflactores!$M$5</f>
        <v>786.80406308399233</v>
      </c>
      <c r="Q152" s="56">
        <f>509.38016871281*Deflactores!$N$5</f>
        <v>1031.4680442896934</v>
      </c>
      <c r="R152" s="56">
        <f>1049.67831011722*Deflactores!$O$5</f>
        <v>2050.4952312891592</v>
      </c>
      <c r="S152" s="56">
        <f>798.83197147*Deflactores!$P$5</f>
        <v>1461.5333703197198</v>
      </c>
      <c r="T152" s="56">
        <f>683.51093964477*Deflactores!$Q$5</f>
        <v>1182.5469475593018</v>
      </c>
      <c r="U152" s="56">
        <f>716.02464274794*Deflactores!$R$5</f>
        <v>1190.123092982629</v>
      </c>
      <c r="V152" s="56">
        <f>1756.92144828711*Deflactores!$S$5</f>
        <v>2830.2235094441044</v>
      </c>
    </row>
    <row r="153" spans="3:22" x14ac:dyDescent="0.2">
      <c r="C153" s="88" t="s">
        <v>146</v>
      </c>
      <c r="D153" s="57">
        <f>192.827962196889*Deflactores!$A$5</f>
        <v>718.03598463730623</v>
      </c>
      <c r="E153" s="57">
        <f>200.80368685649*Deflactores!$B$5</f>
        <v>694.60945150030898</v>
      </c>
      <c r="F153" s="57">
        <f>216.85042737683*Deflactores!$C$5</f>
        <v>701.09784206260497</v>
      </c>
      <c r="G153" s="57">
        <f>212.91087961598*Deflactores!$D$5</f>
        <v>646.40070494856138</v>
      </c>
      <c r="H153" s="57">
        <f>211.562227982589*Deflactores!$E$5</f>
        <v>608.83843371029445</v>
      </c>
      <c r="I153" s="57">
        <f>256.23959066047*Deflactores!$F$5</f>
        <v>703.26714752063208</v>
      </c>
      <c r="J153" s="57">
        <f>259.52755329722*Deflactores!$G$5</f>
        <v>681.76222629725783</v>
      </c>
      <c r="K153" s="57">
        <f>253.7612872879*Deflactores!$H$5</f>
        <v>630.69966753748929</v>
      </c>
      <c r="L153" s="57">
        <f>252.9760003695*Deflactores!$I$5</f>
        <v>583.93460128260847</v>
      </c>
      <c r="M153" s="57">
        <f>273.022479218949*Deflactores!$J$5</f>
        <v>617.83915034093934</v>
      </c>
      <c r="N153" s="57">
        <f>311.50715707957*Deflactores!$K$5</f>
        <v>683.26074857354718</v>
      </c>
      <c r="O153" s="57">
        <f>351.59212960048*Deflactores!$L$5</f>
        <v>743.47623103970034</v>
      </c>
      <c r="P153" s="57">
        <f>547.777687394393*Deflactores!$M$5</f>
        <v>1130.7398870046195</v>
      </c>
      <c r="Q153" s="57">
        <f>569.976886000631*Deflactores!$N$5</f>
        <v>1154.1732089394852</v>
      </c>
      <c r="R153" s="57">
        <f>597.072924218361*Deflactores!$O$5</f>
        <v>1166.3527502105885</v>
      </c>
      <c r="S153" s="57">
        <f>759.507740521363*Deflactores!$P$5</f>
        <v>1389.586230187321</v>
      </c>
      <c r="T153" s="57">
        <f>915.771240339807*Deflactores!$Q$5</f>
        <v>1584.382080979208</v>
      </c>
      <c r="U153" s="57">
        <f>838.489985261667*Deflactores!$R$5</f>
        <v>1393.6759087855362</v>
      </c>
      <c r="V153" s="57">
        <f>758.362631127235*Deflactores!$S$5</f>
        <v>1221.6458222379449</v>
      </c>
    </row>
    <row r="154" spans="3:22" x14ac:dyDescent="0.2">
      <c r="C154" s="90" t="s">
        <v>147</v>
      </c>
      <c r="D154" s="58">
        <f>4117.30805126345*Deflactores!$A$5</f>
        <v>15331.673409613808</v>
      </c>
      <c r="E154" s="58">
        <f>5092.13265230786*Deflactores!$B$5</f>
        <v>17614.434893888294</v>
      </c>
      <c r="F154" s="58">
        <f>6330.51199668525*Deflactores!$C$5</f>
        <v>20467.141124489593</v>
      </c>
      <c r="G154" s="58">
        <f>7073.87906995174*Deflactores!$D$5</f>
        <v>21476.405648152162</v>
      </c>
      <c r="H154" s="58">
        <f>8775.76324771565*Deflactores!$E$5</f>
        <v>25255.084526673065</v>
      </c>
      <c r="I154" s="58">
        <f>11696.0260211394*Deflactores!$F$5</f>
        <v>32100.546351999492</v>
      </c>
      <c r="J154" s="58">
        <f>13198.984815996*Deflactores!$G$5</f>
        <v>34672.886014193879</v>
      </c>
      <c r="K154" s="58">
        <f>14698.1113975922*Deflactores!$H$5</f>
        <v>36530.765078335913</v>
      </c>
      <c r="L154" s="58">
        <f>17085.017086885*Deflactores!$I$5</f>
        <v>39436.676309076327</v>
      </c>
      <c r="M154" s="58">
        <f>19106.1818402009*Deflactores!$J$5</f>
        <v>43236.53930687008</v>
      </c>
      <c r="N154" s="58">
        <f>19755.1934114014*Deflactores!$K$5</f>
        <v>43331.101490684123</v>
      </c>
      <c r="O154" s="58">
        <f>20620.0098726586*Deflactores!$L$5</f>
        <v>43603.044361504668</v>
      </c>
      <c r="P154" s="58">
        <f>23225.1544675611*Deflactores!$M$5</f>
        <v>47942.092463154397</v>
      </c>
      <c r="Q154" s="58">
        <f>23420.6451422444*Deflactores!$N$5</f>
        <v>47425.57430517851</v>
      </c>
      <c r="R154" s="58">
        <f>26894.2529446699*Deflactores!$O$5</f>
        <v>52536.607530712638</v>
      </c>
      <c r="S154" s="58">
        <f>23981.3772554261*Deflactores!$P$5</f>
        <v>43876.039488672199</v>
      </c>
      <c r="T154" s="58">
        <f>25803.9908725816*Deflactores!$Q$5</f>
        <v>44643.660944297721</v>
      </c>
      <c r="U154" s="58">
        <f>32684.3842491535*Deflactores!$R$5</f>
        <v>54325.561094590128</v>
      </c>
      <c r="V154" s="58">
        <f>41149.5322399837*Deflactores!$S$5</f>
        <v>66287.752171147789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0.24945068766497933</v>
      </c>
      <c r="V155" s="59">
        <f>108.237900364679*Deflactores!$S$5</f>
        <v>174.36035659058248</v>
      </c>
    </row>
    <row r="156" spans="3:22" x14ac:dyDescent="0.2">
      <c r="C156" s="90" t="s">
        <v>149</v>
      </c>
      <c r="D156" s="56">
        <f>99.32323639877*Deflactores!$A$5</f>
        <v>369.85122402597983</v>
      </c>
      <c r="E156" s="56">
        <f>84.49515585203*Deflactores!$B$5</f>
        <v>292.28115668392553</v>
      </c>
      <c r="F156" s="56">
        <f>91.1241443004899*Deflactores!$C$5</f>
        <v>294.61293529228743</v>
      </c>
      <c r="G156" s="56">
        <f>121.4433190052*Deflactores!$D$5</f>
        <v>368.70378422109718</v>
      </c>
      <c r="H156" s="56">
        <f>103.65489479229*Deflactores!$E$5</f>
        <v>298.30033647091722</v>
      </c>
      <c r="I156" s="56">
        <f>41.32341012656*Deflactores!$F$5</f>
        <v>113.41493596139414</v>
      </c>
      <c r="J156" s="56">
        <f>124.029877516739*Deflactores!$G$5</f>
        <v>325.81852812502115</v>
      </c>
      <c r="K156" s="56">
        <f>134.77384859592*Deflactores!$H$5</f>
        <v>334.96764778686463</v>
      </c>
      <c r="L156" s="56">
        <f>187.59631094177*Deflactores!$I$5</f>
        <v>433.02122285066321</v>
      </c>
      <c r="M156" s="56">
        <f>223.249999110389*Deflactores!$J$5</f>
        <v>505.20598215417954</v>
      </c>
      <c r="N156" s="56">
        <f>355.11426370292*Deflactores!$K$5</f>
        <v>778.90870926225114</v>
      </c>
      <c r="O156" s="56">
        <f>385.35488532156*Deflactores!$L$5</f>
        <v>814.87090759729642</v>
      </c>
      <c r="P156" s="56">
        <f>617.73594735805*Deflactores!$M$5</f>
        <v>1275.1499219270368</v>
      </c>
      <c r="Q156" s="56">
        <f>326.3019466606*Deflactores!$N$5</f>
        <v>660.7442759706023</v>
      </c>
      <c r="R156" s="56">
        <f>410.82271500473*Deflactores!$O$5</f>
        <v>802.52207738615891</v>
      </c>
      <c r="S156" s="56">
        <f>430.10858991997*Deflactores!$P$5</f>
        <v>786.92150474701384</v>
      </c>
      <c r="T156" s="56">
        <f>173.9817918508*Deflactores!$Q$5</f>
        <v>301.00708701310339</v>
      </c>
      <c r="U156" s="56">
        <f>187.57856316011*Deflactores!$R$5</f>
        <v>311.77918529255788</v>
      </c>
      <c r="V156" s="56">
        <f>283.00853759891*Deflactores!$S$5</f>
        <v>455.89825160751172</v>
      </c>
    </row>
    <row r="157" spans="3:22" x14ac:dyDescent="0.2">
      <c r="C157" s="88" t="s">
        <v>150</v>
      </c>
      <c r="D157" s="57">
        <f>274.242174973859*Deflactores!$A$5</f>
        <v>1021.1991450460301</v>
      </c>
      <c r="E157" s="57">
        <f>297.41448586057*Deflactores!$B$5</f>
        <v>1028.8003976714833</v>
      </c>
      <c r="F157" s="57">
        <f>274.09597097826*Deflactores!$C$5</f>
        <v>886.17807257983418</v>
      </c>
      <c r="G157" s="57">
        <f>282.53133291007*Deflactores!$D$5</f>
        <v>857.76947186788448</v>
      </c>
      <c r="H157" s="57">
        <f>341.544851682949*Deflactores!$E$5</f>
        <v>982.90528759970732</v>
      </c>
      <c r="I157" s="57">
        <f>319.62309670146*Deflactores!$F$5</f>
        <v>877.22753115380976</v>
      </c>
      <c r="J157" s="57">
        <f>309.488624895159*Deflactores!$G$5</f>
        <v>813.00675493425808</v>
      </c>
      <c r="K157" s="57">
        <f>318.99820570742*Deflactores!$H$5</f>
        <v>792.83985526313495</v>
      </c>
      <c r="L157" s="57">
        <f>310.7924340114*Deflactores!$I$5</f>
        <v>717.39001237675768</v>
      </c>
      <c r="M157" s="57">
        <f>410.336003610079*Deflactores!$J$5</f>
        <v>928.57426447086573</v>
      </c>
      <c r="N157" s="57">
        <f>479.390593916239*Deflactores!$K$5</f>
        <v>1051.4967910501628</v>
      </c>
      <c r="O157" s="57">
        <f>366.66421317663*Deflactores!$L$5</f>
        <v>775.34763812678352</v>
      </c>
      <c r="P157" s="57">
        <f>587.500257819767*Deflactores!$M$5</f>
        <v>1212.7364630389068</v>
      </c>
      <c r="Q157" s="57">
        <f>540.67021179017*Deflactores!$N$5</f>
        <v>1094.8287354220199</v>
      </c>
      <c r="R157" s="57">
        <f>574.1075176449*Deflactores!$O$5</f>
        <v>1121.4909518771165</v>
      </c>
      <c r="S157" s="57">
        <f>584.233075784699*Deflactores!$P$5</f>
        <v>1068.9058109837242</v>
      </c>
      <c r="T157" s="57">
        <f>668.39278437799*Deflactores!$Q$5</f>
        <v>1156.3909238199456</v>
      </c>
      <c r="U157" s="57">
        <f>850.643225417159*Deflactores!$R$5</f>
        <v>1413.8761238341494</v>
      </c>
      <c r="V157" s="57">
        <f>862.248005660099*Deflactores!$S$5</f>
        <v>1388.9946980667237</v>
      </c>
    </row>
    <row r="158" spans="3:22" x14ac:dyDescent="0.2">
      <c r="C158" s="87" t="s">
        <v>151</v>
      </c>
      <c r="D158" s="56">
        <f>40.51596496101*Deflactores!$A$5</f>
        <v>150.86982439095013</v>
      </c>
      <c r="E158" s="56">
        <f>35.1102267495*Deflactores!$B$5</f>
        <v>121.45143212410819</v>
      </c>
      <c r="F158" s="56">
        <f>23.47416900016*Deflactores!$C$5</f>
        <v>75.894197808639149</v>
      </c>
      <c r="G158" s="56">
        <f>22.8757458436599*Deflactores!$D$5</f>
        <v>69.45111619583038</v>
      </c>
      <c r="H158" s="56">
        <f>21.1658782174*Deflactores!$E$5</f>
        <v>60.911629948637085</v>
      </c>
      <c r="I158" s="56">
        <f>15.91946775644*Deflactores!$F$5</f>
        <v>43.692072135538979</v>
      </c>
      <c r="J158" s="56">
        <f>24.03546936661*Deflactores!$G$5</f>
        <v>63.139635454094595</v>
      </c>
      <c r="K158" s="56">
        <f>26.3765574402599*Deflactores!$H$5</f>
        <v>65.556437651113086</v>
      </c>
      <c r="L158" s="56">
        <f>8.44150337384*Deflactores!$I$5</f>
        <v>19.485191874443725</v>
      </c>
      <c r="M158" s="56">
        <f>6.964427172*Deflactores!$J$5</f>
        <v>15.760225234454577</v>
      </c>
      <c r="N158" s="56">
        <f>8.90393254072999*Deflactores!$K$5</f>
        <v>19.529912795787045</v>
      </c>
      <c r="O158" s="56">
        <f>322.950475881969*Deflactores!$L$5</f>
        <v>682.91062969481266</v>
      </c>
      <c r="P158" s="56">
        <f>1353.55427615768*Deflactores!$M$5</f>
        <v>2794.049200063896</v>
      </c>
      <c r="Q158" s="56">
        <f>1461.5972508773*Deflactores!$N$5</f>
        <v>2959.6575416574274</v>
      </c>
      <c r="R158" s="56">
        <f>1516.99246693318*Deflactores!$O$5</f>
        <v>2963.3705768395807</v>
      </c>
      <c r="S158" s="56">
        <f>1588.44879393395*Deflactores!$P$5</f>
        <v>2906.2068148154563</v>
      </c>
      <c r="T158" s="56">
        <f>1748.39326824629*Deflactores!$Q$5</f>
        <v>3024.9071413142556</v>
      </c>
      <c r="U158" s="56">
        <f>1945.34180877998*Deflactores!$R$5</f>
        <v>3233.402975473658</v>
      </c>
      <c r="V158" s="56">
        <f>1959.86339763276*Deflactores!$S$5</f>
        <v>3157.1425510725448</v>
      </c>
    </row>
    <row r="159" spans="3:22" x14ac:dyDescent="0.2">
      <c r="C159" s="79" t="s">
        <v>179</v>
      </c>
      <c r="D159" s="44">
        <f t="shared" ref="D159:V159" si="32">+SUM(D130:D158)</f>
        <v>91570.913394661999</v>
      </c>
      <c r="E159" s="44">
        <f t="shared" si="32"/>
        <v>96849.976984937864</v>
      </c>
      <c r="F159" s="44">
        <f t="shared" si="32"/>
        <v>99738.856314610573</v>
      </c>
      <c r="G159" s="44">
        <f t="shared" si="32"/>
        <v>99922.343831391714</v>
      </c>
      <c r="H159" s="44">
        <f t="shared" si="32"/>
        <v>116350.47180712555</v>
      </c>
      <c r="I159" s="44">
        <f t="shared" si="32"/>
        <v>127361.5578649583</v>
      </c>
      <c r="J159" s="44">
        <f t="shared" si="32"/>
        <v>128253.64747808118</v>
      </c>
      <c r="K159" s="44">
        <f t="shared" si="32"/>
        <v>134539.71074845878</v>
      </c>
      <c r="L159" s="44">
        <f t="shared" si="32"/>
        <v>142533.77635328547</v>
      </c>
      <c r="M159" s="44">
        <f t="shared" si="32"/>
        <v>155599.94950665385</v>
      </c>
      <c r="N159" s="44">
        <f t="shared" si="32"/>
        <v>168140.43647879388</v>
      </c>
      <c r="O159" s="44">
        <f t="shared" si="32"/>
        <v>171341.76996938171</v>
      </c>
      <c r="P159" s="44">
        <f t="shared" si="32"/>
        <v>181823.55817295384</v>
      </c>
      <c r="Q159" s="44">
        <f t="shared" si="32"/>
        <v>196506.92995436949</v>
      </c>
      <c r="R159" s="44">
        <f t="shared" si="32"/>
        <v>204309.00408047621</v>
      </c>
      <c r="S159" s="44">
        <f t="shared" si="32"/>
        <v>198445.74904065335</v>
      </c>
      <c r="T159" s="44">
        <f t="shared" si="32"/>
        <v>201317.96847956278</v>
      </c>
      <c r="U159" s="44">
        <f t="shared" si="32"/>
        <v>221585.34263556826</v>
      </c>
      <c r="V159" s="44">
        <f t="shared" si="32"/>
        <v>222132.94828361832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55" t="s">
        <v>183</v>
      </c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</row>
    <row r="165" spans="2:22" ht="2.25" customHeight="1" x14ac:dyDescent="0.2">
      <c r="H165" s="27"/>
      <c r="I165" s="27"/>
      <c r="J165" s="27"/>
      <c r="L165" s="177"/>
      <c r="M165" s="156"/>
      <c r="N165" s="156"/>
      <c r="O165" s="156"/>
      <c r="P165" s="156"/>
      <c r="Q165" s="156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6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60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92.571933987807142</v>
      </c>
      <c r="E169" s="60">
        <f t="shared" si="33"/>
        <v>92.360426729861089</v>
      </c>
      <c r="F169" s="60">
        <f t="shared" si="33"/>
        <v>95.716834371573327</v>
      </c>
      <c r="G169" s="60">
        <f t="shared" si="33"/>
        <v>88.816507380005277</v>
      </c>
      <c r="H169" s="60">
        <f t="shared" si="33"/>
        <v>85.119257441066793</v>
      </c>
      <c r="I169" s="60">
        <f t="shared" si="33"/>
        <v>84.841981600949481</v>
      </c>
      <c r="J169" s="60">
        <f t="shared" si="33"/>
        <v>81.679296772984088</v>
      </c>
      <c r="K169" s="60">
        <f t="shared" si="33"/>
        <v>93.722377531982858</v>
      </c>
      <c r="L169" s="60">
        <f t="shared" si="33"/>
        <v>99.10183978158625</v>
      </c>
      <c r="M169" s="60">
        <f t="shared" si="33"/>
        <v>95.353044647991041</v>
      </c>
      <c r="N169" s="60">
        <f t="shared" si="33"/>
        <v>93.328077077988553</v>
      </c>
      <c r="O169" s="60">
        <f t="shared" si="33"/>
        <v>95.955613291388104</v>
      </c>
      <c r="P169" s="60">
        <f t="shared" si="33"/>
        <v>88.15810581638857</v>
      </c>
      <c r="Q169" s="60">
        <f t="shared" si="33"/>
        <v>96.075820339535539</v>
      </c>
      <c r="R169" s="60">
        <f t="shared" si="33"/>
        <v>88.269024828802813</v>
      </c>
      <c r="S169" s="60">
        <f t="shared" si="33"/>
        <v>95.005851795591099</v>
      </c>
      <c r="T169" s="60">
        <f t="shared" si="33"/>
        <v>93.46868386390021</v>
      </c>
      <c r="U169" s="60">
        <f t="shared" si="33"/>
        <v>96.321287829064218</v>
      </c>
      <c r="V169" s="60">
        <f t="shared" si="33"/>
        <v>79.104424505438161</v>
      </c>
    </row>
    <row r="170" spans="2:22" x14ac:dyDescent="0.2">
      <c r="C170" s="88" t="s">
        <v>124</v>
      </c>
      <c r="D170" s="62">
        <f t="shared" ref="D170:V170" si="34">+IFERROR(IF(D131&gt;0,+((D131/D14)*100)," "),"")</f>
        <v>89.564677008008999</v>
      </c>
      <c r="E170" s="62">
        <f t="shared" si="34"/>
        <v>90.020823457112229</v>
      </c>
      <c r="F170" s="62">
        <f t="shared" si="34"/>
        <v>89.20077231875409</v>
      </c>
      <c r="G170" s="62">
        <f t="shared" si="34"/>
        <v>86.531256937794211</v>
      </c>
      <c r="H170" s="62">
        <f t="shared" si="34"/>
        <v>91.422575330384362</v>
      </c>
      <c r="I170" s="62">
        <f t="shared" si="34"/>
        <v>91.585991052628927</v>
      </c>
      <c r="J170" s="62">
        <f t="shared" si="34"/>
        <v>90.511810487497073</v>
      </c>
      <c r="K170" s="62">
        <f t="shared" si="34"/>
        <v>91.157361524882589</v>
      </c>
      <c r="L170" s="62">
        <f t="shared" si="34"/>
        <v>99.258883826059431</v>
      </c>
      <c r="M170" s="62">
        <f t="shared" si="34"/>
        <v>99.342684760167955</v>
      </c>
      <c r="N170" s="62">
        <f t="shared" si="34"/>
        <v>96.696074782046509</v>
      </c>
      <c r="O170" s="62">
        <f t="shared" si="34"/>
        <v>98.612124260741766</v>
      </c>
      <c r="P170" s="62">
        <f t="shared" si="34"/>
        <v>84.269427558561603</v>
      </c>
      <c r="Q170" s="62">
        <f t="shared" si="34"/>
        <v>86.717820191705897</v>
      </c>
      <c r="R170" s="62">
        <f t="shared" si="34"/>
        <v>92.971446769806604</v>
      </c>
      <c r="S170" s="62">
        <f t="shared" si="34"/>
        <v>91.553020619726894</v>
      </c>
      <c r="T170" s="62">
        <f t="shared" si="34"/>
        <v>94.875530287171344</v>
      </c>
      <c r="U170" s="62">
        <f t="shared" si="34"/>
        <v>96.253314297371205</v>
      </c>
      <c r="V170" s="62">
        <f t="shared" si="34"/>
        <v>95.59673674189176</v>
      </c>
    </row>
    <row r="171" spans="2:22" x14ac:dyDescent="0.2">
      <c r="C171" s="87" t="s">
        <v>125</v>
      </c>
      <c r="D171" s="60">
        <f t="shared" ref="D171:V171" si="35">+IFERROR(IF(D132&gt;0,+((D132/D15)*100)," "),"")</f>
        <v>92.619805029499375</v>
      </c>
      <c r="E171" s="60">
        <f t="shared" si="35"/>
        <v>82.890223804266711</v>
      </c>
      <c r="F171" s="60">
        <f t="shared" si="35"/>
        <v>94.694404033766872</v>
      </c>
      <c r="G171" s="60">
        <f t="shared" si="35"/>
        <v>91.719820870516244</v>
      </c>
      <c r="H171" s="60">
        <f t="shared" si="35"/>
        <v>85.239266715310734</v>
      </c>
      <c r="I171" s="60">
        <f t="shared" si="35"/>
        <v>88.374941092352657</v>
      </c>
      <c r="J171" s="60">
        <f t="shared" si="35"/>
        <v>85.872790350967605</v>
      </c>
      <c r="K171" s="60">
        <f t="shared" si="35"/>
        <v>78.70233981643338</v>
      </c>
      <c r="L171" s="60">
        <f t="shared" si="35"/>
        <v>93.923635916967939</v>
      </c>
      <c r="M171" s="60">
        <f t="shared" si="35"/>
        <v>31.462723460639708</v>
      </c>
      <c r="N171" s="60">
        <f t="shared" si="35"/>
        <v>94.493413434310369</v>
      </c>
      <c r="O171" s="60">
        <f t="shared" si="35"/>
        <v>88.219651295250827</v>
      </c>
      <c r="P171" s="60">
        <f t="shared" si="35"/>
        <v>72.392727882760028</v>
      </c>
      <c r="Q171" s="60">
        <f t="shared" si="35"/>
        <v>91.796487805650088</v>
      </c>
      <c r="R171" s="60">
        <f t="shared" si="35"/>
        <v>91.561598119639669</v>
      </c>
      <c r="S171" s="60">
        <f t="shared" si="35"/>
        <v>93.188827062022</v>
      </c>
      <c r="T171" s="60">
        <f t="shared" si="35"/>
        <v>93.717991672049564</v>
      </c>
      <c r="U171" s="60">
        <f t="shared" si="35"/>
        <v>94.687759219496641</v>
      </c>
      <c r="V171" s="60">
        <f t="shared" si="35"/>
        <v>92.616957482539121</v>
      </c>
    </row>
    <row r="172" spans="2:22" x14ac:dyDescent="0.2">
      <c r="C172" s="88" t="s">
        <v>126</v>
      </c>
      <c r="D172" s="62">
        <f t="shared" ref="D172:V172" si="36">+IFERROR(IF(D133&gt;0,+((D133/D16)*100)," "),"")</f>
        <v>92.375516080694737</v>
      </c>
      <c r="E172" s="62">
        <f t="shared" si="36"/>
        <v>90.98934592793097</v>
      </c>
      <c r="F172" s="62">
        <f t="shared" si="36"/>
        <v>91.122472531444629</v>
      </c>
      <c r="G172" s="62">
        <f t="shared" si="36"/>
        <v>87.737762436483706</v>
      </c>
      <c r="H172" s="62">
        <f t="shared" si="36"/>
        <v>93.737409542754506</v>
      </c>
      <c r="I172" s="62">
        <f t="shared" si="36"/>
        <v>93.243854389875963</v>
      </c>
      <c r="J172" s="62">
        <f t="shared" si="36"/>
        <v>94.76096730764084</v>
      </c>
      <c r="K172" s="62">
        <f t="shared" si="36"/>
        <v>90.263031371586919</v>
      </c>
      <c r="L172" s="62">
        <f t="shared" si="36"/>
        <v>91.037307680570294</v>
      </c>
      <c r="M172" s="62">
        <f t="shared" si="36"/>
        <v>93.824088801264409</v>
      </c>
      <c r="N172" s="62">
        <f t="shared" si="36"/>
        <v>91.267447345786962</v>
      </c>
      <c r="O172" s="62">
        <f t="shared" si="36"/>
        <v>89.361285367588522</v>
      </c>
      <c r="P172" s="62">
        <f t="shared" si="36"/>
        <v>93.432448612358627</v>
      </c>
      <c r="Q172" s="62">
        <f t="shared" si="36"/>
        <v>95.272435308435547</v>
      </c>
      <c r="R172" s="62">
        <f t="shared" si="36"/>
        <v>91.032755643866508</v>
      </c>
      <c r="S172" s="62">
        <f t="shared" si="36"/>
        <v>95.161718535439945</v>
      </c>
      <c r="T172" s="62">
        <f t="shared" si="36"/>
        <v>96.279268018908823</v>
      </c>
      <c r="U172" s="62">
        <f t="shared" si="36"/>
        <v>98.229597515681505</v>
      </c>
      <c r="V172" s="62">
        <f t="shared" si="36"/>
        <v>95.442844862014738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86.625023337689782</v>
      </c>
      <c r="E173" s="60">
        <f t="shared" si="37"/>
        <v>91.019437535437135</v>
      </c>
      <c r="F173" s="60">
        <f t="shared" si="37"/>
        <v>94.643452652291018</v>
      </c>
      <c r="G173" s="60">
        <f t="shared" si="37"/>
        <v>95.099055874449348</v>
      </c>
      <c r="H173" s="60">
        <f t="shared" si="37"/>
        <v>93.497565104521968</v>
      </c>
      <c r="I173" s="60">
        <f t="shared" si="37"/>
        <v>95.306387881107781</v>
      </c>
      <c r="J173" s="60">
        <f t="shared" si="37"/>
        <v>94.625474707542367</v>
      </c>
      <c r="K173" s="60">
        <f t="shared" si="37"/>
        <v>97.28228588496583</v>
      </c>
      <c r="L173" s="60">
        <f t="shared" si="37"/>
        <v>96.073941733529949</v>
      </c>
      <c r="M173" s="60">
        <f t="shared" si="37"/>
        <v>97.557452203060265</v>
      </c>
      <c r="N173" s="60">
        <f t="shared" si="37"/>
        <v>97.273390026468135</v>
      </c>
      <c r="O173" s="60">
        <f t="shared" si="37"/>
        <v>98.035207499081309</v>
      </c>
      <c r="P173" s="60">
        <f t="shared" si="37"/>
        <v>96.074384676546529</v>
      </c>
      <c r="Q173" s="60">
        <f t="shared" si="37"/>
        <v>95.468510495440881</v>
      </c>
      <c r="R173" s="60">
        <f t="shared" si="37"/>
        <v>97.214232843397426</v>
      </c>
      <c r="S173" s="60">
        <f t="shared" si="37"/>
        <v>98.108735614452684</v>
      </c>
      <c r="T173" s="60">
        <f t="shared" si="37"/>
        <v>97.193027758519293</v>
      </c>
      <c r="U173" s="60">
        <f t="shared" si="37"/>
        <v>98.85492464884662</v>
      </c>
      <c r="V173" s="60">
        <f t="shared" si="37"/>
        <v>95.9962633441625</v>
      </c>
    </row>
    <row r="174" spans="2:22" x14ac:dyDescent="0.2">
      <c r="C174" s="88" t="s">
        <v>128</v>
      </c>
      <c r="D174" s="62">
        <f t="shared" ref="D174:V174" si="38">+IFERROR(IF(D135&gt;0,+((D135/D18)*100)," "),"")</f>
        <v>94.160748545203234</v>
      </c>
      <c r="E174" s="62">
        <f t="shared" si="38"/>
        <v>92.716140388448636</v>
      </c>
      <c r="F174" s="62">
        <f t="shared" si="38"/>
        <v>81.225527716192829</v>
      </c>
      <c r="G174" s="62">
        <f t="shared" si="38"/>
        <v>89.00901450687951</v>
      </c>
      <c r="H174" s="62">
        <f t="shared" si="38"/>
        <v>88.502100159624248</v>
      </c>
      <c r="I174" s="62">
        <f t="shared" si="38"/>
        <v>85.117902992911411</v>
      </c>
      <c r="J174" s="62">
        <f t="shared" si="38"/>
        <v>90.450476185425273</v>
      </c>
      <c r="K174" s="62">
        <f t="shared" si="38"/>
        <v>93.866990259470811</v>
      </c>
      <c r="L174" s="62">
        <f t="shared" si="38"/>
        <v>92.105197908712213</v>
      </c>
      <c r="M174" s="62">
        <f t="shared" si="38"/>
        <v>89.975034727672309</v>
      </c>
      <c r="N174" s="62">
        <f t="shared" si="38"/>
        <v>89.405126728605794</v>
      </c>
      <c r="O174" s="62">
        <f t="shared" si="38"/>
        <v>95.776571632954983</v>
      </c>
      <c r="P174" s="62">
        <f t="shared" si="38"/>
        <v>96.541789964976005</v>
      </c>
      <c r="Q174" s="62">
        <f t="shared" si="38"/>
        <v>94.173656834922738</v>
      </c>
      <c r="R174" s="62">
        <f t="shared" si="38"/>
        <v>98.821979758293864</v>
      </c>
      <c r="S174" s="62">
        <f t="shared" si="38"/>
        <v>98.536952424438482</v>
      </c>
      <c r="T174" s="62">
        <f t="shared" si="38"/>
        <v>99.466834165499478</v>
      </c>
      <c r="U174" s="62">
        <f t="shared" si="38"/>
        <v>98.439026496359432</v>
      </c>
      <c r="V174" s="62">
        <f t="shared" si="38"/>
        <v>96.790000367659985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95.472376132213242</v>
      </c>
      <c r="E175" s="60">
        <f t="shared" si="39"/>
        <v>93.371812709259999</v>
      </c>
      <c r="F175" s="60">
        <f t="shared" si="39"/>
        <v>93.516034451834557</v>
      </c>
      <c r="G175" s="60">
        <f t="shared" si="39"/>
        <v>91.817646782337334</v>
      </c>
      <c r="H175" s="60">
        <f t="shared" si="39"/>
        <v>91.740722553027553</v>
      </c>
      <c r="I175" s="60">
        <f t="shared" si="39"/>
        <v>91.381096522660471</v>
      </c>
      <c r="J175" s="60">
        <f t="shared" si="39"/>
        <v>92.110772927022623</v>
      </c>
      <c r="K175" s="60">
        <f t="shared" si="39"/>
        <v>97.099287369048426</v>
      </c>
      <c r="L175" s="60">
        <f t="shared" si="39"/>
        <v>98.199988758850793</v>
      </c>
      <c r="M175" s="60">
        <f t="shared" si="39"/>
        <v>96.815476158473842</v>
      </c>
      <c r="N175" s="60">
        <f t="shared" si="39"/>
        <v>96.701788681754124</v>
      </c>
      <c r="O175" s="60">
        <f t="shared" si="39"/>
        <v>96.526102918197083</v>
      </c>
      <c r="P175" s="60">
        <f t="shared" si="39"/>
        <v>97.432958803525466</v>
      </c>
      <c r="Q175" s="60">
        <f t="shared" si="39"/>
        <v>97.734292547848113</v>
      </c>
      <c r="R175" s="60">
        <f t="shared" si="39"/>
        <v>98.085257809359277</v>
      </c>
      <c r="S175" s="60">
        <f t="shared" si="39"/>
        <v>97.42286951853346</v>
      </c>
      <c r="T175" s="60">
        <f t="shared" si="39"/>
        <v>98.62000564963401</v>
      </c>
      <c r="U175" s="60">
        <f t="shared" si="39"/>
        <v>99.044936658961561</v>
      </c>
      <c r="V175" s="60">
        <f t="shared" si="39"/>
        <v>96.174167831840478</v>
      </c>
    </row>
    <row r="176" spans="2:22" x14ac:dyDescent="0.2">
      <c r="C176" s="88" t="s">
        <v>130</v>
      </c>
      <c r="D176" s="62">
        <f t="shared" ref="D176:V176" si="40">+IFERROR(IF(D137&gt;0,+((D137/D20)*100)," "),"")</f>
        <v>98.166917498286821</v>
      </c>
      <c r="E176" s="62">
        <f t="shared" si="40"/>
        <v>97.627060234413889</v>
      </c>
      <c r="F176" s="62">
        <f t="shared" si="40"/>
        <v>93.776275418006961</v>
      </c>
      <c r="G176" s="62">
        <f t="shared" si="40"/>
        <v>92.414057224058197</v>
      </c>
      <c r="H176" s="62">
        <f t="shared" si="40"/>
        <v>94.176602700106486</v>
      </c>
      <c r="I176" s="62">
        <f t="shared" si="40"/>
        <v>96.771762848367047</v>
      </c>
      <c r="J176" s="62">
        <f t="shared" si="40"/>
        <v>96.189069640234294</v>
      </c>
      <c r="K176" s="62">
        <f t="shared" si="40"/>
        <v>95.923210293238682</v>
      </c>
      <c r="L176" s="62">
        <f t="shared" si="40"/>
        <v>95.658756087223523</v>
      </c>
      <c r="M176" s="62">
        <f t="shared" si="40"/>
        <v>96.206361333591175</v>
      </c>
      <c r="N176" s="62">
        <f t="shared" si="40"/>
        <v>93.053395694263884</v>
      </c>
      <c r="O176" s="62">
        <f t="shared" si="40"/>
        <v>87.739934036639937</v>
      </c>
      <c r="P176" s="62">
        <f t="shared" si="40"/>
        <v>83.008861389590805</v>
      </c>
      <c r="Q176" s="62">
        <f t="shared" si="40"/>
        <v>95.652975759898965</v>
      </c>
      <c r="R176" s="62">
        <f t="shared" si="40"/>
        <v>95.946207466355588</v>
      </c>
      <c r="S176" s="62">
        <f t="shared" si="40"/>
        <v>98.844783464505539</v>
      </c>
      <c r="T176" s="62">
        <f t="shared" si="40"/>
        <v>94.178231229924108</v>
      </c>
      <c r="U176" s="62">
        <f t="shared" si="40"/>
        <v>97.231008814948112</v>
      </c>
      <c r="V176" s="62">
        <f t="shared" si="40"/>
        <v>95.776017388130214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94.844680849813642</v>
      </c>
      <c r="E177" s="60">
        <f t="shared" si="41"/>
        <v>96.493397020869025</v>
      </c>
      <c r="F177" s="60">
        <f t="shared" si="41"/>
        <v>99.505968480597403</v>
      </c>
      <c r="G177" s="60">
        <f t="shared" si="41"/>
        <v>95.732104985158159</v>
      </c>
      <c r="H177" s="60">
        <f t="shared" si="41"/>
        <v>99.407440123194689</v>
      </c>
      <c r="I177" s="60">
        <f t="shared" si="41"/>
        <v>99.313304940837284</v>
      </c>
      <c r="J177" s="60">
        <f t="shared" si="41"/>
        <v>98.901384469593964</v>
      </c>
      <c r="K177" s="60">
        <f t="shared" si="41"/>
        <v>99.566541765586905</v>
      </c>
      <c r="L177" s="60">
        <f t="shared" si="41"/>
        <v>99.829652763151543</v>
      </c>
      <c r="M177" s="60">
        <f t="shared" si="41"/>
        <v>98.766157448563945</v>
      </c>
      <c r="N177" s="60">
        <f t="shared" si="41"/>
        <v>96.77569703148751</v>
      </c>
      <c r="O177" s="60">
        <f t="shared" si="41"/>
        <v>99.954051320421783</v>
      </c>
      <c r="P177" s="60">
        <f t="shared" si="41"/>
        <v>98.133072876711324</v>
      </c>
      <c r="Q177" s="60">
        <f t="shared" si="41"/>
        <v>99.85679267248419</v>
      </c>
      <c r="R177" s="60">
        <f t="shared" si="41"/>
        <v>99.950657215173848</v>
      </c>
      <c r="S177" s="60">
        <f t="shared" si="41"/>
        <v>99.942069813374246</v>
      </c>
      <c r="T177" s="60">
        <f t="shared" si="41"/>
        <v>99.143969959080849</v>
      </c>
      <c r="U177" s="60">
        <f t="shared" si="41"/>
        <v>99.949807244605594</v>
      </c>
      <c r="V177" s="60">
        <f t="shared" si="41"/>
        <v>99.657012370919588</v>
      </c>
    </row>
    <row r="178" spans="3:22" x14ac:dyDescent="0.2">
      <c r="C178" s="88" t="s">
        <v>132</v>
      </c>
      <c r="D178" s="62">
        <f t="shared" ref="D178:V178" si="42">+IFERROR(IF(D139&gt;0,+((D139/D22)*100)," "),"")</f>
        <v>86.072272593845284</v>
      </c>
      <c r="E178" s="62">
        <f t="shared" si="42"/>
        <v>87.828379684837415</v>
      </c>
      <c r="F178" s="62">
        <f t="shared" si="42"/>
        <v>84.887146105028251</v>
      </c>
      <c r="G178" s="62">
        <f t="shared" si="42"/>
        <v>84.789919635212371</v>
      </c>
      <c r="H178" s="62">
        <f t="shared" si="42"/>
        <v>81.181608476330169</v>
      </c>
      <c r="I178" s="62">
        <f t="shared" si="42"/>
        <v>89.069977873735468</v>
      </c>
      <c r="J178" s="62">
        <f t="shared" si="42"/>
        <v>72.117519858708874</v>
      </c>
      <c r="K178" s="62">
        <f t="shared" si="42"/>
        <v>55.108242150321374</v>
      </c>
      <c r="L178" s="62">
        <f t="shared" si="42"/>
        <v>60.982874359712611</v>
      </c>
      <c r="M178" s="62">
        <f t="shared" si="42"/>
        <v>42.382729339705335</v>
      </c>
      <c r="N178" s="62">
        <f t="shared" si="42"/>
        <v>66.907141602841534</v>
      </c>
      <c r="O178" s="62">
        <f t="shared" si="42"/>
        <v>64.157865508823178</v>
      </c>
      <c r="P178" s="62">
        <f t="shared" si="42"/>
        <v>69.828997016953451</v>
      </c>
      <c r="Q178" s="62">
        <f t="shared" si="42"/>
        <v>53.158516107416354</v>
      </c>
      <c r="R178" s="62">
        <f t="shared" si="42"/>
        <v>60.297945746066738</v>
      </c>
      <c r="S178" s="62">
        <f t="shared" si="42"/>
        <v>61.721027992478859</v>
      </c>
      <c r="T178" s="62">
        <f t="shared" si="42"/>
        <v>81.510980520650406</v>
      </c>
      <c r="U178" s="62">
        <f t="shared" si="42"/>
        <v>84.386019807232103</v>
      </c>
      <c r="V178" s="62">
        <f t="shared" si="42"/>
        <v>85.170887920853033</v>
      </c>
    </row>
    <row r="179" spans="3:22" x14ac:dyDescent="0.2">
      <c r="C179" s="87" t="s">
        <v>133</v>
      </c>
      <c r="D179" s="60">
        <f t="shared" ref="D179:V179" si="43">+IFERROR(IF(D140&gt;0,+((D140/D23)*100)," "),"")</f>
        <v>97.40538919209186</v>
      </c>
      <c r="E179" s="60">
        <f t="shared" si="43"/>
        <v>99.169588938319066</v>
      </c>
      <c r="F179" s="60">
        <f t="shared" si="43"/>
        <v>98.997943713064799</v>
      </c>
      <c r="G179" s="60">
        <f t="shared" si="43"/>
        <v>97.629768434448778</v>
      </c>
      <c r="H179" s="60">
        <f t="shared" si="43"/>
        <v>96.297030240443718</v>
      </c>
      <c r="I179" s="60">
        <f t="shared" si="43"/>
        <v>98.147494149225579</v>
      </c>
      <c r="J179" s="60">
        <f t="shared" si="43"/>
        <v>97.614592469455616</v>
      </c>
      <c r="K179" s="60">
        <f t="shared" si="43"/>
        <v>98.528835914298668</v>
      </c>
      <c r="L179" s="60">
        <f t="shared" si="43"/>
        <v>98.126884999350011</v>
      </c>
      <c r="M179" s="60">
        <f t="shared" si="43"/>
        <v>98.260002853003897</v>
      </c>
      <c r="N179" s="60">
        <f t="shared" si="43"/>
        <v>94.140204926159342</v>
      </c>
      <c r="O179" s="60">
        <f t="shared" si="43"/>
        <v>94.63053634865075</v>
      </c>
      <c r="P179" s="60">
        <f t="shared" si="43"/>
        <v>93.049754154460715</v>
      </c>
      <c r="Q179" s="60">
        <f t="shared" si="43"/>
        <v>95.626503019805469</v>
      </c>
      <c r="R179" s="60">
        <f t="shared" si="43"/>
        <v>91.489886225118894</v>
      </c>
      <c r="S179" s="60">
        <f t="shared" si="43"/>
        <v>91.43742580732463</v>
      </c>
      <c r="T179" s="60">
        <f t="shared" si="43"/>
        <v>96.529425682433427</v>
      </c>
      <c r="U179" s="60">
        <f t="shared" si="43"/>
        <v>99.249662867890436</v>
      </c>
      <c r="V179" s="60">
        <f t="shared" si="43"/>
        <v>93.0334525564339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88.111617659592952</v>
      </c>
      <c r="E180" s="62">
        <f t="shared" si="44"/>
        <v>90.335922270256603</v>
      </c>
      <c r="F180" s="62">
        <f t="shared" si="44"/>
        <v>81.527141868526215</v>
      </c>
      <c r="G180" s="62">
        <f t="shared" si="44"/>
        <v>86.017589271359668</v>
      </c>
      <c r="H180" s="62">
        <f t="shared" si="44"/>
        <v>86.100956635462282</v>
      </c>
      <c r="I180" s="62">
        <f t="shared" si="44"/>
        <v>91.361112676324069</v>
      </c>
      <c r="J180" s="62">
        <f t="shared" si="44"/>
        <v>92.288691319998279</v>
      </c>
      <c r="K180" s="62">
        <f t="shared" si="44"/>
        <v>83.332027403178003</v>
      </c>
      <c r="L180" s="62">
        <f t="shared" si="44"/>
        <v>78.440414859578439</v>
      </c>
      <c r="M180" s="62">
        <f t="shared" si="44"/>
        <v>71.530065550131638</v>
      </c>
      <c r="N180" s="62">
        <f t="shared" si="44"/>
        <v>76.74264397148221</v>
      </c>
      <c r="O180" s="62">
        <f t="shared" si="44"/>
        <v>96.866404449837304</v>
      </c>
      <c r="P180" s="62">
        <f t="shared" si="44"/>
        <v>95.349463195360599</v>
      </c>
      <c r="Q180" s="62">
        <f t="shared" si="44"/>
        <v>87.661974171803422</v>
      </c>
      <c r="R180" s="62">
        <f t="shared" si="44"/>
        <v>75.665441288305786</v>
      </c>
      <c r="S180" s="62">
        <f t="shared" si="44"/>
        <v>94.974721485644892</v>
      </c>
      <c r="T180" s="62">
        <f t="shared" si="44"/>
        <v>91.076593888199881</v>
      </c>
      <c r="U180" s="62">
        <f t="shared" si="44"/>
        <v>93.121147459791004</v>
      </c>
      <c r="V180" s="62">
        <f t="shared" si="44"/>
        <v>87.218809839929961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95.920279457414424</v>
      </c>
      <c r="E182" s="62">
        <f t="shared" si="46"/>
        <v>97.073058333712282</v>
      </c>
      <c r="F182" s="62">
        <f t="shared" si="46"/>
        <v>90.275931439507701</v>
      </c>
      <c r="G182" s="62">
        <f t="shared" si="46"/>
        <v>94.423911055616685</v>
      </c>
      <c r="H182" s="62">
        <f t="shared" si="46"/>
        <v>92.74609318511439</v>
      </c>
      <c r="I182" s="62">
        <f t="shared" si="46"/>
        <v>91.065246991650497</v>
      </c>
      <c r="J182" s="62">
        <f t="shared" si="46"/>
        <v>81.061653174781497</v>
      </c>
      <c r="K182" s="62">
        <f t="shared" si="46"/>
        <v>76.339053731891042</v>
      </c>
      <c r="L182" s="62">
        <f t="shared" si="46"/>
        <v>79.815087862361096</v>
      </c>
      <c r="M182" s="62">
        <f t="shared" si="46"/>
        <v>85.496162928981093</v>
      </c>
      <c r="N182" s="62">
        <f t="shared" si="46"/>
        <v>89.596991575922075</v>
      </c>
      <c r="O182" s="62">
        <f t="shared" si="46"/>
        <v>90.354675040608058</v>
      </c>
      <c r="P182" s="62">
        <f t="shared" si="46"/>
        <v>91.096498268036726</v>
      </c>
      <c r="Q182" s="62">
        <f t="shared" si="46"/>
        <v>92.19651272930291</v>
      </c>
      <c r="R182" s="62">
        <f t="shared" si="46"/>
        <v>93.191838847964831</v>
      </c>
      <c r="S182" s="62">
        <f t="shared" si="46"/>
        <v>93.703818575636134</v>
      </c>
      <c r="T182" s="62">
        <f t="shared" si="46"/>
        <v>85.145507110706504</v>
      </c>
      <c r="U182" s="62">
        <f t="shared" si="46"/>
        <v>97.699042151747136</v>
      </c>
      <c r="V182" s="62">
        <f t="shared" si="46"/>
        <v>90.289701322482401</v>
      </c>
    </row>
    <row r="183" spans="3:22" x14ac:dyDescent="0.2">
      <c r="C183" s="87" t="s">
        <v>137</v>
      </c>
      <c r="D183" s="60">
        <f t="shared" ref="D183:V183" si="47">+IFERROR(IF(D144&gt;0,+((D144/D27)*100)," "),"")</f>
        <v>97.260769367901005</v>
      </c>
      <c r="E183" s="60">
        <f t="shared" si="47"/>
        <v>95.058875150284408</v>
      </c>
      <c r="F183" s="60">
        <f t="shared" si="47"/>
        <v>98.705693525384532</v>
      </c>
      <c r="G183" s="60">
        <f t="shared" si="47"/>
        <v>95.349755377007455</v>
      </c>
      <c r="H183" s="60">
        <f t="shared" si="47"/>
        <v>95.153679972200251</v>
      </c>
      <c r="I183" s="60">
        <f t="shared" si="47"/>
        <v>95.206411268484061</v>
      </c>
      <c r="J183" s="60">
        <f t="shared" si="47"/>
        <v>97.478696601372576</v>
      </c>
      <c r="K183" s="60">
        <f t="shared" si="47"/>
        <v>96.624529854801267</v>
      </c>
      <c r="L183" s="60">
        <f t="shared" si="47"/>
        <v>98.172606433936181</v>
      </c>
      <c r="M183" s="60">
        <f t="shared" si="47"/>
        <v>93.753797666913997</v>
      </c>
      <c r="N183" s="60">
        <f t="shared" si="47"/>
        <v>93.418782527296585</v>
      </c>
      <c r="O183" s="60">
        <f t="shared" si="47"/>
        <v>94.425292445565688</v>
      </c>
      <c r="P183" s="60">
        <f t="shared" si="47"/>
        <v>81.333123189120542</v>
      </c>
      <c r="Q183" s="60">
        <f t="shared" si="47"/>
        <v>74.094068612498447</v>
      </c>
      <c r="R183" s="60">
        <f t="shared" si="47"/>
        <v>90.106105164612046</v>
      </c>
      <c r="S183" s="60">
        <f t="shared" si="47"/>
        <v>92.891257355028785</v>
      </c>
      <c r="T183" s="60">
        <f t="shared" si="47"/>
        <v>97.397416927442862</v>
      </c>
      <c r="U183" s="60">
        <f t="shared" si="47"/>
        <v>95.136483338517607</v>
      </c>
      <c r="V183" s="60">
        <f t="shared" si="47"/>
        <v>91.95598711257098</v>
      </c>
    </row>
    <row r="184" spans="3:22" x14ac:dyDescent="0.2">
      <c r="C184" s="88" t="s">
        <v>138</v>
      </c>
      <c r="D184" s="62">
        <f t="shared" ref="D184:V184" si="48">+IFERROR(IF(D145&gt;0,+((D145/D28)*100)," "),"")</f>
        <v>94.588878892385637</v>
      </c>
      <c r="E184" s="62">
        <f t="shared" si="48"/>
        <v>92.900806780386333</v>
      </c>
      <c r="F184" s="62">
        <f t="shared" si="48"/>
        <v>94.112198724653368</v>
      </c>
      <c r="G184" s="62">
        <f t="shared" si="48"/>
        <v>90.800176378383057</v>
      </c>
      <c r="H184" s="62">
        <f t="shared" si="48"/>
        <v>91.094526050773339</v>
      </c>
      <c r="I184" s="62">
        <f t="shared" si="48"/>
        <v>90.473242727565435</v>
      </c>
      <c r="J184" s="62">
        <f t="shared" si="48"/>
        <v>86.334802880848329</v>
      </c>
      <c r="K184" s="62">
        <f t="shared" si="48"/>
        <v>91.561362972956005</v>
      </c>
      <c r="L184" s="62">
        <f t="shared" si="48"/>
        <v>90.513295740208108</v>
      </c>
      <c r="M184" s="62">
        <f t="shared" si="48"/>
        <v>85.996706064936177</v>
      </c>
      <c r="N184" s="62">
        <f t="shared" si="48"/>
        <v>82.458098406758268</v>
      </c>
      <c r="O184" s="62">
        <f t="shared" si="48"/>
        <v>86.356884568745159</v>
      </c>
      <c r="P184" s="62">
        <f t="shared" si="48"/>
        <v>75.927362242689114</v>
      </c>
      <c r="Q184" s="62">
        <f t="shared" si="48"/>
        <v>75.728677553452911</v>
      </c>
      <c r="R184" s="62">
        <f t="shared" si="48"/>
        <v>83.595507803097874</v>
      </c>
      <c r="S184" s="62">
        <f t="shared" si="48"/>
        <v>94.609607096649952</v>
      </c>
      <c r="T184" s="62">
        <f t="shared" si="48"/>
        <v>96.999598580527575</v>
      </c>
      <c r="U184" s="62">
        <f t="shared" si="48"/>
        <v>97.709392107775059</v>
      </c>
      <c r="V184" s="62">
        <f t="shared" si="48"/>
        <v>95.777769940442866</v>
      </c>
    </row>
    <row r="185" spans="3:22" x14ac:dyDescent="0.2">
      <c r="C185" s="87" t="s">
        <v>139</v>
      </c>
      <c r="D185" s="60">
        <f t="shared" ref="D185:V185" si="49">+IFERROR(IF(D146&gt;0,+((D146/D29)*100)," "),"")</f>
        <v>96.509974099977342</v>
      </c>
      <c r="E185" s="60">
        <f t="shared" si="49"/>
        <v>83.470255455036494</v>
      </c>
      <c r="F185" s="60">
        <f t="shared" si="49"/>
        <v>89.451317487331067</v>
      </c>
      <c r="G185" s="60">
        <f t="shared" si="49"/>
        <v>85.586003092247182</v>
      </c>
      <c r="H185" s="60">
        <f t="shared" si="49"/>
        <v>91.561613871466605</v>
      </c>
      <c r="I185" s="60">
        <f t="shared" si="49"/>
        <v>92.115497452264293</v>
      </c>
      <c r="J185" s="60">
        <f t="shared" si="49"/>
        <v>79.645655798684274</v>
      </c>
      <c r="K185" s="60">
        <f t="shared" si="49"/>
        <v>88.736188147262169</v>
      </c>
      <c r="L185" s="60">
        <f t="shared" si="49"/>
        <v>91.174323184817112</v>
      </c>
      <c r="M185" s="60">
        <f t="shared" si="49"/>
        <v>85.004875871600333</v>
      </c>
      <c r="N185" s="60">
        <f t="shared" si="49"/>
        <v>87.03292652072615</v>
      </c>
      <c r="O185" s="60">
        <f t="shared" si="49"/>
        <v>93.435623584514175</v>
      </c>
      <c r="P185" s="60">
        <f t="shared" si="49"/>
        <v>88.448161429703973</v>
      </c>
      <c r="Q185" s="60">
        <f t="shared" si="49"/>
        <v>91.290824140822309</v>
      </c>
      <c r="R185" s="60">
        <f t="shared" si="49"/>
        <v>90.843837326946115</v>
      </c>
      <c r="S185" s="60">
        <f t="shared" si="49"/>
        <v>93.497509230037281</v>
      </c>
      <c r="T185" s="60">
        <f t="shared" si="49"/>
        <v>92.057071990708181</v>
      </c>
      <c r="U185" s="60">
        <f t="shared" si="49"/>
        <v>93.837302176999415</v>
      </c>
      <c r="V185" s="60">
        <f t="shared" si="49"/>
        <v>88.193340370463019</v>
      </c>
    </row>
    <row r="186" spans="3:22" x14ac:dyDescent="0.2">
      <c r="C186" s="88" t="s">
        <v>140</v>
      </c>
      <c r="D186" s="62">
        <f t="shared" ref="D186:V186" si="50">+IFERROR(IF(D147&gt;0,+((D147/D30)*100)," "),"")</f>
        <v>90.279262833714512</v>
      </c>
      <c r="E186" s="62">
        <f t="shared" si="50"/>
        <v>75.080212714181968</v>
      </c>
      <c r="F186" s="62">
        <f t="shared" si="50"/>
        <v>84.579849069773474</v>
      </c>
      <c r="G186" s="62">
        <f t="shared" si="50"/>
        <v>75.874437119891141</v>
      </c>
      <c r="H186" s="62">
        <f t="shared" si="50"/>
        <v>88.926021982994698</v>
      </c>
      <c r="I186" s="62">
        <f t="shared" si="50"/>
        <v>97.996831978349547</v>
      </c>
      <c r="J186" s="62">
        <f t="shared" si="50"/>
        <v>58.123224537984761</v>
      </c>
      <c r="K186" s="62">
        <f t="shared" si="50"/>
        <v>73.647947588628639</v>
      </c>
      <c r="L186" s="62">
        <f t="shared" si="50"/>
        <v>89.668989555125094</v>
      </c>
      <c r="M186" s="62">
        <f t="shared" si="50"/>
        <v>77.968535820664414</v>
      </c>
      <c r="N186" s="62">
        <f t="shared" si="50"/>
        <v>96.887921621144699</v>
      </c>
      <c r="O186" s="62">
        <f t="shared" si="50"/>
        <v>95.619634622932395</v>
      </c>
      <c r="P186" s="62">
        <f t="shared" si="50"/>
        <v>72.407106686490366</v>
      </c>
      <c r="Q186" s="62">
        <f t="shared" si="50"/>
        <v>77.028709941169467</v>
      </c>
      <c r="R186" s="62">
        <f t="shared" si="50"/>
        <v>89.239819487111546</v>
      </c>
      <c r="S186" s="62">
        <f t="shared" si="50"/>
        <v>92.562388730298679</v>
      </c>
      <c r="T186" s="62">
        <f t="shared" si="50"/>
        <v>91.95722090228891</v>
      </c>
      <c r="U186" s="62">
        <f t="shared" si="50"/>
        <v>93.583415320862684</v>
      </c>
      <c r="V186" s="62">
        <f t="shared" si="50"/>
        <v>88.079865904582448</v>
      </c>
    </row>
    <row r="187" spans="3:22" x14ac:dyDescent="0.2">
      <c r="C187" s="87" t="s">
        <v>141</v>
      </c>
      <c r="D187" s="60">
        <f t="shared" ref="D187:V187" si="51">+IFERROR(IF(D148&gt;0,+((D148/D31)*100)," "),"")</f>
        <v>92.823785612331989</v>
      </c>
      <c r="E187" s="60">
        <f t="shared" si="51"/>
        <v>94.137637745222065</v>
      </c>
      <c r="F187" s="60">
        <f t="shared" si="51"/>
        <v>93.518448335940661</v>
      </c>
      <c r="G187" s="60">
        <f t="shared" si="51"/>
        <v>92.19237768904614</v>
      </c>
      <c r="H187" s="60">
        <f t="shared" si="51"/>
        <v>84.551331442190261</v>
      </c>
      <c r="I187" s="60">
        <f t="shared" si="51"/>
        <v>91.105220949839591</v>
      </c>
      <c r="J187" s="60">
        <f t="shared" si="51"/>
        <v>92.791975457575489</v>
      </c>
      <c r="K187" s="60">
        <f t="shared" si="51"/>
        <v>94.221979449903088</v>
      </c>
      <c r="L187" s="60">
        <f t="shared" si="51"/>
        <v>93.118530649959567</v>
      </c>
      <c r="M187" s="60">
        <f t="shared" si="51"/>
        <v>91.110706278109006</v>
      </c>
      <c r="N187" s="60">
        <f t="shared" si="51"/>
        <v>90.16641113136086</v>
      </c>
      <c r="O187" s="60">
        <f t="shared" si="51"/>
        <v>92.284349260345238</v>
      </c>
      <c r="P187" s="60">
        <f t="shared" si="51"/>
        <v>87.198479060191346</v>
      </c>
      <c r="Q187" s="60">
        <f t="shared" si="51"/>
        <v>89.31043771544114</v>
      </c>
      <c r="R187" s="60">
        <f t="shared" si="51"/>
        <v>91.894813440639254</v>
      </c>
      <c r="S187" s="60">
        <f t="shared" si="51"/>
        <v>94.519547490417892</v>
      </c>
      <c r="T187" s="60">
        <f t="shared" si="51"/>
        <v>95.592282999845594</v>
      </c>
      <c r="U187" s="60">
        <f t="shared" si="51"/>
        <v>95.04619731939033</v>
      </c>
      <c r="V187" s="60">
        <f t="shared" si="51"/>
        <v>93.563997713027106</v>
      </c>
    </row>
    <row r="188" spans="3:22" x14ac:dyDescent="0.2">
      <c r="C188" s="88" t="s">
        <v>142</v>
      </c>
      <c r="D188" s="62">
        <f t="shared" ref="D188:V188" si="52">+IFERROR(IF(D149&gt;0,+((D149/D32)*100)," "),"")</f>
        <v>87.345474651539007</v>
      </c>
      <c r="E188" s="62">
        <f t="shared" si="52"/>
        <v>91.433468934888324</v>
      </c>
      <c r="F188" s="62">
        <f t="shared" si="52"/>
        <v>90.440470710390755</v>
      </c>
      <c r="G188" s="62">
        <f t="shared" si="52"/>
        <v>83.008244809324907</v>
      </c>
      <c r="H188" s="62">
        <f t="shared" si="52"/>
        <v>81.479206867730909</v>
      </c>
      <c r="I188" s="62">
        <f t="shared" si="52"/>
        <v>81.049802546946538</v>
      </c>
      <c r="J188" s="62">
        <f t="shared" si="52"/>
        <v>68.263477178805658</v>
      </c>
      <c r="K188" s="62">
        <f t="shared" si="52"/>
        <v>69.96430105668037</v>
      </c>
      <c r="L188" s="62">
        <f t="shared" si="52"/>
        <v>80.568699686640983</v>
      </c>
      <c r="M188" s="62">
        <f t="shared" si="52"/>
        <v>70.71527197433312</v>
      </c>
      <c r="N188" s="62">
        <f t="shared" si="52"/>
        <v>92.129732210120579</v>
      </c>
      <c r="O188" s="62">
        <f t="shared" si="52"/>
        <v>87.513358807025895</v>
      </c>
      <c r="P188" s="62">
        <f t="shared" si="52"/>
        <v>86.768496537395308</v>
      </c>
      <c r="Q188" s="62">
        <f t="shared" si="52"/>
        <v>67.109759850324494</v>
      </c>
      <c r="R188" s="62">
        <f t="shared" si="52"/>
        <v>86.781286399867881</v>
      </c>
      <c r="S188" s="62">
        <f t="shared" si="52"/>
        <v>89.800935029282542</v>
      </c>
      <c r="T188" s="62">
        <f t="shared" si="52"/>
        <v>93.646053051307433</v>
      </c>
      <c r="U188" s="62">
        <f t="shared" si="52"/>
        <v>92.384753316400108</v>
      </c>
      <c r="V188" s="62">
        <f t="shared" si="52"/>
        <v>93.004278228581043</v>
      </c>
    </row>
    <row r="189" spans="3:22" x14ac:dyDescent="0.2">
      <c r="C189" s="87" t="s">
        <v>143</v>
      </c>
      <c r="D189" s="60">
        <f t="shared" ref="D189:V189" si="53">+IFERROR(IF(D150&gt;0,+((D150/D33)*100)," "),"")</f>
        <v>90.376394381790732</v>
      </c>
      <c r="E189" s="60">
        <f t="shared" si="53"/>
        <v>96.804269734742533</v>
      </c>
      <c r="F189" s="60">
        <f t="shared" si="53"/>
        <v>89.141935712377091</v>
      </c>
      <c r="G189" s="60">
        <f t="shared" si="53"/>
        <v>90.843117700184933</v>
      </c>
      <c r="H189" s="60">
        <f t="shared" si="53"/>
        <v>96.305892486568069</v>
      </c>
      <c r="I189" s="60">
        <f t="shared" si="53"/>
        <v>91.929830752980152</v>
      </c>
      <c r="J189" s="60">
        <f t="shared" si="53"/>
        <v>90.9343695010907</v>
      </c>
      <c r="K189" s="60">
        <f t="shared" si="53"/>
        <v>97.826636741948619</v>
      </c>
      <c r="L189" s="60">
        <f t="shared" si="53"/>
        <v>96.600122003509355</v>
      </c>
      <c r="M189" s="60">
        <f t="shared" si="53"/>
        <v>90.750228155494952</v>
      </c>
      <c r="N189" s="60">
        <f t="shared" si="53"/>
        <v>90.692568390898387</v>
      </c>
      <c r="O189" s="60">
        <f t="shared" si="53"/>
        <v>92.898172267618691</v>
      </c>
      <c r="P189" s="60">
        <f t="shared" si="53"/>
        <v>94.089285409682219</v>
      </c>
      <c r="Q189" s="60">
        <f t="shared" si="53"/>
        <v>91.669736279959551</v>
      </c>
      <c r="R189" s="60">
        <f t="shared" si="53"/>
        <v>93.781764730599321</v>
      </c>
      <c r="S189" s="60">
        <f t="shared" si="53"/>
        <v>96.392240598895938</v>
      </c>
      <c r="T189" s="60">
        <f t="shared" si="53"/>
        <v>89.216113310959045</v>
      </c>
      <c r="U189" s="60">
        <f t="shared" si="53"/>
        <v>61.130286986388768</v>
      </c>
      <c r="V189" s="60">
        <f t="shared" si="53"/>
        <v>71.124009104963577</v>
      </c>
    </row>
    <row r="190" spans="3:22" x14ac:dyDescent="0.2">
      <c r="C190" s="88" t="s">
        <v>144</v>
      </c>
      <c r="D190" s="62">
        <f t="shared" ref="D190:V190" si="54">+IFERROR(IF(D151&gt;0,+((D151/D34)*100)," "),"")</f>
        <v>99.263490831027298</v>
      </c>
      <c r="E190" s="62">
        <f t="shared" si="54"/>
        <v>96.940333237019686</v>
      </c>
      <c r="F190" s="62">
        <f t="shared" si="54"/>
        <v>94.633855923103425</v>
      </c>
      <c r="G190" s="62">
        <f t="shared" si="54"/>
        <v>98.299344578135205</v>
      </c>
      <c r="H190" s="62">
        <f t="shared" si="54"/>
        <v>86.516142410109694</v>
      </c>
      <c r="I190" s="62">
        <f t="shared" si="54"/>
        <v>98.716395879100233</v>
      </c>
      <c r="J190" s="62">
        <f t="shared" si="54"/>
        <v>97.095924938266364</v>
      </c>
      <c r="K190" s="62">
        <f t="shared" si="54"/>
        <v>98.892013003037832</v>
      </c>
      <c r="L190" s="62">
        <f t="shared" si="54"/>
        <v>98.618307559200687</v>
      </c>
      <c r="M190" s="62">
        <f t="shared" si="54"/>
        <v>97.171539256583401</v>
      </c>
      <c r="N190" s="62">
        <f t="shared" si="54"/>
        <v>96.976821352833227</v>
      </c>
      <c r="O190" s="62">
        <f t="shared" si="54"/>
        <v>95.967363606577507</v>
      </c>
      <c r="P190" s="62">
        <f t="shared" si="54"/>
        <v>97.957057060319215</v>
      </c>
      <c r="Q190" s="62">
        <f t="shared" si="54"/>
        <v>99.31896347922418</v>
      </c>
      <c r="R190" s="62">
        <f t="shared" si="54"/>
        <v>99.515120965483632</v>
      </c>
      <c r="S190" s="62">
        <f t="shared" si="54"/>
        <v>99.259482759956782</v>
      </c>
      <c r="T190" s="62">
        <f t="shared" si="54"/>
        <v>98.645028234825332</v>
      </c>
      <c r="U190" s="62">
        <f t="shared" si="54"/>
        <v>98.275853250997145</v>
      </c>
      <c r="V190" s="62">
        <f t="shared" si="54"/>
        <v>98.513890170793246</v>
      </c>
    </row>
    <row r="191" spans="3:22" x14ac:dyDescent="0.2">
      <c r="C191" s="87" t="s">
        <v>145</v>
      </c>
      <c r="D191" s="60">
        <f t="shared" ref="D191:V191" si="55">+IFERROR(IF(D152&gt;0,+((D152/D35)*100)," "),"")</f>
        <v>96.777724182383395</v>
      </c>
      <c r="E191" s="60">
        <f t="shared" si="55"/>
        <v>69.954279243820096</v>
      </c>
      <c r="F191" s="60">
        <f t="shared" si="55"/>
        <v>76.469508461653874</v>
      </c>
      <c r="G191" s="60">
        <f t="shared" si="55"/>
        <v>72.04853568584349</v>
      </c>
      <c r="H191" s="60">
        <f t="shared" si="55"/>
        <v>86.371541759280461</v>
      </c>
      <c r="I191" s="60">
        <f t="shared" si="55"/>
        <v>94.141268273647825</v>
      </c>
      <c r="J191" s="60">
        <f t="shared" si="55"/>
        <v>85.116892630020445</v>
      </c>
      <c r="K191" s="60">
        <f t="shared" si="55"/>
        <v>90.605774444618319</v>
      </c>
      <c r="L191" s="60">
        <f t="shared" si="55"/>
        <v>92.384096635804951</v>
      </c>
      <c r="M191" s="60">
        <f t="shared" si="55"/>
        <v>94.624464369384967</v>
      </c>
      <c r="N191" s="60">
        <f t="shared" si="55"/>
        <v>96.587530133183392</v>
      </c>
      <c r="O191" s="60">
        <f t="shared" si="55"/>
        <v>89.022556551314736</v>
      </c>
      <c r="P191" s="60">
        <f t="shared" si="55"/>
        <v>90.488831100375648</v>
      </c>
      <c r="Q191" s="60">
        <f t="shared" si="55"/>
        <v>87.599169256123474</v>
      </c>
      <c r="R191" s="60">
        <f t="shared" si="55"/>
        <v>93.52929211531152</v>
      </c>
      <c r="S191" s="60">
        <f t="shared" si="55"/>
        <v>91.410349432903729</v>
      </c>
      <c r="T191" s="60">
        <f t="shared" si="55"/>
        <v>93.941604354542378</v>
      </c>
      <c r="U191" s="60">
        <f t="shared" si="55"/>
        <v>94.619010876522182</v>
      </c>
      <c r="V191" s="60">
        <f t="shared" si="55"/>
        <v>97.076186406169541</v>
      </c>
    </row>
    <row r="192" spans="3:22" x14ac:dyDescent="0.2">
      <c r="C192" s="88" t="s">
        <v>146</v>
      </c>
      <c r="D192" s="62">
        <f t="shared" ref="D192:V192" si="56">+IFERROR(IF(D153&gt;0,+((D153/D36)*100)," "),"")</f>
        <v>93.932892653631527</v>
      </c>
      <c r="E192" s="62">
        <f t="shared" si="56"/>
        <v>93.064891918990384</v>
      </c>
      <c r="F192" s="62">
        <f t="shared" si="56"/>
        <v>92.900815555502049</v>
      </c>
      <c r="G192" s="62">
        <f t="shared" si="56"/>
        <v>96.114473389006292</v>
      </c>
      <c r="H192" s="62">
        <f t="shared" si="56"/>
        <v>88.223415307639684</v>
      </c>
      <c r="I192" s="62">
        <f t="shared" si="56"/>
        <v>86.27841251130819</v>
      </c>
      <c r="J192" s="62">
        <f t="shared" si="56"/>
        <v>87.336573071393715</v>
      </c>
      <c r="K192" s="62">
        <f t="shared" si="56"/>
        <v>85.26068025759092</v>
      </c>
      <c r="L192" s="62">
        <f t="shared" si="56"/>
        <v>88.955712534786542</v>
      </c>
      <c r="M192" s="62">
        <f t="shared" si="56"/>
        <v>94.242261754405504</v>
      </c>
      <c r="N192" s="62">
        <f t="shared" si="56"/>
        <v>84.50247944733141</v>
      </c>
      <c r="O192" s="62">
        <f t="shared" si="56"/>
        <v>95.854802719051179</v>
      </c>
      <c r="P192" s="62">
        <f t="shared" si="56"/>
        <v>96.265795108244163</v>
      </c>
      <c r="Q192" s="62">
        <f t="shared" si="56"/>
        <v>98.84341337152965</v>
      </c>
      <c r="R192" s="62">
        <f t="shared" si="56"/>
        <v>98.040001710705823</v>
      </c>
      <c r="S192" s="62">
        <f t="shared" si="56"/>
        <v>98.638084136564615</v>
      </c>
      <c r="T192" s="62">
        <f t="shared" si="56"/>
        <v>98.043780733616231</v>
      </c>
      <c r="U192" s="62">
        <f t="shared" si="56"/>
        <v>96.045673959183887</v>
      </c>
      <c r="V192" s="62">
        <f t="shared" si="56"/>
        <v>89.149462831099342</v>
      </c>
    </row>
    <row r="193" spans="3:24" x14ac:dyDescent="0.2">
      <c r="C193" s="90" t="s">
        <v>147</v>
      </c>
      <c r="D193" s="61">
        <f t="shared" ref="D193:V193" si="57">+IFERROR(IF(D154&gt;0,+((D154/D37)*100)," "),"")</f>
        <v>96.12740038770896</v>
      </c>
      <c r="E193" s="61">
        <f t="shared" si="57"/>
        <v>97.594499906998877</v>
      </c>
      <c r="F193" s="61">
        <f t="shared" si="57"/>
        <v>98.264018546496018</v>
      </c>
      <c r="G193" s="61">
        <f t="shared" si="57"/>
        <v>96.389883335108081</v>
      </c>
      <c r="H193" s="61">
        <f t="shared" si="57"/>
        <v>92.295499780364793</v>
      </c>
      <c r="I193" s="61">
        <f t="shared" si="57"/>
        <v>93.377540395005681</v>
      </c>
      <c r="J193" s="61">
        <f t="shared" si="57"/>
        <v>95.418881645717562</v>
      </c>
      <c r="K193" s="61">
        <f t="shared" si="57"/>
        <v>97.106854387030808</v>
      </c>
      <c r="L193" s="61">
        <f t="shared" si="57"/>
        <v>99.572739563114538</v>
      </c>
      <c r="M193" s="61">
        <f t="shared" si="57"/>
        <v>94.591350831090836</v>
      </c>
      <c r="N193" s="61">
        <f t="shared" si="57"/>
        <v>86.703969496910787</v>
      </c>
      <c r="O193" s="61">
        <f t="shared" si="57"/>
        <v>98.576540500324967</v>
      </c>
      <c r="P193" s="61">
        <f t="shared" si="57"/>
        <v>97.930656133513367</v>
      </c>
      <c r="Q193" s="61">
        <f t="shared" si="57"/>
        <v>98.360124551442325</v>
      </c>
      <c r="R193" s="61">
        <f t="shared" si="57"/>
        <v>94.310259675745129</v>
      </c>
      <c r="S193" s="61">
        <f t="shared" si="57"/>
        <v>87.036145883881346</v>
      </c>
      <c r="T193" s="61">
        <f t="shared" si="57"/>
        <v>89.26121336134446</v>
      </c>
      <c r="U193" s="61">
        <f t="shared" si="57"/>
        <v>92.766116863432941</v>
      </c>
      <c r="V193" s="61">
        <f t="shared" si="57"/>
        <v>90.63801838977939</v>
      </c>
    </row>
    <row r="194" spans="3:24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77.857542494365106</v>
      </c>
    </row>
    <row r="195" spans="3:24" x14ac:dyDescent="0.2">
      <c r="C195" s="87" t="s">
        <v>149</v>
      </c>
      <c r="D195" s="60">
        <f t="shared" ref="D195:V195" si="59">+IFERROR(IF(D156&gt;0,+((D156/D39)*100)," "),"")</f>
        <v>42.506314748409572</v>
      </c>
      <c r="E195" s="60">
        <f t="shared" si="59"/>
        <v>41.798769832856294</v>
      </c>
      <c r="F195" s="60">
        <f t="shared" si="59"/>
        <v>46.117417039601037</v>
      </c>
      <c r="G195" s="60">
        <f t="shared" si="59"/>
        <v>58.41779235318937</v>
      </c>
      <c r="H195" s="60">
        <f t="shared" si="59"/>
        <v>53.453359065655057</v>
      </c>
      <c r="I195" s="60">
        <f t="shared" si="59"/>
        <v>26.69170915320888</v>
      </c>
      <c r="J195" s="60">
        <f t="shared" si="59"/>
        <v>49.495619198071942</v>
      </c>
      <c r="K195" s="60">
        <f t="shared" si="59"/>
        <v>54.978805513238086</v>
      </c>
      <c r="L195" s="60">
        <f t="shared" si="59"/>
        <v>61.899379513331233</v>
      </c>
      <c r="M195" s="60">
        <f t="shared" si="59"/>
        <v>52.701578311450639</v>
      </c>
      <c r="N195" s="60">
        <f t="shared" si="59"/>
        <v>70.93217829283563</v>
      </c>
      <c r="O195" s="60">
        <f t="shared" si="59"/>
        <v>74.109076785722834</v>
      </c>
      <c r="P195" s="60">
        <f t="shared" si="59"/>
        <v>93.126112252288934</v>
      </c>
      <c r="Q195" s="60">
        <f t="shared" si="59"/>
        <v>71.16541913564896</v>
      </c>
      <c r="R195" s="60">
        <f t="shared" si="59"/>
        <v>75.429183508046549</v>
      </c>
      <c r="S195" s="60">
        <f t="shared" si="59"/>
        <v>85.023005065120927</v>
      </c>
      <c r="T195" s="60">
        <f t="shared" si="59"/>
        <v>92.297322518831635</v>
      </c>
      <c r="U195" s="60">
        <f t="shared" si="59"/>
        <v>96.510938581969896</v>
      </c>
      <c r="V195" s="60">
        <f t="shared" si="59"/>
        <v>80.512989808651767</v>
      </c>
    </row>
    <row r="196" spans="3:24" x14ac:dyDescent="0.2">
      <c r="C196" s="88" t="s">
        <v>150</v>
      </c>
      <c r="D196" s="62">
        <f t="shared" ref="D196:V196" si="60">+IFERROR(IF(D157&gt;0,+((D157/D40)*100)," "),"")</f>
        <v>91.636645189447478</v>
      </c>
      <c r="E196" s="62">
        <f t="shared" si="60"/>
        <v>89.413553034631548</v>
      </c>
      <c r="F196" s="62">
        <f t="shared" si="60"/>
        <v>55.619722365804712</v>
      </c>
      <c r="G196" s="62">
        <f t="shared" si="60"/>
        <v>91.173890371436428</v>
      </c>
      <c r="H196" s="62">
        <f t="shared" si="60"/>
        <v>91.82525211874713</v>
      </c>
      <c r="I196" s="62">
        <f t="shared" si="60"/>
        <v>88.556478022313584</v>
      </c>
      <c r="J196" s="62">
        <f t="shared" si="60"/>
        <v>80.132638437040811</v>
      </c>
      <c r="K196" s="62">
        <f t="shared" si="60"/>
        <v>85.082978350148991</v>
      </c>
      <c r="L196" s="62">
        <f t="shared" si="60"/>
        <v>87.35135893436707</v>
      </c>
      <c r="M196" s="62">
        <f t="shared" si="60"/>
        <v>86.785190836659993</v>
      </c>
      <c r="N196" s="62">
        <f t="shared" si="60"/>
        <v>86.362344732487756</v>
      </c>
      <c r="O196" s="62">
        <f t="shared" si="60"/>
        <v>83.502019132557763</v>
      </c>
      <c r="P196" s="62">
        <f t="shared" si="60"/>
        <v>90.468043514851061</v>
      </c>
      <c r="Q196" s="62">
        <f t="shared" si="60"/>
        <v>88.978425285432905</v>
      </c>
      <c r="R196" s="62">
        <f t="shared" si="60"/>
        <v>92.614427635939037</v>
      </c>
      <c r="S196" s="62">
        <f t="shared" si="60"/>
        <v>93.444563974679795</v>
      </c>
      <c r="T196" s="62">
        <f t="shared" si="60"/>
        <v>93.763929006322002</v>
      </c>
      <c r="U196" s="62">
        <f t="shared" si="60"/>
        <v>90.350715357864402</v>
      </c>
      <c r="V196" s="62">
        <f t="shared" si="60"/>
        <v>94.331301040240163</v>
      </c>
    </row>
    <row r="197" spans="3:24" x14ac:dyDescent="0.2">
      <c r="C197" s="87" t="s">
        <v>151</v>
      </c>
      <c r="D197" s="60">
        <f t="shared" ref="D197:V197" si="61">+IFERROR(IF(D158&gt;0,+((D158/D41)*100)," "),"")</f>
        <v>84.651212371204338</v>
      </c>
      <c r="E197" s="60">
        <f t="shared" si="61"/>
        <v>79.75281905333334</v>
      </c>
      <c r="F197" s="60">
        <f t="shared" si="61"/>
        <v>75.120035506425694</v>
      </c>
      <c r="G197" s="60">
        <f t="shared" si="61"/>
        <v>69.199166705532278</v>
      </c>
      <c r="H197" s="60">
        <f t="shared" si="61"/>
        <v>57.021147527504347</v>
      </c>
      <c r="I197" s="60">
        <f t="shared" si="61"/>
        <v>78.64166061710327</v>
      </c>
      <c r="J197" s="60">
        <f t="shared" si="61"/>
        <v>58.826889356083242</v>
      </c>
      <c r="K197" s="60">
        <f t="shared" si="61"/>
        <v>66.44341284444107</v>
      </c>
      <c r="L197" s="60">
        <f t="shared" si="61"/>
        <v>81.411518646117969</v>
      </c>
      <c r="M197" s="60">
        <f t="shared" si="61"/>
        <v>91.783631067508935</v>
      </c>
      <c r="N197" s="60">
        <f t="shared" si="61"/>
        <v>73.296600735750957</v>
      </c>
      <c r="O197" s="60">
        <f t="shared" si="61"/>
        <v>98.235080078438557</v>
      </c>
      <c r="P197" s="60">
        <f t="shared" si="61"/>
        <v>99.260628206933106</v>
      </c>
      <c r="Q197" s="60">
        <f t="shared" si="61"/>
        <v>99.654572508100074</v>
      </c>
      <c r="R197" s="60">
        <f t="shared" si="61"/>
        <v>99.619142831391358</v>
      </c>
      <c r="S197" s="60">
        <f t="shared" si="61"/>
        <v>99.066646912329929</v>
      </c>
      <c r="T197" s="60">
        <f t="shared" si="61"/>
        <v>99.895084455319179</v>
      </c>
      <c r="U197" s="60">
        <f t="shared" si="61"/>
        <v>99.934895464106205</v>
      </c>
      <c r="V197" s="60">
        <f t="shared" si="61"/>
        <v>99.690632090109304</v>
      </c>
    </row>
    <row r="198" spans="3:24" x14ac:dyDescent="0.2">
      <c r="C198" s="91" t="s">
        <v>179</v>
      </c>
      <c r="D198" s="64">
        <f t="shared" ref="D198:V198" si="62">+IFERROR(IF(D159&gt;0,+((D159/D42)*100)," "),"")</f>
        <v>93.055380528904024</v>
      </c>
      <c r="E198" s="64">
        <f t="shared" si="62"/>
        <v>93.693791271244194</v>
      </c>
      <c r="F198" s="64">
        <f t="shared" si="62"/>
        <v>93.029131508753522</v>
      </c>
      <c r="G198" s="64">
        <f t="shared" si="62"/>
        <v>92.866897529865383</v>
      </c>
      <c r="H198" s="64">
        <f t="shared" si="62"/>
        <v>92.63710885149527</v>
      </c>
      <c r="I198" s="64">
        <f t="shared" si="62"/>
        <v>94.092038877653579</v>
      </c>
      <c r="J198" s="64">
        <f t="shared" si="62"/>
        <v>93.869185167428668</v>
      </c>
      <c r="K198" s="64">
        <f t="shared" si="62"/>
        <v>95.190119753163287</v>
      </c>
      <c r="L198" s="64">
        <f t="shared" si="62"/>
        <v>96.008393508843483</v>
      </c>
      <c r="M198" s="64">
        <f t="shared" si="62"/>
        <v>93.143211644840804</v>
      </c>
      <c r="N198" s="64">
        <f t="shared" si="62"/>
        <v>91.059754703086099</v>
      </c>
      <c r="O198" s="64">
        <f t="shared" si="62"/>
        <v>97.313756453144478</v>
      </c>
      <c r="P198" s="64">
        <f t="shared" si="62"/>
        <v>96.658630987606742</v>
      </c>
      <c r="Q198" s="64">
        <f t="shared" si="62"/>
        <v>96.297526450590539</v>
      </c>
      <c r="R198" s="64">
        <f t="shared" si="62"/>
        <v>93.781172009425077</v>
      </c>
      <c r="S198" s="64">
        <f t="shared" si="62"/>
        <v>94.704798159070265</v>
      </c>
      <c r="T198" s="64">
        <f t="shared" si="62"/>
        <v>94.927919240550068</v>
      </c>
      <c r="U198" s="64">
        <f t="shared" si="62"/>
        <v>95.985197317315922</v>
      </c>
      <c r="V198" s="64">
        <f t="shared" si="62"/>
        <v>93.991639317717599</v>
      </c>
    </row>
    <row r="199" spans="3:24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customHeight="1" x14ac:dyDescent="0.2">
      <c r="C203" s="9"/>
      <c r="D203" s="155" t="s">
        <v>184</v>
      </c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76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4" ht="12" customHeight="1" thickBot="1" x14ac:dyDescent="0.25">
      <c r="C206" s="160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4" x14ac:dyDescent="0.2">
      <c r="C207" s="87" t="s">
        <v>123</v>
      </c>
      <c r="D207" s="56">
        <f>203.42012966399*Deflactores!$A$5</f>
        <v>757.47817606033948</v>
      </c>
      <c r="E207" s="56">
        <f>215.43266308491*Deflactores!$B$5</f>
        <v>745.21322931488669</v>
      </c>
      <c r="F207" s="56">
        <f>214.41116663914*Deflactores!$C$5</f>
        <v>693.21148251003342</v>
      </c>
      <c r="G207" s="56">
        <f>246.5802125185*Deflactores!$D$5</f>
        <v>748.62131745362194</v>
      </c>
      <c r="H207" s="56">
        <f>224.24380381981*Deflactores!$E$5</f>
        <v>645.33375162851644</v>
      </c>
      <c r="I207" s="56">
        <f>238.93368253628*Deflactores!$F$5</f>
        <v>655.76989461610344</v>
      </c>
      <c r="J207" s="56">
        <f>326.8666721904*Deflactores!$G$5</f>
        <v>858.65776987344702</v>
      </c>
      <c r="K207" s="56">
        <f>398.54082528292*Deflactores!$H$5</f>
        <v>990.53550954318382</v>
      </c>
      <c r="L207" s="56">
        <f>693.37676155385*Deflactores!$I$5</f>
        <v>1600.4944429716295</v>
      </c>
      <c r="M207" s="56">
        <f>325.95333482921*Deflactores!$J$5</f>
        <v>737.61959827554608</v>
      </c>
      <c r="N207" s="56">
        <f>386.68772709187*Deflactores!$K$5</f>
        <v>848.16204017266409</v>
      </c>
      <c r="O207" s="56">
        <f>273.18950848464*Deflactores!$L$5</f>
        <v>577.68615685039811</v>
      </c>
      <c r="P207" s="56">
        <f>335.19802620022*Deflactores!$M$5</f>
        <v>691.92628139473186</v>
      </c>
      <c r="Q207" s="56">
        <f>1152.54949047893*Deflactores!$N$5</f>
        <v>2333.8520851636126</v>
      </c>
      <c r="R207" s="56">
        <f>364.655578339079*Deflactores!$O$5</f>
        <v>712.33683428570771</v>
      </c>
      <c r="S207" s="56">
        <f>482.688070156599*Deflactores!$P$5</f>
        <v>883.12028960346777</v>
      </c>
      <c r="T207" s="56">
        <f>469.91934784222*Deflactores!$Q$5</f>
        <v>813.01067496985615</v>
      </c>
      <c r="U207" s="56">
        <f>493.78019810683*Deflactores!$R$5</f>
        <v>820.72484875544683</v>
      </c>
      <c r="V207" s="56">
        <f>541.582339447756*Deflactores!$S$5</f>
        <v>872.43460480214446</v>
      </c>
      <c r="X207" s="14"/>
    </row>
    <row r="208" spans="3:24" x14ac:dyDescent="0.2">
      <c r="C208" s="88" t="s">
        <v>124</v>
      </c>
      <c r="D208" s="57">
        <f>77.9205900544899*Deflactores!$A$5</f>
        <v>290.15391214977132</v>
      </c>
      <c r="E208" s="57">
        <f>86.69498750176*Deflactores!$B$5</f>
        <v>299.89069752220718</v>
      </c>
      <c r="F208" s="57">
        <f>88.51588976996*Deflactores!$C$5</f>
        <v>286.18020290146387</v>
      </c>
      <c r="G208" s="57">
        <f>93.3216623667799*Deflactores!$D$5</f>
        <v>283.32600217359021</v>
      </c>
      <c r="H208" s="57">
        <f>98.6642969653599*Deflactores!$E$5</f>
        <v>283.93828425961141</v>
      </c>
      <c r="I208" s="57">
        <f>107.57368463658*Deflactores!$F$5</f>
        <v>295.24336246265563</v>
      </c>
      <c r="J208" s="57">
        <f>111.37607583569*Deflactores!$G$5</f>
        <v>292.57780321703365</v>
      </c>
      <c r="K208" s="57">
        <f>119.61262557922*Deflactores!$H$5</f>
        <v>297.28586260090827</v>
      </c>
      <c r="L208" s="57">
        <f>1042.77443049745*Deflactores!$I$5</f>
        <v>2406.9954083029334</v>
      </c>
      <c r="M208" s="57">
        <f>1250.18980882238*Deflactores!$J$5</f>
        <v>2829.1304491022706</v>
      </c>
      <c r="N208" s="57">
        <f>1349.56004971955*Deflactores!$K$5</f>
        <v>2960.1291298125648</v>
      </c>
      <c r="O208" s="57">
        <f>1088.63916073869*Deflactores!$L$5</f>
        <v>2302.0348638290984</v>
      </c>
      <c r="P208" s="57">
        <f>192.488849380829*Deflactores!$M$5</f>
        <v>397.34152158304158</v>
      </c>
      <c r="Q208" s="57">
        <f>229.53194006235*Deflactores!$N$5</f>
        <v>464.79010346320393</v>
      </c>
      <c r="R208" s="57">
        <f>253.06962329898*Deflactores!$O$5</f>
        <v>494.35912960872128</v>
      </c>
      <c r="S208" s="57">
        <f>254.27197165348*Deflactores!$P$5</f>
        <v>465.21294212184307</v>
      </c>
      <c r="T208" s="57">
        <f>270.92976095307*Deflactores!$Q$5</f>
        <v>468.73743086618896</v>
      </c>
      <c r="U208" s="57">
        <f>283.78696571974*Deflactores!$R$5</f>
        <v>471.68966153784515</v>
      </c>
      <c r="V208" s="57">
        <f>305.95697301939*Deflactores!$S$5</f>
        <v>492.86586987827945</v>
      </c>
      <c r="X208" s="14"/>
    </row>
    <row r="209" spans="3:24" x14ac:dyDescent="0.2">
      <c r="C209" s="87" t="s">
        <v>125</v>
      </c>
      <c r="D209" s="56">
        <f>7.4800009024*Deflactores!$A$5</f>
        <v>27.85337640792314</v>
      </c>
      <c r="E209" s="56">
        <f>5.004461224*Deflactores!$B$5</f>
        <v>17.311166544175705</v>
      </c>
      <c r="F209" s="56">
        <f>5.552895033*Deflactores!$C$5</f>
        <v>17.953032290184133</v>
      </c>
      <c r="G209" s="56">
        <f>5.77523603946*Deflactores!$D$5</f>
        <v>17.533705435272143</v>
      </c>
      <c r="H209" s="56">
        <f>5.70175097836*Deflactores!$E$5</f>
        <v>16.408624394693611</v>
      </c>
      <c r="I209" s="56">
        <f>5.93439640719999*Deflactores!$F$5</f>
        <v>16.287358338307179</v>
      </c>
      <c r="J209" s="56">
        <f>6.3373701568*Deflactores!$G$5</f>
        <v>16.647864675939406</v>
      </c>
      <c r="K209" s="56">
        <f>6.388483793*Deflactores!$H$5</f>
        <v>15.877971960878615</v>
      </c>
      <c r="L209" s="56">
        <f>7.47600408475*Deflactores!$I$5</f>
        <v>17.256567650841745</v>
      </c>
      <c r="M209" s="56">
        <f>8.78841807898*Deflactores!$J$5</f>
        <v>19.887845038589401</v>
      </c>
      <c r="N209" s="56">
        <f>8.76900223808*Deflactores!$K$5</f>
        <v>19.233956258357193</v>
      </c>
      <c r="O209" s="56">
        <f>9.162576116*Deflactores!$L$5</f>
        <v>19.375170784052603</v>
      </c>
      <c r="P209" s="56">
        <f>11.89081820297*Deflactores!$M$5</f>
        <v>24.545399969053936</v>
      </c>
      <c r="Q209" s="56">
        <f>15.49360572838*Deflactores!$N$5</f>
        <v>31.373736515953627</v>
      </c>
      <c r="R209" s="56">
        <f>19.91089945656*Deflactores!$O$5</f>
        <v>38.894968099126402</v>
      </c>
      <c r="S209" s="56">
        <f>19.39479378514*Deflactores!$P$5</f>
        <v>35.484481517795828</v>
      </c>
      <c r="T209" s="56">
        <f>20.15224293803*Deflactores!$Q$5</f>
        <v>34.865533220618467</v>
      </c>
      <c r="U209" s="56">
        <f>21.13743153684*Deflactores!$R$5</f>
        <v>35.133072099011862</v>
      </c>
      <c r="V209" s="56">
        <f>21.83056839667*Deflactores!$S$5</f>
        <v>35.166847078462077</v>
      </c>
      <c r="X209" s="14"/>
    </row>
    <row r="210" spans="3:24" x14ac:dyDescent="0.2">
      <c r="C210" s="88" t="s">
        <v>126</v>
      </c>
      <c r="D210" s="57">
        <f>126.35138742005*Deflactores!$A$5</f>
        <v>470.4963006548283</v>
      </c>
      <c r="E210" s="57">
        <f>139.75233909396*Deflactores!$B$5</f>
        <v>483.42387096366861</v>
      </c>
      <c r="F210" s="57">
        <f>144.16475233158*Deflactores!$C$5</f>
        <v>466.09821333448815</v>
      </c>
      <c r="G210" s="57">
        <f>141.518099859059*Deflactores!$D$5</f>
        <v>429.65112763082493</v>
      </c>
      <c r="H210" s="57">
        <f>140.67530186146*Deflactores!$E$5</f>
        <v>404.83847832280736</v>
      </c>
      <c r="I210" s="57">
        <f>162.56239130923*Deflactores!$F$5</f>
        <v>446.16364292300528</v>
      </c>
      <c r="J210" s="57">
        <f>198.64574374223*Deflactores!$G$5</f>
        <v>521.82961992894491</v>
      </c>
      <c r="K210" s="57">
        <f>222.001088368069*Deflactores!$H$5</f>
        <v>551.76269841289627</v>
      </c>
      <c r="L210" s="57">
        <f>228.07243461374*Deflactores!$I$5</f>
        <v>526.45067506484622</v>
      </c>
      <c r="M210" s="57">
        <f>264.168005071989*Deflactores!$J$5</f>
        <v>597.80182301417938</v>
      </c>
      <c r="N210" s="57">
        <f>223.51822613973*Deflactores!$K$5</f>
        <v>490.26555904477306</v>
      </c>
      <c r="O210" s="57">
        <f>334.26549073021*Deflactores!$L$5</f>
        <v>706.83734444547463</v>
      </c>
      <c r="P210" s="57">
        <f>441.211806218179*Deflactores!$M$5</f>
        <v>910.76325193408093</v>
      </c>
      <c r="Q210" s="57">
        <f>563.263053337169*Deflactores!$N$5</f>
        <v>1140.578050995726</v>
      </c>
      <c r="R210" s="57">
        <f>533.486736984278*Deflactores!$O$5</f>
        <v>1042.1402439192213</v>
      </c>
      <c r="S210" s="57">
        <f>520.525268224159*Deflactores!$P$5</f>
        <v>952.34677225584949</v>
      </c>
      <c r="T210" s="57">
        <f>527.61709736037*Deflactores!$Q$5</f>
        <v>912.83394569788538</v>
      </c>
      <c r="U210" s="57">
        <f>568.70561837112*Deflactores!$R$5</f>
        <v>945.26032921844319</v>
      </c>
      <c r="V210" s="57">
        <f>561.847212245629*Deflactores!$S$5</f>
        <v>905.0792739558799</v>
      </c>
      <c r="X210" s="14"/>
    </row>
    <row r="211" spans="3:24" x14ac:dyDescent="0.2">
      <c r="C211" s="87" t="s">
        <v>127</v>
      </c>
      <c r="D211" s="56">
        <f>162.36267304875*Deflactores!$A$5</f>
        <v>604.59199217106652</v>
      </c>
      <c r="E211" s="56">
        <f>176.212293919919*Deflactores!$B$5</f>
        <v>609.54421078335008</v>
      </c>
      <c r="F211" s="56">
        <f>183.29421470424*Deflactores!$C$5</f>
        <v>592.60744812086625</v>
      </c>
      <c r="G211" s="56">
        <f>202.09252200271*Deflactores!$D$5</f>
        <v>613.5560048551871</v>
      </c>
      <c r="H211" s="56">
        <f>212.161283088139*Deflactores!$E$5</f>
        <v>610.56240767127588</v>
      </c>
      <c r="I211" s="56">
        <f>231.94569825457*Deflactores!$F$5</f>
        <v>636.59089202696396</v>
      </c>
      <c r="J211" s="56">
        <f>242.99062646452*Deflactores!$G$5</f>
        <v>638.32078083090801</v>
      </c>
      <c r="K211" s="56">
        <f>268.66944381075*Deflactores!$H$5</f>
        <v>667.75247989925379</v>
      </c>
      <c r="L211" s="56">
        <f>289.04270815675*Deflactores!$I$5</f>
        <v>667.18597137527649</v>
      </c>
      <c r="M211" s="56">
        <f>316.38868377417*Deflactores!$J$5</f>
        <v>715.97516849064743</v>
      </c>
      <c r="N211" s="56">
        <f>328.814223517069*Deflactores!$K$5</f>
        <v>721.22212089179902</v>
      </c>
      <c r="O211" s="56">
        <f>345.454967359439*Deflactores!$L$5</f>
        <v>730.49859625181955</v>
      </c>
      <c r="P211" s="56">
        <f>367.166575577604*Deflactores!$M$5</f>
        <v>757.91676392539148</v>
      </c>
      <c r="Q211" s="56">
        <f>382.795632382603*Deflactores!$N$5</f>
        <v>775.14101755094566</v>
      </c>
      <c r="R211" s="56">
        <f>396.431686182995*Deflactores!$O$5</f>
        <v>774.40990655449036</v>
      </c>
      <c r="S211" s="56">
        <f>406.117934026556*Deflactores!$P$5</f>
        <v>743.02848917383983</v>
      </c>
      <c r="T211" s="56">
        <f>433.734510099165*Deflactores!$Q$5</f>
        <v>750.40703991579687</v>
      </c>
      <c r="U211" s="56">
        <f>469.19364448913*Deflactores!$R$5</f>
        <v>779.85890156544053</v>
      </c>
      <c r="V211" s="56">
        <f>494.88406861495*Deflactores!$S$5</f>
        <v>797.20839358464832</v>
      </c>
      <c r="X211" s="14"/>
    </row>
    <row r="212" spans="3:24" x14ac:dyDescent="0.2">
      <c r="C212" s="88" t="s">
        <v>128</v>
      </c>
      <c r="D212" s="57">
        <f>33.36610314761*Deflactores!$A$5</f>
        <v>124.2457911920546</v>
      </c>
      <c r="E212" s="57">
        <f>38.8518648759599*Deflactores!$B$5</f>
        <v>134.39430806139308</v>
      </c>
      <c r="F212" s="57">
        <f>37.63687024671*Deflactores!$C$5</f>
        <v>121.68354395771898</v>
      </c>
      <c r="G212" s="57">
        <f>44.49025068571*Deflactores!$D$5</f>
        <v>135.07308531368582</v>
      </c>
      <c r="H212" s="57">
        <f>48.32295488074*Deflactores!$E$5</f>
        <v>139.06486258153902</v>
      </c>
      <c r="I212" s="57">
        <f>61.0631337512099*Deflactores!$F$5</f>
        <v>167.59196258936706</v>
      </c>
      <c r="J212" s="57">
        <f>67.41415295408*Deflactores!$G$5</f>
        <v>177.09265323856371</v>
      </c>
      <c r="K212" s="57">
        <f>77.09697757928*Deflactores!$H$5</f>
        <v>191.61724251591835</v>
      </c>
      <c r="L212" s="57">
        <f>92.57426386364*Deflactores!$I$5</f>
        <v>213.68555032607361</v>
      </c>
      <c r="M212" s="57">
        <f>93.68625757796*Deflactores!$J$5</f>
        <v>212.00832234099735</v>
      </c>
      <c r="N212" s="57">
        <f>103.166411195919*Deflactores!$K$5</f>
        <v>226.28552102051529</v>
      </c>
      <c r="O212" s="57">
        <f>112.22748436477*Deflactores!$L$5</f>
        <v>237.31608323940193</v>
      </c>
      <c r="P212" s="57">
        <f>137.7190668195*Deflactores!$M$5</f>
        <v>284.28401820197445</v>
      </c>
      <c r="Q212" s="57">
        <f>198.14356540866*Deflactores!$N$5</f>
        <v>401.23029606181387</v>
      </c>
      <c r="R212" s="57">
        <f>189.05113928826*Deflactores!$O$5</f>
        <v>369.30215271102452</v>
      </c>
      <c r="S212" s="57">
        <f>213.70349533202*Deflactores!$P$5</f>
        <v>390.98934561539568</v>
      </c>
      <c r="T212" s="57">
        <f>199.120324314379*Deflactores!$Q$5</f>
        <v>344.49943381647063</v>
      </c>
      <c r="U212" s="57">
        <f>197.92209197841*Deflactores!$R$5</f>
        <v>328.97143228331356</v>
      </c>
      <c r="V212" s="57">
        <f>251.105010878539*Deflactores!$S$5</f>
        <v>404.50488314120759</v>
      </c>
      <c r="X212" s="14"/>
    </row>
    <row r="213" spans="3:24" x14ac:dyDescent="0.2">
      <c r="C213" s="87" t="s">
        <v>129</v>
      </c>
      <c r="D213" s="56">
        <f>5292.24291526974*Deflactores!$A$5</f>
        <v>19706.793606652674</v>
      </c>
      <c r="E213" s="56">
        <f>6319.07822740228*Deflactores!$B$5</f>
        <v>21858.619880123879</v>
      </c>
      <c r="F213" s="56">
        <f>6875.27540888813*Deflactores!$C$5</f>
        <v>22228.412510256341</v>
      </c>
      <c r="G213" s="56">
        <f>7899.51299098113*Deflactores!$D$5</f>
        <v>23983.042930124044</v>
      </c>
      <c r="H213" s="56">
        <f>8776.41684437683*Deflactores!$E$5</f>
        <v>25256.965461522665</v>
      </c>
      <c r="I213" s="56">
        <f>9866.67998904248*Deflactores!$F$5</f>
        <v>27079.780581554256</v>
      </c>
      <c r="J213" s="56">
        <f>10883.0307968638*Deflactores!$G$5</f>
        <v>28589.02344150818</v>
      </c>
      <c r="K213" s="56">
        <f>12888.538544303*Deflactores!$H$5</f>
        <v>32033.242981281259</v>
      </c>
      <c r="L213" s="56">
        <f>14567.1113134319*Deflactores!$I$5</f>
        <v>33624.692951995079</v>
      </c>
      <c r="M213" s="56">
        <f>16292.6914134021*Deflactores!$J$5</f>
        <v>36869.72094173565</v>
      </c>
      <c r="N213" s="56">
        <f>17785.5995190019*Deflactores!$K$5</f>
        <v>39010.988238958678</v>
      </c>
      <c r="O213" s="56">
        <f>19126.1299425501*Deflactores!$L$5</f>
        <v>40444.087927169843</v>
      </c>
      <c r="P213" s="56">
        <f>20762.5034755085*Deflactores!$M$5</f>
        <v>42858.611027955878</v>
      </c>
      <c r="Q213" s="56">
        <f>22352.9136184808*Deflactores!$N$5</f>
        <v>45263.474140529528</v>
      </c>
      <c r="R213" s="56">
        <f>23326.1275752028*Deflactores!$O$5</f>
        <v>45566.449164844227</v>
      </c>
      <c r="S213" s="56">
        <f>24233.5162276841*Deflactores!$P$5</f>
        <v>44337.34992074599</v>
      </c>
      <c r="T213" s="56">
        <f>26023.5433159473*Deflactores!$Q$5</f>
        <v>45023.510126910995</v>
      </c>
      <c r="U213" s="56">
        <f>27369.0924150468*Deflactores!$R$5</f>
        <v>45490.876950989717</v>
      </c>
      <c r="V213" s="56">
        <f>29186.9672012795*Deflactores!$S$5</f>
        <v>47017.264672231446</v>
      </c>
      <c r="X213" s="14"/>
    </row>
    <row r="214" spans="3:24" x14ac:dyDescent="0.2">
      <c r="C214" s="88" t="s">
        <v>130</v>
      </c>
      <c r="D214" s="57">
        <f>6.224247741*Deflactores!$A$5</f>
        <v>23.177312068319772</v>
      </c>
      <c r="E214" s="57">
        <f>6.48643831909*Deflactores!$B$5</f>
        <v>22.437543022971003</v>
      </c>
      <c r="F214" s="57">
        <f>6.15860292044*Deflactores!$C$5</f>
        <v>19.911342900596409</v>
      </c>
      <c r="G214" s="57">
        <f>5.94239688597*Deflactores!$D$5</f>
        <v>18.041208336104422</v>
      </c>
      <c r="H214" s="57">
        <f>7.56484476649999*Deflactores!$E$5</f>
        <v>21.770276683210266</v>
      </c>
      <c r="I214" s="57">
        <f>7.897846859*Deflactores!$F$5</f>
        <v>21.676182894950951</v>
      </c>
      <c r="J214" s="57">
        <f>8.28655036723*Deflactores!$G$5</f>
        <v>21.768235992334613</v>
      </c>
      <c r="K214" s="57">
        <f>9.0943573215*Deflactores!$H$5</f>
        <v>22.603164574231261</v>
      </c>
      <c r="L214" s="57">
        <f>9.72345936437*Deflactores!$I$5</f>
        <v>22.444280717253335</v>
      </c>
      <c r="M214" s="57">
        <f>10.1987930415*Deflactores!$J$5</f>
        <v>23.079468200895711</v>
      </c>
      <c r="N214" s="57">
        <f>12.57798023542*Deflactores!$K$5</f>
        <v>27.588580216797805</v>
      </c>
      <c r="O214" s="57">
        <f>10.51764083197*Deflactores!$L$5</f>
        <v>22.240588758536418</v>
      </c>
      <c r="P214" s="57">
        <f>15.06537560569*Deflactores!$M$5</f>
        <v>31.098420950824643</v>
      </c>
      <c r="Q214" s="57">
        <f>21.74828914771*Deflactores!$N$5</f>
        <v>44.039141395162545</v>
      </c>
      <c r="R214" s="57">
        <f>23.99024368324*Deflactores!$O$5</f>
        <v>46.863767495067243</v>
      </c>
      <c r="S214" s="57">
        <f>27.1787077522399*Deflactores!$P$5</f>
        <v>49.725836922837352</v>
      </c>
      <c r="T214" s="57">
        <f>57.40816521729*Deflactores!$Q$5</f>
        <v>99.322258950191227</v>
      </c>
      <c r="U214" s="57">
        <f>54.23050693398*Deflactores!$R$5</f>
        <v>90.13792932962555</v>
      </c>
      <c r="V214" s="57">
        <f>36.46642153386*Deflactores!$S$5</f>
        <v>58.743732470823247</v>
      </c>
      <c r="X214" s="14"/>
    </row>
    <row r="215" spans="3:24" x14ac:dyDescent="0.2">
      <c r="C215" s="87" t="s">
        <v>131</v>
      </c>
      <c r="D215" s="56">
        <f>4525.79078903379*Deflactores!$A$5</f>
        <v>16852.745880020288</v>
      </c>
      <c r="E215" s="56">
        <f>7250.96751359888*Deflactores!$B$5</f>
        <v>25082.161818408335</v>
      </c>
      <c r="F215" s="56">
        <f>8100.58100902926*Deflactores!$C$5</f>
        <v>26189.940843485532</v>
      </c>
      <c r="G215" s="56">
        <f>9481.50788126156*Deflactores!$D$5</f>
        <v>28786.003747094619</v>
      </c>
      <c r="H215" s="56">
        <f>10872.7470613413*Deflactores!$E$5</f>
        <v>31289.830675729278</v>
      </c>
      <c r="I215" s="56">
        <f>11912.3974082263*Deflactores!$F$5</f>
        <v>32694.392477843936</v>
      </c>
      <c r="J215" s="56">
        <f>12768.2541125784*Deflactores!$G$5</f>
        <v>33541.38410017451</v>
      </c>
      <c r="K215" s="56">
        <f>13616.5519891653*Deflactores!$H$5</f>
        <v>33842.651510630916</v>
      </c>
      <c r="L215" s="56">
        <f>15023.4152874008*Deflactores!$I$5</f>
        <v>34677.961557372728</v>
      </c>
      <c r="M215" s="56">
        <f>17575.5288142572*Deflactores!$J$5</f>
        <v>39772.731609711758</v>
      </c>
      <c r="N215" s="56">
        <f>19130.1314830883*Deflactores!$K$5</f>
        <v>41960.088750405594</v>
      </c>
      <c r="O215" s="56">
        <f>20553.2729912873*Deflactores!$L$5</f>
        <v>43461.922644446728</v>
      </c>
      <c r="P215" s="56">
        <f>21510.7007810495*Deflactores!$M$5</f>
        <v>44403.063378231098</v>
      </c>
      <c r="Q215" s="56">
        <f>23466.8812583554*Deflactores!$N$5</f>
        <v>47519.20000792441</v>
      </c>
      <c r="R215" s="56">
        <f>24471.7674400186*Deflactores!$O$5</f>
        <v>47804.400599048124</v>
      </c>
      <c r="S215" s="56">
        <f>26493.4579769932*Deflactores!$P$5</f>
        <v>48472.112173082824</v>
      </c>
      <c r="T215" s="56">
        <f>28752.3200118594*Deflactores!$Q$5</f>
        <v>49744.585336034754</v>
      </c>
      <c r="U215" s="56">
        <f>32293.648170316*Deflactores!$R$5</f>
        <v>53676.108543765433</v>
      </c>
      <c r="V215" s="56">
        <f>34666.6615613826*Deflactores!$S$5</f>
        <v>55844.500413278452</v>
      </c>
      <c r="X215" s="14"/>
    </row>
    <row r="216" spans="3:24" x14ac:dyDescent="0.2">
      <c r="C216" s="88" t="s">
        <v>132</v>
      </c>
      <c r="D216" s="57">
        <f>26.48581001095*Deflactores!$A$5</f>
        <v>98.62555437219639</v>
      </c>
      <c r="E216" s="57">
        <f>26.3692258985*Deflactores!$B$5</f>
        <v>91.215026101264243</v>
      </c>
      <c r="F216" s="57">
        <f>30.0931185491699*Deflactores!$C$5</f>
        <v>97.293884688056963</v>
      </c>
      <c r="G216" s="57">
        <f>30.98298108624*Deflactores!$D$5</f>
        <v>94.064807076445533</v>
      </c>
      <c r="H216" s="57">
        <f>29.8308202684399*Deflactores!$E$5</f>
        <v>85.847790797632129</v>
      </c>
      <c r="I216" s="57">
        <f>31.15294615312*Deflactores!$F$5</f>
        <v>85.501399379765786</v>
      </c>
      <c r="J216" s="57">
        <f>38.79691088175*Deflactores!$G$5</f>
        <v>101.91699494005718</v>
      </c>
      <c r="K216" s="57">
        <f>41.43821561205*Deflactores!$H$5</f>
        <v>102.99076383631241</v>
      </c>
      <c r="L216" s="57">
        <f>42.98372513036*Deflactores!$I$5</f>
        <v>99.217650524069796</v>
      </c>
      <c r="M216" s="57">
        <f>41.18396590688*Deflactores!$J$5</f>
        <v>93.197697773344899</v>
      </c>
      <c r="N216" s="57">
        <f>42.98077616109*Deflactores!$K$5</f>
        <v>94.274165542196613</v>
      </c>
      <c r="O216" s="57">
        <f>42.43902201113*Deflactores!$L$5</f>
        <v>89.741497256208035</v>
      </c>
      <c r="P216" s="57">
        <f>48.58657026445*Deflactores!$M$5</f>
        <v>100.29392258033135</v>
      </c>
      <c r="Q216" s="57">
        <f>53.0546764312599*Deflactores!$N$5</f>
        <v>107.4329286851915</v>
      </c>
      <c r="R216" s="57">
        <f>58.9277698738199*Deflactores!$O$5</f>
        <v>115.11251585571885</v>
      </c>
      <c r="S216" s="57">
        <f>60.27436461856*Deflactores!$P$5</f>
        <v>110.27725280290937</v>
      </c>
      <c r="T216" s="57">
        <f>65.6043421592399*Deflactores!$Q$5</f>
        <v>113.5025206873275</v>
      </c>
      <c r="U216" s="57">
        <f>69.0167748833999*Deflactores!$R$5</f>
        <v>114.71456803035294</v>
      </c>
      <c r="V216" s="57">
        <f>75.5182921467199*Deflactores!$S$5</f>
        <v>121.65236302117653</v>
      </c>
      <c r="X216" s="14"/>
    </row>
    <row r="217" spans="3:24" x14ac:dyDescent="0.2">
      <c r="C217" s="87" t="s">
        <v>133</v>
      </c>
      <c r="D217" s="56">
        <f>553.85965850444*Deflactores!$A$5</f>
        <v>2062.4143963055058</v>
      </c>
      <c r="E217" s="56">
        <f>608.06125723718*Deflactores!$B$5</f>
        <v>2103.3732148053687</v>
      </c>
      <c r="F217" s="56">
        <f>627.56286365562*Deflactores!$C$5</f>
        <v>2028.969805547154</v>
      </c>
      <c r="G217" s="56">
        <f>652.247917801349*Deflactores!$D$5</f>
        <v>1980.2347096046617</v>
      </c>
      <c r="H217" s="56">
        <f>704.315085764969*Deflactores!$E$5</f>
        <v>2026.8934475910589</v>
      </c>
      <c r="I217" s="56">
        <f>798.38944527985*Deflactores!$F$5</f>
        <v>2191.2346423333533</v>
      </c>
      <c r="J217" s="56">
        <f>869.63458605359*Deflactores!$G$5</f>
        <v>2284.474245299105</v>
      </c>
      <c r="K217" s="56">
        <f>977.34275265415*Deflactores!$H$5</f>
        <v>2429.0929312232374</v>
      </c>
      <c r="L217" s="56">
        <f>1131.95505996227*Deflactores!$I$5</f>
        <v>2612.8475651581657</v>
      </c>
      <c r="M217" s="56">
        <f>1305.8970352268*Deflactores!$J$5</f>
        <v>2955.1937151308375</v>
      </c>
      <c r="N217" s="56">
        <f>1372.42656172225*Deflactores!$K$5</f>
        <v>3010.2846069923066</v>
      </c>
      <c r="O217" s="56">
        <f>1454.21462116333*Deflactores!$L$5</f>
        <v>3075.0802268921502</v>
      </c>
      <c r="P217" s="56">
        <f>1712.83816785903*Deflactores!$M$5</f>
        <v>3535.6942806391926</v>
      </c>
      <c r="Q217" s="56">
        <f>1962.22725165863*Deflactores!$N$5</f>
        <v>3973.4069562126779</v>
      </c>
      <c r="R217" s="56">
        <f>2247.69982442713*Deflactores!$O$5</f>
        <v>4390.7716554061435</v>
      </c>
      <c r="S217" s="56">
        <f>2493.38857678423*Deflactores!$P$5</f>
        <v>4561.8737610591506</v>
      </c>
      <c r="T217" s="56">
        <f>2817.65371275184*Deflactores!$Q$5</f>
        <v>4874.8419433133176</v>
      </c>
      <c r="U217" s="56">
        <f>3027.52040369815*Deflactores!$R$5</f>
        <v>5032.1200302398756</v>
      </c>
      <c r="V217" s="56">
        <f>3350.52459156657*Deflactores!$S$5</f>
        <v>5397.3576776966274</v>
      </c>
      <c r="X217" s="14"/>
    </row>
    <row r="218" spans="3:24" x14ac:dyDescent="0.2">
      <c r="C218" s="88" t="s">
        <v>134</v>
      </c>
      <c r="D218" s="57">
        <f>4497.67330283359*Deflactores!$A$5</f>
        <v>16748.044431852351</v>
      </c>
      <c r="E218" s="57">
        <f>4505.5820948199*Deflactores!$B$5</f>
        <v>15585.470349501773</v>
      </c>
      <c r="F218" s="57">
        <f>4329.6236639101*Deflactores!$C$5</f>
        <v>13998.08081740906</v>
      </c>
      <c r="G218" s="57">
        <f>3460.46925897269*Deflactores!$D$5</f>
        <v>10506.037890066027</v>
      </c>
      <c r="H218" s="57">
        <f>4174.83226922825*Deflactores!$E$5</f>
        <v>12014.424143847195</v>
      </c>
      <c r="I218" s="57">
        <f>5073.0484470288*Deflactores!$F$5</f>
        <v>13923.329729726678</v>
      </c>
      <c r="J218" s="57">
        <f>5160.60173028393*Deflactores!$G$5</f>
        <v>13556.56954328302</v>
      </c>
      <c r="K218" s="57">
        <f>5478.62673894694*Deflactores!$H$5</f>
        <v>13616.608347732777</v>
      </c>
      <c r="L218" s="57">
        <f>5529.38591086574*Deflactores!$I$5</f>
        <v>12763.265102156063</v>
      </c>
      <c r="M218" s="57">
        <f>5348.87389713143*Deflactores!$J$5</f>
        <v>12104.291607557665</v>
      </c>
      <c r="N218" s="57">
        <f>6185.80036632538*Deflactores!$K$5</f>
        <v>13567.953392937294</v>
      </c>
      <c r="O218" s="57">
        <f>5966.35495448134*Deflactores!$L$5</f>
        <v>12616.44593592966</v>
      </c>
      <c r="P218" s="57">
        <f>6533.26590589604*Deflactores!$M$5</f>
        <v>13486.172442225032</v>
      </c>
      <c r="Q218" s="57">
        <f>6690.55016396163*Deflactores!$N$5</f>
        <v>13548.012107111383</v>
      </c>
      <c r="R218" s="57">
        <f>9991.18895857833*Deflactores!$O$5</f>
        <v>19517.29888768107</v>
      </c>
      <c r="S218" s="57">
        <f>13214.2190534966*Deflactores!$P$5</f>
        <v>24176.576300345587</v>
      </c>
      <c r="T218" s="57">
        <f>15092.5713339462*Deflactores!$Q$5</f>
        <v>26111.760802328605</v>
      </c>
      <c r="U218" s="57">
        <f>18066.5746154896*Deflactores!$R$5</f>
        <v>30028.921321018031</v>
      </c>
      <c r="V218" s="57">
        <f>9966.49431834293*Deflactores!$S$5</f>
        <v>16055.018597453934</v>
      </c>
      <c r="X218" s="14"/>
    </row>
    <row r="219" spans="3:24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X219" s="14"/>
    </row>
    <row r="220" spans="3:24" x14ac:dyDescent="0.2">
      <c r="C220" s="88" t="s">
        <v>136</v>
      </c>
      <c r="D220" s="57">
        <f>132.4655331882*Deflactores!$A$5</f>
        <v>493.26362457835228</v>
      </c>
      <c r="E220" s="57">
        <f>142.19854219472*Deflactores!$B$5</f>
        <v>491.88564684376792</v>
      </c>
      <c r="F220" s="57">
        <f>150.22082575209*Deflactores!$C$5</f>
        <v>485.67806871154943</v>
      </c>
      <c r="G220" s="57">
        <f>144.899587979879*Deflactores!$D$5</f>
        <v>439.91737757077954</v>
      </c>
      <c r="H220" s="57">
        <f>145.57413807061*Deflactores!$E$5</f>
        <v>418.93645693186039</v>
      </c>
      <c r="I220" s="57">
        <f>150.12712339351*Deflactores!$F$5</f>
        <v>412.03419644207014</v>
      </c>
      <c r="J220" s="57">
        <f>158.72546270256*Deflactores!$G$5</f>
        <v>416.96160368078665</v>
      </c>
      <c r="K220" s="57">
        <f>201.49838345623*Deflactores!$H$5</f>
        <v>500.80516541123939</v>
      </c>
      <c r="L220" s="57">
        <f>222.21925650005*Deflactores!$I$5</f>
        <v>512.94001309271653</v>
      </c>
      <c r="M220" s="57">
        <f>457.85428708307*Deflactores!$J$5</f>
        <v>1036.1062741815704</v>
      </c>
      <c r="N220" s="57">
        <f>593.59590315212*Deflactores!$K$5</f>
        <v>1301.9950647050737</v>
      </c>
      <c r="O220" s="57">
        <f>734.11159954104*Deflactores!$L$5</f>
        <v>1552.3513731934038</v>
      </c>
      <c r="P220" s="57">
        <f>1171.51787288038*Deflactores!$M$5</f>
        <v>2418.2839456381489</v>
      </c>
      <c r="Q220" s="57">
        <f>1103.97688018436*Deflactores!$N$5</f>
        <v>2235.4951046137226</v>
      </c>
      <c r="R220" s="57">
        <f>1118.38771786222*Deflactores!$O$5</f>
        <v>2184.7156982340189</v>
      </c>
      <c r="S220" s="57">
        <f>1088.05530085805*Deflactores!$P$5</f>
        <v>1990.6928963183386</v>
      </c>
      <c r="T220" s="57">
        <f>1044.59474870687*Deflactores!$Q$5</f>
        <v>1807.2605131408404</v>
      </c>
      <c r="U220" s="57">
        <f>1181.90141837981*Deflactores!$R$5</f>
        <v>1964.4689409633904</v>
      </c>
      <c r="V220" s="57">
        <f>1319.61249853681*Deflactores!$S$5</f>
        <v>2125.7628338229642</v>
      </c>
      <c r="X220" s="14"/>
    </row>
    <row r="221" spans="3:24" x14ac:dyDescent="0.2">
      <c r="C221" s="87" t="s">
        <v>137</v>
      </c>
      <c r="D221" s="56">
        <f>40.28043249437*Deflactores!$A$5</f>
        <v>149.99276908905765</v>
      </c>
      <c r="E221" s="56">
        <f>38.38875972712*Deflactores!$B$5</f>
        <v>132.79235932002086</v>
      </c>
      <c r="F221" s="56">
        <f>40.21225868783*Deflactores!$C$5</f>
        <v>130.01001718806475</v>
      </c>
      <c r="G221" s="56">
        <f>40.72814560369*Deflactores!$D$5</f>
        <v>123.6512764258803</v>
      </c>
      <c r="H221" s="56">
        <f>43.06725851805*Deflactores!$E$5</f>
        <v>123.93990397229044</v>
      </c>
      <c r="I221" s="56">
        <f>44.3289278592699*Deflactores!$F$5</f>
        <v>121.66378570884126</v>
      </c>
      <c r="J221" s="56">
        <f>46.82146547345*Deflactores!$G$5</f>
        <v>122.99698484469701</v>
      </c>
      <c r="K221" s="56">
        <f>48.10716023558*Deflactores!$H$5</f>
        <v>119.56579465302775</v>
      </c>
      <c r="L221" s="56">
        <f>50.8143633387199*Deflactores!$I$5</f>
        <v>117.29280624361722</v>
      </c>
      <c r="M221" s="56">
        <f>55.58083299583*Deflactores!$J$5</f>
        <v>125.77724270772023</v>
      </c>
      <c r="N221" s="56">
        <f>55.1104765613099*Deflactores!$K$5</f>
        <v>120.87948740101388</v>
      </c>
      <c r="O221" s="56">
        <f>56.64784524386*Deflactores!$L$5</f>
        <v>119.78745521488986</v>
      </c>
      <c r="P221" s="56">
        <f>88.62297479424*Deflactores!$M$5</f>
        <v>182.93832481844515</v>
      </c>
      <c r="Q221" s="56">
        <f>113.54618465175*Deflactores!$N$5</f>
        <v>229.92505050845261</v>
      </c>
      <c r="R221" s="56">
        <f>120.49079417961*Deflactores!$O$5</f>
        <v>235.3728723345188</v>
      </c>
      <c r="S221" s="56">
        <f>118.07408337558*Deflactores!$P$5</f>
        <v>216.02692329121913</v>
      </c>
      <c r="T221" s="56">
        <f>133.15833696993*Deflactores!$Q$5</f>
        <v>230.37814875018807</v>
      </c>
      <c r="U221" s="56">
        <f>138.72628481202*Deflactores!$R$5</f>
        <v>230.58054891078726</v>
      </c>
      <c r="V221" s="56">
        <f>142.84899399384*Deflactores!$S$5</f>
        <v>230.11534266143082</v>
      </c>
      <c r="X221" s="14"/>
    </row>
    <row r="222" spans="3:24" x14ac:dyDescent="0.2">
      <c r="C222" s="88" t="s">
        <v>138</v>
      </c>
      <c r="D222" s="57">
        <f>139.87322609475*Deflactores!$A$5</f>
        <v>520.84774676398433</v>
      </c>
      <c r="E222" s="57">
        <f>155.40268809573*Deflactores!$B$5</f>
        <v>537.56072724398712</v>
      </c>
      <c r="F222" s="57">
        <f>169.836471861559*Deflactores!$C$5</f>
        <v>549.09729884345131</v>
      </c>
      <c r="G222" s="57">
        <f>178.677987978699*Deflactores!$D$5</f>
        <v>542.46911945758995</v>
      </c>
      <c r="H222" s="57">
        <f>201.746617911699*Deflactores!$E$5</f>
        <v>580.59085512096567</v>
      </c>
      <c r="I222" s="57">
        <f>220.531902905889*Deflactores!$F$5</f>
        <v>605.26494713077795</v>
      </c>
      <c r="J222" s="57">
        <f>229.60864118934*Deflactores!$G$5</f>
        <v>603.16716435522119</v>
      </c>
      <c r="K222" s="57">
        <f>241.77528992866*Deflactores!$H$5</f>
        <v>600.90960526923902</v>
      </c>
      <c r="L222" s="57">
        <f>276.4616017542*Deflactores!$I$5</f>
        <v>638.1454958355547</v>
      </c>
      <c r="M222" s="57">
        <f>266.49835513089*Deflactores!$J$5</f>
        <v>603.07531369709761</v>
      </c>
      <c r="N222" s="57">
        <f>266.521193427019*Deflactores!$K$5</f>
        <v>584.58839867086738</v>
      </c>
      <c r="O222" s="57">
        <f>273.580532778509*Deflactores!$L$5</f>
        <v>578.51301628146962</v>
      </c>
      <c r="P222" s="57">
        <f>107.98978200229*Deflactores!$M$5</f>
        <v>222.91589582583055</v>
      </c>
      <c r="Q222" s="57">
        <f>135.39801471765*Deflactores!$N$5</f>
        <v>274.17385681589332</v>
      </c>
      <c r="R222" s="57">
        <f>120.23630627767*Deflactores!$O$5</f>
        <v>234.87574266696333</v>
      </c>
      <c r="S222" s="57">
        <f>61.06332925316*Deflactores!$P$5</f>
        <v>111.72073301233074</v>
      </c>
      <c r="T222" s="57">
        <f>79.27123751715*Deflactores!$Q$5</f>
        <v>137.14770974093423</v>
      </c>
      <c r="U222" s="57">
        <f>80.5239965851*Deflactores!$R$5</f>
        <v>133.84101908475492</v>
      </c>
      <c r="V222" s="57">
        <f>85.16624505572*Deflactores!$S$5</f>
        <v>137.19424348924369</v>
      </c>
      <c r="X222" s="14"/>
    </row>
    <row r="223" spans="3:24" x14ac:dyDescent="0.2">
      <c r="C223" s="87" t="s">
        <v>139</v>
      </c>
      <c r="D223" s="56">
        <f>413.6121428413*Deflactores!$A$5</f>
        <v>1540.1729026195687</v>
      </c>
      <c r="E223" s="56">
        <f>486.10094742097*Deflactores!$B$5</f>
        <v>1681.4945868158875</v>
      </c>
      <c r="F223" s="56">
        <f>491.29762082519*Deflactores!$C$5</f>
        <v>1588.4114499459647</v>
      </c>
      <c r="G223" s="56">
        <f>531.789690734509*Deflactores!$D$5</f>
        <v>1614.5216796585155</v>
      </c>
      <c r="H223" s="56">
        <f>644.56058732327*Deflactores!$E$5</f>
        <v>1854.9306374745845</v>
      </c>
      <c r="I223" s="56">
        <f>761.31596088897*Deflactores!$F$5</f>
        <v>2089.4839193126777</v>
      </c>
      <c r="J223" s="56">
        <f>852.704309708209*Deflactores!$G$5</f>
        <v>2239.9994959077139</v>
      </c>
      <c r="K223" s="56">
        <f>834.86944596983*Deflactores!$H$5</f>
        <v>2074.9890089144701</v>
      </c>
      <c r="L223" s="56">
        <f>907.27978509735*Deflactores!$I$5</f>
        <v>2094.2384209915986</v>
      </c>
      <c r="M223" s="56">
        <f>1155.42905161845*Deflactores!$J$5</f>
        <v>2614.690576297553</v>
      </c>
      <c r="N223" s="56">
        <f>1615.62727376911*Deflactores!$K$5</f>
        <v>3543.7217906661049</v>
      </c>
      <c r="O223" s="56">
        <f>1908.0212447803*Deflactores!$L$5</f>
        <v>4034.6990856276507</v>
      </c>
      <c r="P223" s="56">
        <f>1805.54671420312*Deflactores!$M$5</f>
        <v>3727.0661704219237</v>
      </c>
      <c r="Q223" s="56">
        <f>2322.96530556225*Deflactores!$N$5</f>
        <v>4703.8825377436542</v>
      </c>
      <c r="R223" s="56">
        <f>2394.73527966533*Deflactores!$O$5</f>
        <v>4677.9982246230411</v>
      </c>
      <c r="S223" s="56">
        <f>2304.96789040998*Deflactores!$P$5</f>
        <v>4217.1415387273937</v>
      </c>
      <c r="T223" s="56">
        <f>2383.25674148544*Deflactores!$Q$5</f>
        <v>4123.2887748050543</v>
      </c>
      <c r="U223" s="56">
        <f>2540.10326881271*Deflactores!$R$5</f>
        <v>4221.9713935723566</v>
      </c>
      <c r="V223" s="56">
        <f>2952.99565666137*Deflactores!$S$5</f>
        <v>4756.978599650839</v>
      </c>
      <c r="X223" s="14"/>
    </row>
    <row r="224" spans="3:24" x14ac:dyDescent="0.2">
      <c r="C224" s="88" t="s">
        <v>140</v>
      </c>
      <c r="D224" s="57">
        <f>83.1204466983199*Deflactores!$A$5</f>
        <v>309.51668579881806</v>
      </c>
      <c r="E224" s="57">
        <f>75.5852423801599*Deflactores!$B$5</f>
        <v>261.46045709172142</v>
      </c>
      <c r="F224" s="57">
        <f>91.20721606314*Deflactores!$C$5</f>
        <v>294.88151411979931</v>
      </c>
      <c r="G224" s="57">
        <f>62.81247802285*Deflactores!$D$5</f>
        <v>190.69964929349189</v>
      </c>
      <c r="H224" s="57">
        <f>1948.29972056849*Deflactores!$E$5</f>
        <v>5606.8597952501468</v>
      </c>
      <c r="I224" s="57">
        <f>2099.0601038884*Deflactores!$F$5</f>
        <v>5761.0145564585846</v>
      </c>
      <c r="J224" s="57">
        <f>130.07240751671*Deflactores!$G$5</f>
        <v>341.69186663151231</v>
      </c>
      <c r="K224" s="57">
        <f>112.194547890949*Deflactores!$H$5</f>
        <v>278.8489324380667</v>
      </c>
      <c r="L224" s="57">
        <f>114.390584735229*Deflactores!$I$5</f>
        <v>264.0433099989184</v>
      </c>
      <c r="M224" s="57">
        <f>103.273878708539*Deflactores!$J$5</f>
        <v>233.70473250492878</v>
      </c>
      <c r="N224" s="57">
        <f>945.42529593505*Deflactores!$K$5</f>
        <v>2073.6987280711032</v>
      </c>
      <c r="O224" s="57">
        <f>703.72363172918*Deflactores!$L$5</f>
        <v>1488.0930184816816</v>
      </c>
      <c r="P224" s="57">
        <f>152.36142597922*Deflactores!$M$5</f>
        <v>314.50923533430756</v>
      </c>
      <c r="Q224" s="57">
        <f>218.7304769365*Deflactores!$N$5</f>
        <v>442.91770887422405</v>
      </c>
      <c r="R224" s="57">
        <f>425.20569214428*Deflactores!$O$5</f>
        <v>830.61851965054632</v>
      </c>
      <c r="S224" s="57">
        <f>708.61243868158*Deflactores!$P$5</f>
        <v>1296.4687978761744</v>
      </c>
      <c r="T224" s="57">
        <f>523.258524235*Deflactores!$Q$5</f>
        <v>905.29314854868517</v>
      </c>
      <c r="U224" s="57">
        <f>648.55815310444*Deflactores!$R$5</f>
        <v>1077.9852941785896</v>
      </c>
      <c r="V224" s="57">
        <f>577.936707992939*Deflactores!$S$5</f>
        <v>930.99783119333256</v>
      </c>
      <c r="X224" s="14"/>
    </row>
    <row r="225" spans="2:24" x14ac:dyDescent="0.2">
      <c r="C225" s="87" t="s">
        <v>141</v>
      </c>
      <c r="D225" s="56">
        <f>330.98653714445*Deflactores!$A$5</f>
        <v>1232.4988626781319</v>
      </c>
      <c r="E225" s="56">
        <f>324.29685865557*Deflactores!$B$5</f>
        <v>1121.7904742705589</v>
      </c>
      <c r="F225" s="56">
        <f>348.69190980545*Deflactores!$C$5</f>
        <v>1127.3537639124352</v>
      </c>
      <c r="G225" s="56">
        <f>354.71970836968*Deflactores!$D$5</f>
        <v>1076.9344899747425</v>
      </c>
      <c r="H225" s="56">
        <f>379.47339523117*Deflactores!$E$5</f>
        <v>1092.0568845885234</v>
      </c>
      <c r="I225" s="56">
        <f>431.553272707019*Deflactores!$F$5</f>
        <v>1184.4275832535473</v>
      </c>
      <c r="J225" s="56">
        <f>488.01032965096*Deflactores!$G$5</f>
        <v>1281.9718159862184</v>
      </c>
      <c r="K225" s="56">
        <f>549.487148996419*Deflactores!$H$5</f>
        <v>1365.6983139235883</v>
      </c>
      <c r="L225" s="56">
        <f>634.68410127715*Deflactores!$I$5</f>
        <v>1465.0164722280363</v>
      </c>
      <c r="M225" s="56">
        <f>705.13820138687*Deflactores!$J$5</f>
        <v>1595.7000627352188</v>
      </c>
      <c r="N225" s="56">
        <f>783.70735828958*Deflactores!$K$5</f>
        <v>1718.9861103279752</v>
      </c>
      <c r="O225" s="56">
        <f>830.342692577229*Deflactores!$L$5</f>
        <v>1755.8415094506483</v>
      </c>
      <c r="P225" s="56">
        <f>939.197728884529*Deflactores!$M$5</f>
        <v>1938.7214161376921</v>
      </c>
      <c r="Q225" s="56">
        <f>1047.48341563367*Deflactores!$N$5</f>
        <v>2121.0988108936526</v>
      </c>
      <c r="R225" s="56">
        <f>1191.10280200866*Deflactores!$O$5</f>
        <v>2326.7610580818518</v>
      </c>
      <c r="S225" s="56">
        <f>1260.71590365296*Deflactores!$P$5</f>
        <v>2306.5906592232327</v>
      </c>
      <c r="T225" s="56">
        <f>1391.12839334215*Deflactores!$Q$5</f>
        <v>2406.8007398166928</v>
      </c>
      <c r="U225" s="56">
        <f>1433.60861488281*Deflactores!$R$5</f>
        <v>2382.8379877024577</v>
      </c>
      <c r="V225" s="56">
        <f>1545.89375367141*Deflactores!$S$5</f>
        <v>2490.2791465202909</v>
      </c>
      <c r="X225" s="14"/>
    </row>
    <row r="226" spans="2:24" x14ac:dyDescent="0.2">
      <c r="C226" s="88" t="s">
        <v>142</v>
      </c>
      <c r="D226" s="57">
        <f>34.21070046103*Deflactores!$A$5</f>
        <v>127.3908291660821</v>
      </c>
      <c r="E226" s="57">
        <f>38.70256779649*Deflactores!$B$5</f>
        <v>133.87786753131806</v>
      </c>
      <c r="F226" s="57">
        <f>42.00992435621*Deflactores!$C$5</f>
        <v>135.82203949347206</v>
      </c>
      <c r="G226" s="57">
        <f>39.74885312057*Deflactores!$D$5</f>
        <v>120.67812938622997</v>
      </c>
      <c r="H226" s="57">
        <f>45.7171570732499*Deflactores!$E$5</f>
        <v>131.56584032786643</v>
      </c>
      <c r="I226" s="57">
        <f>40.3937115361*Deflactores!$F$5</f>
        <v>110.86331435568719</v>
      </c>
      <c r="J226" s="57">
        <f>49.3055870578999*Deflactores!$G$5</f>
        <v>129.52261281864892</v>
      </c>
      <c r="K226" s="57">
        <f>55.52874886061*Deflactores!$H$5</f>
        <v>138.01145091696344</v>
      </c>
      <c r="L226" s="57">
        <f>58.75720484383*Deflactores!$I$5</f>
        <v>135.62695644190856</v>
      </c>
      <c r="M226" s="57">
        <f>58.4343235471399*Deflactores!$J$5</f>
        <v>132.23457978403246</v>
      </c>
      <c r="N226" s="57">
        <f>79.73913328744*Deflactores!$K$5</f>
        <v>174.90005819245209</v>
      </c>
      <c r="O226" s="57">
        <f>67.58831018856*Deflactores!$L$5</f>
        <v>142.92214725748562</v>
      </c>
      <c r="P226" s="57">
        <f>89.4454998821*Deflactores!$M$5</f>
        <v>184.63620690876778</v>
      </c>
      <c r="Q226" s="57">
        <f>109.124591302359*Deflactores!$N$5</f>
        <v>220.97155658609302</v>
      </c>
      <c r="R226" s="57">
        <f>160.468708301089*Deflactores!$O$5</f>
        <v>313.46777195555217</v>
      </c>
      <c r="S226" s="57">
        <f>163.28199370506*Deflactores!$P$5</f>
        <v>298.7387724769373</v>
      </c>
      <c r="T226" s="57">
        <f>160.894288306599*Deflactores!$Q$5</f>
        <v>278.3643076957602</v>
      </c>
      <c r="U226" s="57">
        <f>166.71023100767*Deflactores!$R$5</f>
        <v>277.09339024598484</v>
      </c>
      <c r="V226" s="57">
        <f>160.082127463608*Deflactores!$S$5</f>
        <v>257.87618509128259</v>
      </c>
      <c r="X226" s="14"/>
    </row>
    <row r="227" spans="2:24" x14ac:dyDescent="0.2">
      <c r="C227" s="87" t="s">
        <v>143</v>
      </c>
      <c r="D227" s="56">
        <f>40.77466491261*Deflactores!$A$5</f>
        <v>151.83314875716971</v>
      </c>
      <c r="E227" s="56">
        <f>48.7188006844499*Deflactores!$B$5</f>
        <v>168.52548850541632</v>
      </c>
      <c r="F227" s="56">
        <f>44.26091933012*Deflactores!$C$5</f>
        <v>143.0997181118297</v>
      </c>
      <c r="G227" s="56">
        <f>42.17268777616*Deflactores!$D$5</f>
        <v>128.03692867764266</v>
      </c>
      <c r="H227" s="56">
        <f>70.79457489002*Deflactores!$E$5</f>
        <v>203.73418498302604</v>
      </c>
      <c r="I227" s="56">
        <f>83.1010246837999*Deflactores!$F$5</f>
        <v>228.07646716410969</v>
      </c>
      <c r="J227" s="56">
        <f>152.87978478614*Deflactores!$G$5</f>
        <v>401.60538296401734</v>
      </c>
      <c r="K227" s="56">
        <f>207.68690929004*Deflactores!$H$5</f>
        <v>516.18616078545881</v>
      </c>
      <c r="L227" s="56">
        <f>229.72081069987*Deflactores!$I$5</f>
        <v>530.25555707425497</v>
      </c>
      <c r="M227" s="56">
        <f>241.66311817121*Deflactores!$J$5</f>
        <v>546.87414760417892</v>
      </c>
      <c r="N227" s="56">
        <f>232.6856493385*Deflactores!$K$5</f>
        <v>510.37341305366868</v>
      </c>
      <c r="O227" s="56">
        <f>201.756110405469*Deflactores!$L$5</f>
        <v>426.63319205676265</v>
      </c>
      <c r="P227" s="56">
        <f>251.165049447439*Deflactores!$M$5</f>
        <v>518.46277452923846</v>
      </c>
      <c r="Q227" s="56">
        <f>322.3086015684*Deflactores!$N$5</f>
        <v>652.65796223986945</v>
      </c>
      <c r="R227" s="56">
        <f>303.42385259997*Deflactores!$O$5</f>
        <v>592.72365335065763</v>
      </c>
      <c r="S227" s="56">
        <f>386.89641640346*Deflactores!$P$5</f>
        <v>707.86103163874998</v>
      </c>
      <c r="T227" s="56">
        <f>441.58890057785*Deflactores!$Q$5</f>
        <v>763.99597455718674</v>
      </c>
      <c r="U227" s="56">
        <f>913.481582068379*Deflactores!$R$5</f>
        <v>1518.3213829926697</v>
      </c>
      <c r="V227" s="56">
        <f>535.46146471208*Deflactores!$S$5</f>
        <v>862.57449205085334</v>
      </c>
      <c r="X227" s="14"/>
    </row>
    <row r="228" spans="2:24" x14ac:dyDescent="0.2">
      <c r="C228" s="88" t="s">
        <v>144</v>
      </c>
      <c r="D228" s="57">
        <f>648.293309847219*Deflactores!$A$5</f>
        <v>2414.0582090196267</v>
      </c>
      <c r="E228" s="57">
        <f>733.86382156283*Deflactores!$B$5</f>
        <v>2538.5427655817111</v>
      </c>
      <c r="F228" s="57">
        <f>742.22168605816*Deflactores!$C$5</f>
        <v>2399.6725702697172</v>
      </c>
      <c r="G228" s="57">
        <f>743.62049048253*Deflactores!$D$5</f>
        <v>2257.6432455170093</v>
      </c>
      <c r="H228" s="57">
        <f>833.20222115808*Deflactores!$E$5</f>
        <v>2397.8076811309247</v>
      </c>
      <c r="I228" s="57">
        <f>975.651544951769*Deflactores!$F$5</f>
        <v>2677.7426439987653</v>
      </c>
      <c r="J228" s="57">
        <f>1101.31913948581*Deflactores!$G$5</f>
        <v>2893.094697886434</v>
      </c>
      <c r="K228" s="57">
        <f>1200.63062102362*Deflactores!$H$5</f>
        <v>2984.0537995687951</v>
      </c>
      <c r="L228" s="57">
        <f>1321.76166911568*Deflactores!$I$5</f>
        <v>3050.9707328693867</v>
      </c>
      <c r="M228" s="57">
        <f>1532.83931403791*Deflactores!$J$5</f>
        <v>3468.7551812716861</v>
      </c>
      <c r="N228" s="57">
        <f>1649.7047763433*Deflactores!$K$5</f>
        <v>3618.4674887638553</v>
      </c>
      <c r="O228" s="57">
        <f>1808.57890573014*Deflactores!$L$5</f>
        <v>3824.4184529900645</v>
      </c>
      <c r="P228" s="57">
        <f>2085.50490399103*Deflactores!$M$5</f>
        <v>4304.9646485300327</v>
      </c>
      <c r="Q228" s="57">
        <f>2468.78211351965*Deflactores!$N$5</f>
        <v>4999.1539027605841</v>
      </c>
      <c r="R228" s="57">
        <f>2699.52904492785*Deflactores!$O$5</f>
        <v>5273.3979353474369</v>
      </c>
      <c r="S228" s="57">
        <f>2859.14267356723*Deflactores!$P$5</f>
        <v>5231.0530589230175</v>
      </c>
      <c r="T228" s="57">
        <f>3103.56997730652*Deflactores!$Q$5</f>
        <v>5369.5076264732888</v>
      </c>
      <c r="U228" s="57">
        <f>3372.54167358996*Deflactores!$R$5</f>
        <v>5605.5888137898064</v>
      </c>
      <c r="V228" s="57">
        <f>3909.73623852785*Deflactores!$S$5</f>
        <v>6298.1913214134829</v>
      </c>
      <c r="X228" s="14"/>
    </row>
    <row r="229" spans="2:24" x14ac:dyDescent="0.2">
      <c r="C229" s="87" t="s">
        <v>145</v>
      </c>
      <c r="D229" s="56">
        <f>156.4003456494*Deflactores!$A$5</f>
        <v>582.38999627717783</v>
      </c>
      <c r="E229" s="56">
        <f>129.42913467074*Deflactores!$B$5</f>
        <v>447.71439035406672</v>
      </c>
      <c r="F229" s="56">
        <f>195.12091161476*Deflactores!$C$5</f>
        <v>630.84427238262003</v>
      </c>
      <c r="G229" s="56">
        <f>236.92285074349*Deflactores!$D$5</f>
        <v>719.30141858058562</v>
      </c>
      <c r="H229" s="56">
        <f>129.03754725752*Deflactores!$E$5</f>
        <v>371.34709211207638</v>
      </c>
      <c r="I229" s="56">
        <f>142.09987226784*Deflactores!$F$5</f>
        <v>390.00285465358735</v>
      </c>
      <c r="J229" s="56">
        <f>392.15738265753*Deflactores!$G$5</f>
        <v>1030.1722759791733</v>
      </c>
      <c r="K229" s="56">
        <f>324.97624286637*Deflactores!$H$5</f>
        <v>807.69770095336014</v>
      </c>
      <c r="L229" s="56">
        <f>255.01993312458*Deflactores!$I$5</f>
        <v>588.65253127060271</v>
      </c>
      <c r="M229" s="56">
        <f>295.631484691079*Deflactores!$J$5</f>
        <v>669.00244198972791</v>
      </c>
      <c r="N229" s="56">
        <f>658.41295675635*Deflactores!$K$5</f>
        <v>1444.1649878014009</v>
      </c>
      <c r="O229" s="56">
        <f>499.472277036*Deflactores!$L$5</f>
        <v>1056.1833863047752</v>
      </c>
      <c r="P229" s="56">
        <f>374.17023871506*Deflactores!$M$5</f>
        <v>772.37394509013575</v>
      </c>
      <c r="Q229" s="56">
        <f>486.42236572687*Deflactores!$N$5</f>
        <v>984.97970100193834</v>
      </c>
      <c r="R229" s="56">
        <f>1037.3846004243*Deflactores!$O$5</f>
        <v>2026.4800707802497</v>
      </c>
      <c r="S229" s="56">
        <f>795.046099382*Deflactores!$P$5</f>
        <v>1454.6067842665955</v>
      </c>
      <c r="T229" s="56">
        <f>671.41807284777*Deflactores!$Q$5</f>
        <v>1161.6249960752982</v>
      </c>
      <c r="U229" s="56">
        <f>693.79399524451*Deflactores!$R$5</f>
        <v>1153.1729583276933</v>
      </c>
      <c r="V229" s="56">
        <f>1753.92952497311*Deflactores!$S$5</f>
        <v>2825.4038223089779</v>
      </c>
      <c r="X229" s="14"/>
    </row>
    <row r="230" spans="2:24" x14ac:dyDescent="0.2">
      <c r="C230" s="88" t="s">
        <v>146</v>
      </c>
      <c r="D230" s="57">
        <f>186.461747896469*Deflactores!$A$5</f>
        <v>694.33002984975974</v>
      </c>
      <c r="E230" s="57">
        <f>200.46754381628*Deflactores!$B$5</f>
        <v>693.44668334380208</v>
      </c>
      <c r="F230" s="57">
        <f>197.83587207068*Deflactores!$C$5</f>
        <v>639.621995073584</v>
      </c>
      <c r="G230" s="57">
        <f>210.99657011797*Deflactores!$D$5</f>
        <v>640.58883187173569</v>
      </c>
      <c r="H230" s="57">
        <f>210.816616884279*Deflactores!$E$5</f>
        <v>606.69269768935681</v>
      </c>
      <c r="I230" s="57">
        <f>255.91311183971*Deflactores!$F$5</f>
        <v>702.37110398415132</v>
      </c>
      <c r="J230" s="57">
        <f>257.19265477875*Deflactores!$G$5</f>
        <v>675.62859774065055</v>
      </c>
      <c r="K230" s="57">
        <f>249.38324867153*Deflactores!$H$5</f>
        <v>619.81846682590026</v>
      </c>
      <c r="L230" s="57">
        <f>251.19437684102*Deflactores!$I$5</f>
        <v>579.82214941674317</v>
      </c>
      <c r="M230" s="57">
        <f>266.417356937109*Deflactores!$J$5</f>
        <v>602.89201796493671</v>
      </c>
      <c r="N230" s="57">
        <f>309.09590360287*Deflactores!$K$5</f>
        <v>677.97189784235911</v>
      </c>
      <c r="O230" s="57">
        <f>342.903842462278*Deflactores!$L$5</f>
        <v>725.10399107220962</v>
      </c>
      <c r="P230" s="57">
        <f>530.945027458923*Deflactores!$M$5</f>
        <v>1095.9933822976529</v>
      </c>
      <c r="Q230" s="57">
        <f>531.393216453731*Deflactores!$N$5</f>
        <v>1076.0433079077495</v>
      </c>
      <c r="R230" s="57">
        <f>592.263052001411*Deflactores!$O$5</f>
        <v>1156.9569001211789</v>
      </c>
      <c r="S230" s="57">
        <f>749.887469043067*Deflactores!$P$5</f>
        <v>1371.9850971590686</v>
      </c>
      <c r="T230" s="57">
        <f>894.392701676638*Deflactores!$Q$5</f>
        <v>1547.3949251444412</v>
      </c>
      <c r="U230" s="57">
        <f>808.207362050047*Deflactores!$R$5</f>
        <v>1343.3423768809257</v>
      </c>
      <c r="V230" s="57">
        <f>745.184517937625*Deflactores!$S$5</f>
        <v>1200.4172090886707</v>
      </c>
      <c r="X230" s="14"/>
    </row>
    <row r="231" spans="2:24" x14ac:dyDescent="0.2">
      <c r="C231" s="90" t="s">
        <v>147</v>
      </c>
      <c r="D231" s="58">
        <f>3923.06360989318*Deflactores!$A$5</f>
        <v>14608.362863100781</v>
      </c>
      <c r="E231" s="58">
        <f>5051.06856991436*Deflactores!$B$5</f>
        <v>17472.388200452344</v>
      </c>
      <c r="F231" s="58">
        <f>6301.10996119986*Deflactores!$C$5</f>
        <v>20372.08157639272</v>
      </c>
      <c r="G231" s="58">
        <f>7064.60079490288*Deflactores!$D$5</f>
        <v>21448.236662409832</v>
      </c>
      <c r="H231" s="58">
        <f>8766.30981775335*Deflactores!$E$5</f>
        <v>25227.879237967605</v>
      </c>
      <c r="I231" s="58">
        <f>11691.2385655142*Deflactores!$F$5</f>
        <v>32087.406851375341</v>
      </c>
      <c r="J231" s="58">
        <f>12818.326185328*Deflactores!$G$5</f>
        <v>33672.920221712986</v>
      </c>
      <c r="K231" s="58">
        <f>14466.7546555852*Deflactores!$H$5</f>
        <v>35955.749788076821</v>
      </c>
      <c r="L231" s="58">
        <f>16672.0320754686*Deflactores!$I$5</f>
        <v>38483.399169644552</v>
      </c>
      <c r="M231" s="58">
        <f>17290.8898023425*Deflactores!$J$5</f>
        <v>39128.6047019994</v>
      </c>
      <c r="N231" s="58">
        <f>16323.4758785196*Deflactores!$K$5</f>
        <v>35803.961785798143</v>
      </c>
      <c r="O231" s="58">
        <f>16906.7791921653*Deflactores!$L$5</f>
        <v>35751.051899525592</v>
      </c>
      <c r="P231" s="58">
        <f>18492.4698742006*Deflactores!$M$5</f>
        <v>38172.736453456266</v>
      </c>
      <c r="Q231" s="58">
        <f>21847.3713775311*Deflactores!$N$5</f>
        <v>44239.777698055317</v>
      </c>
      <c r="R231" s="58">
        <f>24274.9016354469*Deflactores!$O$5</f>
        <v>47419.832879978931</v>
      </c>
      <c r="S231" s="58">
        <f>23734.3832802434*Deflactores!$P$5</f>
        <v>43424.142281386979</v>
      </c>
      <c r="T231" s="58">
        <f>25732.4029000703*Deflactores!$Q$5</f>
        <v>44519.806103848212</v>
      </c>
      <c r="U231" s="58">
        <f>32468.62521268*Deflactores!$R$5</f>
        <v>53966.94241515288</v>
      </c>
      <c r="V231" s="58">
        <f>41143.6584733841*Deflactores!$S$5</f>
        <v>66278.290124716863</v>
      </c>
      <c r="X231" s="14"/>
    </row>
    <row r="232" spans="2:24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0.22928537086989412</v>
      </c>
      <c r="V232" s="59">
        <f>108.008317615179*Deflactores!$S$5</f>
        <v>173.99052190296385</v>
      </c>
      <c r="X232" s="14"/>
    </row>
    <row r="233" spans="2:24" x14ac:dyDescent="0.2">
      <c r="C233" s="87" t="s">
        <v>149</v>
      </c>
      <c r="D233" s="56">
        <f>98.65179410487*Deflactores!$A$5</f>
        <v>367.35096564470132</v>
      </c>
      <c r="E233" s="56">
        <f>84.0761058390299*Deflactores!$B$5</f>
        <v>290.83160112925481</v>
      </c>
      <c r="F233" s="56">
        <f>90.08433051549*Deflactores!$C$5</f>
        <v>291.25111945623399</v>
      </c>
      <c r="G233" s="56">
        <f>119.13169820233*Deflactores!$D$5</f>
        <v>361.68566791232041</v>
      </c>
      <c r="H233" s="56">
        <f>102.23761531329*Deflactores!$E$5</f>
        <v>294.22165840842717</v>
      </c>
      <c r="I233" s="56">
        <f>41.06894062056*Deflactores!$F$5</f>
        <v>112.7165269327412</v>
      </c>
      <c r="J233" s="56">
        <f>123.89087313974*Deflactores!$G$5</f>
        <v>325.45337254780435</v>
      </c>
      <c r="K233" s="56">
        <f>126.10177960731*Deflactores!$H$5</f>
        <v>313.41404090523969</v>
      </c>
      <c r="L233" s="56">
        <f>183.78901258877*Deflactores!$I$5</f>
        <v>424.23298506338</v>
      </c>
      <c r="M233" s="56">
        <f>221.025494818389*Deflactores!$J$5</f>
        <v>500.17201628576152</v>
      </c>
      <c r="N233" s="56">
        <f>339.46853841079*Deflactores!$K$5</f>
        <v>744.59132768008033</v>
      </c>
      <c r="O233" s="56">
        <f>380.77387625308*Deflactores!$L$5</f>
        <v>805.18391215612326</v>
      </c>
      <c r="P233" s="56">
        <f>460.37373131977*Deflactores!$M$5</f>
        <v>950.31789886982574</v>
      </c>
      <c r="Q233" s="56">
        <f>308.078082895999*Deflactores!$N$5</f>
        <v>623.84191056408247</v>
      </c>
      <c r="R233" s="56">
        <f>399.74333458231*Deflactores!$O$5</f>
        <v>780.87904970535101</v>
      </c>
      <c r="S233" s="56">
        <f>420.968762511839*Deflactores!$P$5</f>
        <v>770.19938641296073</v>
      </c>
      <c r="T233" s="56">
        <f>166.99566511722*Deflactores!$Q$5</f>
        <v>288.92034141053699</v>
      </c>
      <c r="U233" s="56">
        <f>179.4248294291*Deflactores!$R$5</f>
        <v>298.22665339915142</v>
      </c>
      <c r="V233" s="56">
        <f>276.792690451559*Deflactores!$S$5</f>
        <v>445.88514786591008</v>
      </c>
      <c r="X233" s="14"/>
    </row>
    <row r="234" spans="2:24" x14ac:dyDescent="0.2">
      <c r="C234" s="88" t="s">
        <v>150</v>
      </c>
      <c r="D234" s="57">
        <f>254.119553091349*Deflactores!$A$5</f>
        <v>946.26827686551587</v>
      </c>
      <c r="E234" s="57">
        <f>270.04173711351*Deflactores!$B$5</f>
        <v>934.11403861653457</v>
      </c>
      <c r="F234" s="57">
        <f>271.40542451932*Deflactores!$C$5</f>
        <v>877.47928263899587</v>
      </c>
      <c r="G234" s="57">
        <f>280.47986255781*Deflactores!$D$5</f>
        <v>851.5411763281088</v>
      </c>
      <c r="H234" s="57">
        <f>334.483935109409*Deflactores!$E$5</f>
        <v>962.585226555791</v>
      </c>
      <c r="I234" s="57">
        <f>315.75114825516*Deflactores!$F$5</f>
        <v>866.60070283209086</v>
      </c>
      <c r="J234" s="57">
        <f>307.346654692449*Deflactores!$G$5</f>
        <v>807.37993668120919</v>
      </c>
      <c r="K234" s="57">
        <f>304.3416693984*Deflactores!$H$5</f>
        <v>756.41242113342616</v>
      </c>
      <c r="L234" s="57">
        <f>303.527266377769*Deflactores!$I$5</f>
        <v>700.6201102548207</v>
      </c>
      <c r="M234" s="57">
        <f>401.049301221429*Deflactores!$J$5</f>
        <v>907.55882160445117</v>
      </c>
      <c r="N234" s="57">
        <f>474.026806580769*Deflactores!$K$5</f>
        <v>1039.7318435466086</v>
      </c>
      <c r="O234" s="57">
        <f>311.64406867539*Deflactores!$L$5</f>
        <v>659.00211665130564</v>
      </c>
      <c r="P234" s="57">
        <f>573.606024617266*Deflactores!$M$5</f>
        <v>1184.0555509774044</v>
      </c>
      <c r="Q234" s="57">
        <f>514.47752699068*Deflactores!$N$5</f>
        <v>1041.7899266417382</v>
      </c>
      <c r="R234" s="57">
        <f>550.21871991966*Deflactores!$O$5</f>
        <v>1074.8253540985306</v>
      </c>
      <c r="S234" s="57">
        <f>560.42631526392*Deflactores!$P$5</f>
        <v>1025.349248173274</v>
      </c>
      <c r="T234" s="57">
        <f>659.782423975059*Deflactores!$Q$5</f>
        <v>1141.494080446578</v>
      </c>
      <c r="U234" s="57">
        <f>838.352056982399*Deflactores!$R$5</f>
        <v>1393.4466546222964</v>
      </c>
      <c r="V234" s="57">
        <f>856.288404117529*Deflactores!$S$5</f>
        <v>1379.3943801873186</v>
      </c>
      <c r="X234" s="14"/>
    </row>
    <row r="235" spans="2:24" x14ac:dyDescent="0.2">
      <c r="C235" s="87" t="s">
        <v>151</v>
      </c>
      <c r="D235" s="56">
        <f>38.67196502601*Deflactores!$A$5</f>
        <v>144.00329790841172</v>
      </c>
      <c r="E235" s="56">
        <f>34.1491521604399*Deflactores!$B$5</f>
        <v>118.12693393581037</v>
      </c>
      <c r="F235" s="56">
        <f>23.29137328839*Deflactores!$C$5</f>
        <v>75.303202067424678</v>
      </c>
      <c r="G235" s="56">
        <f>22.84984134753*Deflactores!$D$5</f>
        <v>69.372469747185264</v>
      </c>
      <c r="H235" s="56">
        <f>20.4366394329*Deflactores!$E$5</f>
        <v>58.813010532545867</v>
      </c>
      <c r="I235" s="56">
        <f>15.73197551809*Deflactores!$F$5</f>
        <v>43.177486815968358</v>
      </c>
      <c r="J235" s="56">
        <f>23.2056711126799*Deflactores!$G$5</f>
        <v>60.959808696628606</v>
      </c>
      <c r="K235" s="56">
        <f>26.3765574402599*Deflactores!$H$5</f>
        <v>65.556437651113086</v>
      </c>
      <c r="L235" s="56">
        <f>8.44150337384*Deflactores!$I$5</f>
        <v>19.485191874443725</v>
      </c>
      <c r="M235" s="56">
        <f>6.877948654*Deflactores!$J$5</f>
        <v>15.564527743769146</v>
      </c>
      <c r="N235" s="56">
        <f>8.81691673772999*Deflactores!$K$5</f>
        <v>19.339052068049988</v>
      </c>
      <c r="O235" s="56">
        <f>322.19907733797*Deflactores!$L$5</f>
        <v>681.32172337277439</v>
      </c>
      <c r="P235" s="56">
        <f>1351.0575654521*Deflactores!$M$5</f>
        <v>2788.8954114995254</v>
      </c>
      <c r="Q235" s="56">
        <f>1460.99136627098*Deflactores!$N$5</f>
        <v>2958.4306572038663</v>
      </c>
      <c r="R235" s="56">
        <f>1515.81470727709*Deflactores!$O$5</f>
        <v>2961.0698809643395</v>
      </c>
      <c r="S235" s="56">
        <f>1587.73106439595*Deflactores!$P$5</f>
        <v>2904.8936654822855</v>
      </c>
      <c r="T235" s="56">
        <f>1737.21182061143*Deflactores!$Q$5</f>
        <v>3005.5620423509972</v>
      </c>
      <c r="U235" s="56">
        <f>1937.02395482534*Deflactores!$R$5</f>
        <v>3219.57765510831</v>
      </c>
      <c r="V235" s="56">
        <f>1955.82088193534*Deflactores!$S$5</f>
        <v>3150.6304654153914</v>
      </c>
      <c r="X235" s="14"/>
    </row>
    <row r="236" spans="2:24" x14ac:dyDescent="0.2">
      <c r="C236" s="79" t="s">
        <v>179</v>
      </c>
      <c r="D236" s="44">
        <f t="shared" ref="D236:V236" si="63">+SUM(D207:D235)</f>
        <v>82048.900938024439</v>
      </c>
      <c r="E236" s="44">
        <f t="shared" si="63"/>
        <v>94057.607536189462</v>
      </c>
      <c r="F236" s="44">
        <f t="shared" si="63"/>
        <v>96480.951016009378</v>
      </c>
      <c r="G236" s="44">
        <f t="shared" si="63"/>
        <v>98180.464657975725</v>
      </c>
      <c r="H236" s="44">
        <f t="shared" si="63"/>
        <v>112727.83936807547</v>
      </c>
      <c r="I236" s="44">
        <f t="shared" si="63"/>
        <v>125606.4090671083</v>
      </c>
      <c r="J236" s="44">
        <f t="shared" si="63"/>
        <v>125603.78889139577</v>
      </c>
      <c r="K236" s="44">
        <f t="shared" si="63"/>
        <v>131859.73855163844</v>
      </c>
      <c r="L236" s="44">
        <f t="shared" si="63"/>
        <v>138837.23962591548</v>
      </c>
      <c r="M236" s="44">
        <f t="shared" si="63"/>
        <v>149111.3508847444</v>
      </c>
      <c r="N236" s="44">
        <f t="shared" si="63"/>
        <v>156313.8474968423</v>
      </c>
      <c r="O236" s="44">
        <f t="shared" si="63"/>
        <v>157884.3733154902</v>
      </c>
      <c r="P236" s="44">
        <f t="shared" si="63"/>
        <v>166258.58196992584</v>
      </c>
      <c r="Q236" s="44">
        <f t="shared" si="63"/>
        <v>182407.67026402045</v>
      </c>
      <c r="R236" s="44">
        <f t="shared" si="63"/>
        <v>192962.31543740182</v>
      </c>
      <c r="S236" s="44">
        <f t="shared" si="63"/>
        <v>192505.56843961607</v>
      </c>
      <c r="T236" s="44">
        <f t="shared" si="63"/>
        <v>196978.7164795167</v>
      </c>
      <c r="U236" s="44">
        <f t="shared" si="63"/>
        <v>216602.14435913545</v>
      </c>
      <c r="V236" s="44">
        <f t="shared" si="63"/>
        <v>221545.77899597291</v>
      </c>
      <c r="X236" s="14"/>
    </row>
    <row r="237" spans="2:24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14"/>
    </row>
    <row r="238" spans="2:24" x14ac:dyDescent="0.2">
      <c r="B238" s="9"/>
    </row>
    <row r="241" spans="3:22" ht="18" customHeight="1" x14ac:dyDescent="0.2">
      <c r="C241" s="9"/>
      <c r="D241" s="155" t="s">
        <v>185</v>
      </c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</row>
    <row r="242" spans="3:22" ht="6" customHeight="1" x14ac:dyDescent="0.2">
      <c r="H242" s="27"/>
      <c r="I242" s="27"/>
      <c r="J242" s="27"/>
      <c r="L242" s="177"/>
      <c r="M242" s="156"/>
      <c r="N242" s="156"/>
      <c r="O242" s="156"/>
      <c r="P242" s="156"/>
      <c r="Q242" s="156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6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60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4">+IFERROR(IF(D207&gt;0,+((D207/D13)*100)," "),"")</f>
        <v>84.776637330918675</v>
      </c>
      <c r="E246" s="60">
        <f t="shared" si="64"/>
        <v>91.119074375001532</v>
      </c>
      <c r="F246" s="60">
        <f t="shared" si="64"/>
        <v>87.700990709371226</v>
      </c>
      <c r="G246" s="60">
        <f t="shared" si="64"/>
        <v>85.812720985144793</v>
      </c>
      <c r="H246" s="60">
        <f t="shared" si="64"/>
        <v>82.849130472868751</v>
      </c>
      <c r="I246" s="60">
        <f t="shared" si="64"/>
        <v>82.401523672653909</v>
      </c>
      <c r="J246" s="60">
        <f t="shared" si="64"/>
        <v>80.685128925448652</v>
      </c>
      <c r="K246" s="60">
        <f t="shared" si="64"/>
        <v>91.433013965009238</v>
      </c>
      <c r="L246" s="60">
        <f t="shared" si="64"/>
        <v>93.194561195200492</v>
      </c>
      <c r="M246" s="60">
        <f t="shared" si="64"/>
        <v>94.438468391239255</v>
      </c>
      <c r="N246" s="60">
        <f t="shared" si="64"/>
        <v>93.043088496210416</v>
      </c>
      <c r="O246" s="60">
        <f t="shared" si="64"/>
        <v>94.637206697273655</v>
      </c>
      <c r="P246" s="60">
        <f t="shared" si="64"/>
        <v>75.79103648588007</v>
      </c>
      <c r="Q246" s="60">
        <f t="shared" si="64"/>
        <v>81.394261596289795</v>
      </c>
      <c r="R246" s="60">
        <f t="shared" si="64"/>
        <v>86.865150373610092</v>
      </c>
      <c r="S246" s="60">
        <f t="shared" si="64"/>
        <v>90.33454985535721</v>
      </c>
      <c r="T246" s="60">
        <f t="shared" si="64"/>
        <v>88.4650388904452</v>
      </c>
      <c r="U246" s="60">
        <f t="shared" si="64"/>
        <v>83.058942601187567</v>
      </c>
      <c r="V246" s="60">
        <f t="shared" si="64"/>
        <v>79.01324959580603</v>
      </c>
    </row>
    <row r="247" spans="3:22" x14ac:dyDescent="0.2">
      <c r="C247" s="88" t="s">
        <v>124</v>
      </c>
      <c r="D247" s="62">
        <f t="shared" ref="D247:V247" si="65">+IFERROR(IF(D208&gt;0,+((D208/D14)*100)," "),"")</f>
        <v>83.092431804818716</v>
      </c>
      <c r="E247" s="62">
        <f t="shared" si="65"/>
        <v>89.145319930130455</v>
      </c>
      <c r="F247" s="62">
        <f t="shared" si="65"/>
        <v>86.088423068644843</v>
      </c>
      <c r="G247" s="62">
        <f t="shared" si="65"/>
        <v>84.458374532707353</v>
      </c>
      <c r="H247" s="62">
        <f t="shared" si="65"/>
        <v>88.633242852497403</v>
      </c>
      <c r="I247" s="62">
        <f t="shared" si="65"/>
        <v>90.514275495045979</v>
      </c>
      <c r="J247" s="62">
        <f t="shared" si="65"/>
        <v>89.678668363308063</v>
      </c>
      <c r="K247" s="62">
        <f t="shared" si="65"/>
        <v>89.208132896003789</v>
      </c>
      <c r="L247" s="62">
        <f t="shared" si="65"/>
        <v>98.986238044864152</v>
      </c>
      <c r="M247" s="62">
        <f t="shared" si="65"/>
        <v>98.964542802924711</v>
      </c>
      <c r="N247" s="62">
        <f t="shared" si="65"/>
        <v>96.543851912871261</v>
      </c>
      <c r="O247" s="62">
        <f t="shared" si="65"/>
        <v>98.3352712988072</v>
      </c>
      <c r="P247" s="62">
        <f t="shared" si="65"/>
        <v>80.941009701484148</v>
      </c>
      <c r="Q247" s="62">
        <f t="shared" si="65"/>
        <v>84.297155557996348</v>
      </c>
      <c r="R247" s="62">
        <f t="shared" si="65"/>
        <v>90.250668990194001</v>
      </c>
      <c r="S247" s="62">
        <f t="shared" si="65"/>
        <v>89.560349865386215</v>
      </c>
      <c r="T247" s="62">
        <f t="shared" si="65"/>
        <v>93.416211188151593</v>
      </c>
      <c r="U247" s="62">
        <f t="shared" si="65"/>
        <v>93.488199097350261</v>
      </c>
      <c r="V247" s="62">
        <f t="shared" si="65"/>
        <v>94.835293856112173</v>
      </c>
    </row>
    <row r="248" spans="3:22" x14ac:dyDescent="0.2">
      <c r="C248" s="87" t="s">
        <v>125</v>
      </c>
      <c r="D248" s="60">
        <f t="shared" ref="D248:V248" si="66">+IFERROR(IF(D209&gt;0,+((D209/D15)*100)," "),"")</f>
        <v>92.619805029499375</v>
      </c>
      <c r="E248" s="60">
        <f t="shared" si="66"/>
        <v>82.890223804266711</v>
      </c>
      <c r="F248" s="60">
        <f t="shared" si="66"/>
        <v>94.694404033766872</v>
      </c>
      <c r="G248" s="60">
        <f t="shared" si="66"/>
        <v>91.719820870516244</v>
      </c>
      <c r="H248" s="60">
        <f t="shared" si="66"/>
        <v>85.239266715310734</v>
      </c>
      <c r="I248" s="60">
        <f t="shared" si="66"/>
        <v>88.374941092352657</v>
      </c>
      <c r="J248" s="60">
        <f t="shared" si="66"/>
        <v>85.872790350967605</v>
      </c>
      <c r="K248" s="60">
        <f t="shared" si="66"/>
        <v>76.986720802141988</v>
      </c>
      <c r="L248" s="60">
        <f t="shared" si="66"/>
        <v>92.99566155150211</v>
      </c>
      <c r="M248" s="60">
        <f t="shared" si="66"/>
        <v>30.36673366126163</v>
      </c>
      <c r="N248" s="60">
        <f t="shared" si="66"/>
        <v>33.326930658897268</v>
      </c>
      <c r="O248" s="60">
        <f t="shared" si="66"/>
        <v>87.429890425665533</v>
      </c>
      <c r="P248" s="60">
        <f t="shared" si="66"/>
        <v>70.200020596130727</v>
      </c>
      <c r="Q248" s="60">
        <f t="shared" si="66"/>
        <v>87.892022511799397</v>
      </c>
      <c r="R248" s="60">
        <f t="shared" si="66"/>
        <v>87.385997176036852</v>
      </c>
      <c r="S248" s="60">
        <f t="shared" si="66"/>
        <v>91.036208855582473</v>
      </c>
      <c r="T248" s="60">
        <f t="shared" si="66"/>
        <v>92.133528138737972</v>
      </c>
      <c r="U248" s="60">
        <f t="shared" si="66"/>
        <v>90.208215217937749</v>
      </c>
      <c r="V248" s="60">
        <f t="shared" si="66"/>
        <v>92.111940480501573</v>
      </c>
    </row>
    <row r="249" spans="3:22" x14ac:dyDescent="0.2">
      <c r="C249" s="88" t="s">
        <v>126</v>
      </c>
      <c r="D249" s="62">
        <f t="shared" ref="D249:V249" si="67">+IFERROR(IF(D210&gt;0,+((D210/D16)*100)," "),"")</f>
        <v>80.920190974192266</v>
      </c>
      <c r="E249" s="62">
        <f t="shared" si="67"/>
        <v>89.017604927556064</v>
      </c>
      <c r="F249" s="62">
        <f t="shared" si="67"/>
        <v>90.557943395711789</v>
      </c>
      <c r="G249" s="62">
        <f t="shared" si="67"/>
        <v>86.84602424365815</v>
      </c>
      <c r="H249" s="62">
        <f t="shared" si="67"/>
        <v>89.145764776204132</v>
      </c>
      <c r="I249" s="62">
        <f t="shared" si="67"/>
        <v>91.327968825892256</v>
      </c>
      <c r="J249" s="62">
        <f t="shared" si="67"/>
        <v>76.527279158592435</v>
      </c>
      <c r="K249" s="62">
        <f t="shared" si="67"/>
        <v>89.157485022211162</v>
      </c>
      <c r="L249" s="62">
        <f t="shared" si="67"/>
        <v>89.829991757227418</v>
      </c>
      <c r="M249" s="62">
        <f t="shared" si="67"/>
        <v>88.691499938791083</v>
      </c>
      <c r="N249" s="62">
        <f t="shared" si="67"/>
        <v>90.073982041369774</v>
      </c>
      <c r="O249" s="62">
        <f t="shared" si="67"/>
        <v>88.389921168097018</v>
      </c>
      <c r="P249" s="62">
        <f t="shared" si="67"/>
        <v>86.866131440944173</v>
      </c>
      <c r="Q249" s="62">
        <f t="shared" si="67"/>
        <v>79.451519026933781</v>
      </c>
      <c r="R249" s="62">
        <f t="shared" si="67"/>
        <v>85.606420286671664</v>
      </c>
      <c r="S249" s="62">
        <f t="shared" si="67"/>
        <v>89.19968272709167</v>
      </c>
      <c r="T249" s="62">
        <f t="shared" si="67"/>
        <v>93.567214128721957</v>
      </c>
      <c r="U249" s="62">
        <f t="shared" si="67"/>
        <v>90.081370526682207</v>
      </c>
      <c r="V249" s="62">
        <f t="shared" si="67"/>
        <v>94.912314342480343</v>
      </c>
    </row>
    <row r="250" spans="3:22" x14ac:dyDescent="0.2">
      <c r="C250" s="87" t="s">
        <v>127</v>
      </c>
      <c r="D250" s="60">
        <f t="shared" ref="D250:V250" si="68">+IFERROR(IF(D211&gt;0,+((D211/D17)*100)," "),"")</f>
        <v>83.645771919463229</v>
      </c>
      <c r="E250" s="60">
        <f t="shared" si="68"/>
        <v>88.763520598214697</v>
      </c>
      <c r="F250" s="60">
        <f t="shared" si="68"/>
        <v>94.253791505514869</v>
      </c>
      <c r="G250" s="60">
        <f t="shared" si="68"/>
        <v>94.712412022184395</v>
      </c>
      <c r="H250" s="60">
        <f t="shared" si="68"/>
        <v>92.166551913861099</v>
      </c>
      <c r="I250" s="60">
        <f t="shared" si="68"/>
        <v>95.134793392056338</v>
      </c>
      <c r="J250" s="60">
        <f t="shared" si="68"/>
        <v>93.72661034865942</v>
      </c>
      <c r="K250" s="60">
        <f t="shared" si="68"/>
        <v>97.179322703567564</v>
      </c>
      <c r="L250" s="60">
        <f t="shared" si="68"/>
        <v>95.674974316140862</v>
      </c>
      <c r="M250" s="60">
        <f t="shared" si="68"/>
        <v>96.336797194101919</v>
      </c>
      <c r="N250" s="60">
        <f t="shared" si="68"/>
        <v>96.800393736583288</v>
      </c>
      <c r="O250" s="60">
        <f t="shared" si="68"/>
        <v>97.642136345622745</v>
      </c>
      <c r="P250" s="60">
        <f t="shared" si="68"/>
        <v>95.881928516000542</v>
      </c>
      <c r="Q250" s="60">
        <f t="shared" si="68"/>
        <v>94.42767551404296</v>
      </c>
      <c r="R250" s="60">
        <f t="shared" si="68"/>
        <v>96.302275137462701</v>
      </c>
      <c r="S250" s="60">
        <f t="shared" si="68"/>
        <v>96.479269296368145</v>
      </c>
      <c r="T250" s="60">
        <f t="shared" si="68"/>
        <v>96.752422817067952</v>
      </c>
      <c r="U250" s="60">
        <f t="shared" si="68"/>
        <v>96.46616276405318</v>
      </c>
      <c r="V250" s="60">
        <f t="shared" si="68"/>
        <v>95.994180668059442</v>
      </c>
    </row>
    <row r="251" spans="3:22" x14ac:dyDescent="0.2">
      <c r="C251" s="88" t="s">
        <v>128</v>
      </c>
      <c r="D251" s="62">
        <f t="shared" ref="D251:V251" si="69">+IFERROR(IF(D212&gt;0,+((D212/D18)*100)," "),"")</f>
        <v>82.30211249329929</v>
      </c>
      <c r="E251" s="62">
        <f t="shared" si="69"/>
        <v>89.382393630398425</v>
      </c>
      <c r="F251" s="62">
        <f t="shared" si="69"/>
        <v>75.152467805345381</v>
      </c>
      <c r="G251" s="62">
        <f t="shared" si="69"/>
        <v>81.472959972277536</v>
      </c>
      <c r="H251" s="62">
        <f t="shared" si="69"/>
        <v>80.15052569582592</v>
      </c>
      <c r="I251" s="62">
        <f t="shared" si="69"/>
        <v>84.592120978510223</v>
      </c>
      <c r="J251" s="62">
        <f t="shared" si="69"/>
        <v>88.452631359141961</v>
      </c>
      <c r="K251" s="62">
        <f t="shared" si="69"/>
        <v>88.796018863597396</v>
      </c>
      <c r="L251" s="62">
        <f t="shared" si="69"/>
        <v>85.699006825316317</v>
      </c>
      <c r="M251" s="62">
        <f t="shared" si="69"/>
        <v>87.133871409289398</v>
      </c>
      <c r="N251" s="62">
        <f t="shared" si="69"/>
        <v>87.494220926142404</v>
      </c>
      <c r="O251" s="62">
        <f t="shared" si="69"/>
        <v>90.525420315542206</v>
      </c>
      <c r="P251" s="62">
        <f t="shared" si="69"/>
        <v>88.475341728802647</v>
      </c>
      <c r="Q251" s="62">
        <f t="shared" si="69"/>
        <v>91.260506321145201</v>
      </c>
      <c r="R251" s="62">
        <f t="shared" si="69"/>
        <v>93.828552311109945</v>
      </c>
      <c r="S251" s="62">
        <f t="shared" si="69"/>
        <v>96.735786474453334</v>
      </c>
      <c r="T251" s="62">
        <f t="shared" si="69"/>
        <v>95.130684195042363</v>
      </c>
      <c r="U251" s="62">
        <f t="shared" si="69"/>
        <v>91.163946644544282</v>
      </c>
      <c r="V251" s="62">
        <f t="shared" si="69"/>
        <v>96.175429542005787</v>
      </c>
    </row>
    <row r="252" spans="3:22" x14ac:dyDescent="0.2">
      <c r="C252" s="87" t="s">
        <v>129</v>
      </c>
      <c r="D252" s="60">
        <f t="shared" ref="D252:V252" si="70">+IFERROR(IF(D213&gt;0,+((D213/D19)*100)," "),"")</f>
        <v>85.53018094015448</v>
      </c>
      <c r="E252" s="60">
        <f t="shared" si="70"/>
        <v>90.308531868985213</v>
      </c>
      <c r="F252" s="60">
        <f t="shared" si="70"/>
        <v>87.677701979358019</v>
      </c>
      <c r="G252" s="60">
        <f t="shared" si="70"/>
        <v>87.505883263602698</v>
      </c>
      <c r="H252" s="60">
        <f t="shared" si="70"/>
        <v>85.30582558820231</v>
      </c>
      <c r="I252" s="60">
        <f t="shared" si="70"/>
        <v>87.130130737366258</v>
      </c>
      <c r="J252" s="60">
        <f t="shared" si="70"/>
        <v>89.339815506202953</v>
      </c>
      <c r="K252" s="60">
        <f t="shared" si="70"/>
        <v>94.216783052994359</v>
      </c>
      <c r="L252" s="60">
        <f t="shared" si="70"/>
        <v>95.813372044892986</v>
      </c>
      <c r="M252" s="60">
        <f t="shared" si="70"/>
        <v>93.591485749821373</v>
      </c>
      <c r="N252" s="60">
        <f t="shared" si="70"/>
        <v>93.957544287448115</v>
      </c>
      <c r="O252" s="60">
        <f t="shared" si="70"/>
        <v>93.384313376955419</v>
      </c>
      <c r="P252" s="60">
        <f t="shared" si="70"/>
        <v>94.179937972677862</v>
      </c>
      <c r="Q252" s="60">
        <f t="shared" si="70"/>
        <v>94.899844803364786</v>
      </c>
      <c r="R252" s="60">
        <f t="shared" si="70"/>
        <v>94.595630678491219</v>
      </c>
      <c r="S252" s="60">
        <f t="shared" si="70"/>
        <v>93.773827461748709</v>
      </c>
      <c r="T252" s="60">
        <f t="shared" si="70"/>
        <v>93.365658523005791</v>
      </c>
      <c r="U252" s="60">
        <f t="shared" si="70"/>
        <v>94.439725315298332</v>
      </c>
      <c r="V252" s="60">
        <f t="shared" si="70"/>
        <v>95.366971779905356</v>
      </c>
    </row>
    <row r="253" spans="3:22" x14ac:dyDescent="0.2">
      <c r="C253" s="88" t="s">
        <v>130</v>
      </c>
      <c r="D253" s="62">
        <f t="shared" ref="D253:V253" si="71">+IFERROR(IF(D214&gt;0,+((D214/D20)*100)," "),"")</f>
        <v>88.403178468398053</v>
      </c>
      <c r="E253" s="62">
        <f t="shared" si="71"/>
        <v>92.21954790890247</v>
      </c>
      <c r="F253" s="62">
        <f t="shared" si="71"/>
        <v>76.614235032145544</v>
      </c>
      <c r="G253" s="62">
        <f t="shared" si="71"/>
        <v>84.499952516814872</v>
      </c>
      <c r="H253" s="62">
        <f t="shared" si="71"/>
        <v>88.168905419442297</v>
      </c>
      <c r="I253" s="62">
        <f t="shared" si="71"/>
        <v>90.055108605863339</v>
      </c>
      <c r="J253" s="62">
        <f t="shared" si="71"/>
        <v>89.085634539880601</v>
      </c>
      <c r="K253" s="62">
        <f t="shared" si="71"/>
        <v>92.508415553522553</v>
      </c>
      <c r="L253" s="62">
        <f t="shared" si="71"/>
        <v>92.008481155625219</v>
      </c>
      <c r="M253" s="62">
        <f t="shared" si="71"/>
        <v>91.79766256642597</v>
      </c>
      <c r="N253" s="62">
        <f t="shared" si="71"/>
        <v>86.799414502400481</v>
      </c>
      <c r="O253" s="62">
        <f t="shared" si="71"/>
        <v>86.26380502007477</v>
      </c>
      <c r="P253" s="62">
        <f t="shared" si="71"/>
        <v>73.561451676250854</v>
      </c>
      <c r="Q253" s="62">
        <f t="shared" si="71"/>
        <v>88.217921579711984</v>
      </c>
      <c r="R253" s="62">
        <f t="shared" si="71"/>
        <v>94.983421742921763</v>
      </c>
      <c r="S253" s="62">
        <f t="shared" si="71"/>
        <v>94.726846150602583</v>
      </c>
      <c r="T253" s="62">
        <f t="shared" si="71"/>
        <v>90.343816120660293</v>
      </c>
      <c r="U253" s="62">
        <f t="shared" si="71"/>
        <v>96.143624091004767</v>
      </c>
      <c r="V253" s="62">
        <f t="shared" si="71"/>
        <v>95.776017388130214</v>
      </c>
    </row>
    <row r="254" spans="3:22" x14ac:dyDescent="0.2">
      <c r="C254" s="87" t="s">
        <v>131</v>
      </c>
      <c r="D254" s="60">
        <f t="shared" ref="D254:V254" si="72">+IFERROR(IF(D215&gt;0,+((D215/D21)*100)," "),"")</f>
        <v>90.03352089991256</v>
      </c>
      <c r="E254" s="60">
        <f t="shared" si="72"/>
        <v>96.414810059912426</v>
      </c>
      <c r="F254" s="60">
        <f t="shared" si="72"/>
        <v>95.581329914246055</v>
      </c>
      <c r="G254" s="60">
        <f t="shared" si="72"/>
        <v>95.688442593964353</v>
      </c>
      <c r="H254" s="60">
        <f t="shared" si="72"/>
        <v>97.341198208556463</v>
      </c>
      <c r="I254" s="60">
        <f t="shared" si="72"/>
        <v>99.302150314588715</v>
      </c>
      <c r="J254" s="60">
        <f t="shared" si="72"/>
        <v>98.87828165173768</v>
      </c>
      <c r="K254" s="60">
        <f t="shared" si="72"/>
        <v>99.115240862432771</v>
      </c>
      <c r="L254" s="60">
        <f t="shared" si="72"/>
        <v>97.416021731289959</v>
      </c>
      <c r="M254" s="60">
        <f t="shared" si="72"/>
        <v>98.350797265363028</v>
      </c>
      <c r="N254" s="60">
        <f t="shared" si="72"/>
        <v>96.502361930763726</v>
      </c>
      <c r="O254" s="60">
        <f t="shared" si="72"/>
        <v>98.697921177304863</v>
      </c>
      <c r="P254" s="60">
        <f t="shared" si="72"/>
        <v>97.063767652301962</v>
      </c>
      <c r="Q254" s="60">
        <f t="shared" si="72"/>
        <v>98.990834732849876</v>
      </c>
      <c r="R254" s="60">
        <f t="shared" si="72"/>
        <v>97.775714813905822</v>
      </c>
      <c r="S254" s="60">
        <f t="shared" si="72"/>
        <v>99.599429782616781</v>
      </c>
      <c r="T254" s="60">
        <f t="shared" si="72"/>
        <v>99.096995525346671</v>
      </c>
      <c r="U254" s="60">
        <f t="shared" si="72"/>
        <v>99.916067773562887</v>
      </c>
      <c r="V254" s="60">
        <f t="shared" si="72"/>
        <v>99.566553406883713</v>
      </c>
    </row>
    <row r="255" spans="3:22" x14ac:dyDescent="0.2">
      <c r="C255" s="88" t="s">
        <v>132</v>
      </c>
      <c r="D255" s="62">
        <f t="shared" ref="D255:V255" si="73">+IFERROR(IF(D216&gt;0,+((D216/D22)*100)," "),"")</f>
        <v>84.289331722458684</v>
      </c>
      <c r="E255" s="62">
        <f t="shared" si="73"/>
        <v>80.266183621218701</v>
      </c>
      <c r="F255" s="62">
        <f t="shared" si="73"/>
        <v>83.55395775213654</v>
      </c>
      <c r="G255" s="62">
        <f t="shared" si="73"/>
        <v>84.667583235529548</v>
      </c>
      <c r="H255" s="62">
        <f t="shared" si="73"/>
        <v>79.804353966338809</v>
      </c>
      <c r="I255" s="62">
        <f t="shared" si="73"/>
        <v>88.595191299293845</v>
      </c>
      <c r="J255" s="62">
        <f t="shared" si="73"/>
        <v>71.030508974027967</v>
      </c>
      <c r="K255" s="62">
        <f t="shared" si="73"/>
        <v>53.680005218027418</v>
      </c>
      <c r="L255" s="62">
        <f t="shared" si="73"/>
        <v>60.054604225955245</v>
      </c>
      <c r="M255" s="62">
        <f t="shared" si="73"/>
        <v>42.079231294266187</v>
      </c>
      <c r="N255" s="62">
        <f t="shared" si="73"/>
        <v>60.497331559151903</v>
      </c>
      <c r="O255" s="62">
        <f t="shared" si="73"/>
        <v>58.957221939379721</v>
      </c>
      <c r="P255" s="62">
        <f t="shared" si="73"/>
        <v>67.842583995006038</v>
      </c>
      <c r="Q255" s="62">
        <f t="shared" si="73"/>
        <v>52.344584971466624</v>
      </c>
      <c r="R255" s="62">
        <f t="shared" si="73"/>
        <v>58.199448013511287</v>
      </c>
      <c r="S255" s="62">
        <f t="shared" si="73"/>
        <v>60.84470195882605</v>
      </c>
      <c r="T255" s="62">
        <f t="shared" si="73"/>
        <v>80.411063145940275</v>
      </c>
      <c r="U255" s="62">
        <f t="shared" si="73"/>
        <v>82.970276070991815</v>
      </c>
      <c r="V255" s="62">
        <f t="shared" si="73"/>
        <v>84.484635609372532</v>
      </c>
    </row>
    <row r="256" spans="3:22" x14ac:dyDescent="0.2">
      <c r="C256" s="87" t="s">
        <v>133</v>
      </c>
      <c r="D256" s="60">
        <f t="shared" ref="D256:V256" si="74">+IFERROR(IF(D217&gt;0,+((D217/D23)*100)," "),"")</f>
        <v>89.541420222117182</v>
      </c>
      <c r="E256" s="60">
        <f t="shared" si="74"/>
        <v>95.906067893220026</v>
      </c>
      <c r="F256" s="60">
        <f t="shared" si="74"/>
        <v>92.871493218079934</v>
      </c>
      <c r="G256" s="60">
        <f t="shared" si="74"/>
        <v>92.237190354511057</v>
      </c>
      <c r="H256" s="60">
        <f t="shared" si="74"/>
        <v>93.750377431564942</v>
      </c>
      <c r="I256" s="60">
        <f t="shared" si="74"/>
        <v>96.416284229760095</v>
      </c>
      <c r="J256" s="60">
        <f t="shared" si="74"/>
        <v>95.453217892824696</v>
      </c>
      <c r="K256" s="60">
        <f t="shared" si="74"/>
        <v>94.78193726547363</v>
      </c>
      <c r="L256" s="60">
        <f t="shared" si="74"/>
        <v>94.958782312571699</v>
      </c>
      <c r="M256" s="60">
        <f t="shared" si="74"/>
        <v>94.731626399001968</v>
      </c>
      <c r="N256" s="60">
        <f t="shared" si="74"/>
        <v>90.938102419519822</v>
      </c>
      <c r="O256" s="60">
        <f t="shared" si="74"/>
        <v>91.031622613613038</v>
      </c>
      <c r="P256" s="60">
        <f t="shared" si="74"/>
        <v>89.663559022443167</v>
      </c>
      <c r="Q256" s="60">
        <f t="shared" si="74"/>
        <v>92.005361834798322</v>
      </c>
      <c r="R256" s="60">
        <f t="shared" si="74"/>
        <v>88.391568156326926</v>
      </c>
      <c r="S256" s="60">
        <f t="shared" si="74"/>
        <v>87.290304381187596</v>
      </c>
      <c r="T256" s="60">
        <f t="shared" si="74"/>
        <v>91.92690560950237</v>
      </c>
      <c r="U256" s="60">
        <f t="shared" si="74"/>
        <v>92.598716014582322</v>
      </c>
      <c r="V256" s="60">
        <f t="shared" si="74"/>
        <v>92.902229127019154</v>
      </c>
    </row>
    <row r="257" spans="3:22" x14ac:dyDescent="0.2">
      <c r="C257" s="88" t="s">
        <v>134</v>
      </c>
      <c r="D257" s="62">
        <f t="shared" ref="D257:V257" si="75">+IFERROR(IF(D218&gt;0,+((D218/D24)*100)," "),"")</f>
        <v>69.344065680803965</v>
      </c>
      <c r="E257" s="62">
        <f t="shared" si="75"/>
        <v>82.742056922072052</v>
      </c>
      <c r="F257" s="62">
        <f t="shared" si="75"/>
        <v>81.162499835789276</v>
      </c>
      <c r="G257" s="62">
        <f t="shared" si="75"/>
        <v>85.562517703013413</v>
      </c>
      <c r="H257" s="62">
        <f t="shared" si="75"/>
        <v>84.573627610762287</v>
      </c>
      <c r="I257" s="62">
        <f t="shared" si="75"/>
        <v>90.382996718106028</v>
      </c>
      <c r="J257" s="62">
        <f t="shared" si="75"/>
        <v>91.663567555111342</v>
      </c>
      <c r="K257" s="62">
        <f t="shared" si="75"/>
        <v>80.282930918470186</v>
      </c>
      <c r="L257" s="62">
        <f t="shared" si="75"/>
        <v>75.768235856728865</v>
      </c>
      <c r="M257" s="62">
        <f t="shared" si="75"/>
        <v>69.444815786159523</v>
      </c>
      <c r="N257" s="62">
        <f t="shared" si="75"/>
        <v>71.337177899167401</v>
      </c>
      <c r="O257" s="62">
        <f t="shared" si="75"/>
        <v>83.490988851098592</v>
      </c>
      <c r="P257" s="62">
        <f t="shared" si="75"/>
        <v>84.550709183685029</v>
      </c>
      <c r="Q257" s="62">
        <f t="shared" si="75"/>
        <v>56.900318027784159</v>
      </c>
      <c r="R257" s="62">
        <f t="shared" si="75"/>
        <v>68.648667754791575</v>
      </c>
      <c r="S257" s="62">
        <f t="shared" si="75"/>
        <v>87.656943101163563</v>
      </c>
      <c r="T257" s="62">
        <f t="shared" si="75"/>
        <v>90.739043374456628</v>
      </c>
      <c r="U257" s="62">
        <f t="shared" si="75"/>
        <v>91.838568640316325</v>
      </c>
      <c r="V257" s="62">
        <f t="shared" si="75"/>
        <v>87.201757438999593</v>
      </c>
    </row>
    <row r="258" spans="3:22" x14ac:dyDescent="0.2">
      <c r="C258" s="87" t="s">
        <v>135</v>
      </c>
      <c r="D258" s="60" t="str">
        <f t="shared" ref="D258:V258" si="76">+IFERROR(IF(D219&gt;0,+((D219/D25)*100),"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+IFERROR(IF(D220&gt;0,+((D220/D26)*100)," "),"")</f>
        <v>91.896589258565072</v>
      </c>
      <c r="E259" s="62">
        <f t="shared" si="77"/>
        <v>95.98015865497166</v>
      </c>
      <c r="F259" s="62">
        <f t="shared" si="77"/>
        <v>89.808228854958074</v>
      </c>
      <c r="G259" s="62">
        <f t="shared" si="77"/>
        <v>93.915297689530433</v>
      </c>
      <c r="H259" s="62">
        <f t="shared" si="77"/>
        <v>92.157156920537048</v>
      </c>
      <c r="I259" s="62">
        <f t="shared" si="77"/>
        <v>90.922848636984369</v>
      </c>
      <c r="J259" s="62">
        <f t="shared" si="77"/>
        <v>44.921452314716589</v>
      </c>
      <c r="K259" s="62">
        <f t="shared" si="77"/>
        <v>74.551810831037145</v>
      </c>
      <c r="L259" s="62">
        <f t="shared" si="77"/>
        <v>62.008672754764682</v>
      </c>
      <c r="M259" s="62">
        <f t="shared" si="77"/>
        <v>83.083830107228351</v>
      </c>
      <c r="N259" s="62">
        <f t="shared" si="77"/>
        <v>88.173104651107096</v>
      </c>
      <c r="O259" s="62">
        <f t="shared" si="77"/>
        <v>83.106394257922005</v>
      </c>
      <c r="P259" s="62">
        <f t="shared" si="77"/>
        <v>80.906978067969575</v>
      </c>
      <c r="Q259" s="62">
        <f t="shared" si="77"/>
        <v>90.629137968790559</v>
      </c>
      <c r="R259" s="62">
        <f t="shared" si="77"/>
        <v>90.733347110765052</v>
      </c>
      <c r="S259" s="62">
        <f t="shared" si="77"/>
        <v>91.725715152000703</v>
      </c>
      <c r="T259" s="62">
        <f t="shared" si="77"/>
        <v>81.627156689132633</v>
      </c>
      <c r="U259" s="62">
        <f t="shared" si="77"/>
        <v>95.709821524017272</v>
      </c>
      <c r="V259" s="62">
        <f t="shared" si="77"/>
        <v>90.086736810788651</v>
      </c>
    </row>
    <row r="260" spans="3:22" x14ac:dyDescent="0.2">
      <c r="C260" s="87" t="s">
        <v>137</v>
      </c>
      <c r="D260" s="60">
        <f t="shared" ref="D260:V260" si="78">+IFERROR(IF(D221&gt;0,+((D221/D27)*100)," "),"")</f>
        <v>94.488308394965941</v>
      </c>
      <c r="E260" s="60">
        <f t="shared" si="78"/>
        <v>94.691316775075762</v>
      </c>
      <c r="F260" s="60">
        <f t="shared" si="78"/>
        <v>96.175626009110175</v>
      </c>
      <c r="G260" s="60">
        <f t="shared" si="78"/>
        <v>95.069061554977239</v>
      </c>
      <c r="H260" s="60">
        <f t="shared" si="78"/>
        <v>94.918258531352848</v>
      </c>
      <c r="I260" s="60">
        <f t="shared" si="78"/>
        <v>94.795773556898382</v>
      </c>
      <c r="J260" s="60">
        <f t="shared" si="78"/>
        <v>97.127695226524253</v>
      </c>
      <c r="K260" s="60">
        <f t="shared" si="78"/>
        <v>95.968113508209782</v>
      </c>
      <c r="L260" s="60">
        <f t="shared" si="78"/>
        <v>96.282359802335691</v>
      </c>
      <c r="M260" s="60">
        <f t="shared" si="78"/>
        <v>93.312213430122512</v>
      </c>
      <c r="N260" s="60">
        <f t="shared" si="78"/>
        <v>93.167806146716956</v>
      </c>
      <c r="O260" s="60">
        <f t="shared" si="78"/>
        <v>93.574125888377637</v>
      </c>
      <c r="P260" s="60">
        <f t="shared" si="78"/>
        <v>76.659985934950853</v>
      </c>
      <c r="Q260" s="60">
        <f t="shared" si="78"/>
        <v>72.823833746307471</v>
      </c>
      <c r="R260" s="60">
        <f t="shared" si="78"/>
        <v>88.700525750596299</v>
      </c>
      <c r="S260" s="60">
        <f t="shared" si="78"/>
        <v>89.77756193916106</v>
      </c>
      <c r="T260" s="60">
        <f t="shared" si="78"/>
        <v>95.766262228418626</v>
      </c>
      <c r="U260" s="60">
        <f t="shared" si="78"/>
        <v>93.327412138418012</v>
      </c>
      <c r="V260" s="60">
        <f t="shared" si="78"/>
        <v>91.707475442578371</v>
      </c>
    </row>
    <row r="261" spans="3:22" x14ac:dyDescent="0.2">
      <c r="C261" s="88" t="s">
        <v>138</v>
      </c>
      <c r="D261" s="62">
        <f t="shared" ref="D261:V261" si="79">+IFERROR(IF(D222&gt;0,+((D222/D28)*100)," "),"")</f>
        <v>91.118227097152626</v>
      </c>
      <c r="E261" s="62">
        <f t="shared" si="79"/>
        <v>91.817898299096939</v>
      </c>
      <c r="F261" s="62">
        <f t="shared" si="79"/>
        <v>92.97147650956974</v>
      </c>
      <c r="G261" s="62">
        <f t="shared" si="79"/>
        <v>89.622957034300228</v>
      </c>
      <c r="H261" s="62">
        <f t="shared" si="79"/>
        <v>89.325012902467932</v>
      </c>
      <c r="I261" s="62">
        <f t="shared" si="79"/>
        <v>89.543818193470102</v>
      </c>
      <c r="J261" s="62">
        <f t="shared" si="79"/>
        <v>85.627414469577019</v>
      </c>
      <c r="K261" s="62">
        <f t="shared" si="79"/>
        <v>89.541855806297065</v>
      </c>
      <c r="L261" s="62">
        <f t="shared" si="79"/>
        <v>88.069619842995522</v>
      </c>
      <c r="M261" s="62">
        <f t="shared" si="79"/>
        <v>84.553609865334352</v>
      </c>
      <c r="N261" s="62">
        <f t="shared" si="79"/>
        <v>80.65925700462256</v>
      </c>
      <c r="O261" s="62">
        <f t="shared" si="79"/>
        <v>85.715811212111532</v>
      </c>
      <c r="P261" s="62">
        <f t="shared" si="79"/>
        <v>74.202082590740133</v>
      </c>
      <c r="Q261" s="62">
        <f t="shared" si="79"/>
        <v>72.467679148407385</v>
      </c>
      <c r="R261" s="62">
        <f t="shared" si="79"/>
        <v>82.804553438362575</v>
      </c>
      <c r="S261" s="62">
        <f t="shared" si="79"/>
        <v>93.826555497580799</v>
      </c>
      <c r="T261" s="62">
        <f t="shared" si="79"/>
        <v>94.72857230263196</v>
      </c>
      <c r="U261" s="62">
        <f t="shared" si="79"/>
        <v>94.774253313285612</v>
      </c>
      <c r="V261" s="62">
        <f t="shared" si="79"/>
        <v>95.776340816163767</v>
      </c>
    </row>
    <row r="262" spans="3:22" x14ac:dyDescent="0.2">
      <c r="C262" s="87" t="s">
        <v>139</v>
      </c>
      <c r="D262" s="60">
        <f t="shared" ref="D262:V262" si="80">+IFERROR(IF(D223&gt;0,+((D223/D29)*100)," "),"")</f>
        <v>86.83319910181774</v>
      </c>
      <c r="E262" s="60">
        <f t="shared" si="80"/>
        <v>78.87641788698555</v>
      </c>
      <c r="F262" s="60">
        <f t="shared" si="80"/>
        <v>83.397436383762852</v>
      </c>
      <c r="G262" s="60">
        <f t="shared" si="80"/>
        <v>80.163999576601441</v>
      </c>
      <c r="H262" s="60">
        <f t="shared" si="80"/>
        <v>87.74089911193937</v>
      </c>
      <c r="I262" s="60">
        <f t="shared" si="80"/>
        <v>88.508798848415822</v>
      </c>
      <c r="J262" s="60">
        <f t="shared" si="80"/>
        <v>78.139154204409365</v>
      </c>
      <c r="K262" s="60">
        <f t="shared" si="80"/>
        <v>86.061189728731293</v>
      </c>
      <c r="L262" s="60">
        <f t="shared" si="80"/>
        <v>87.937796035348697</v>
      </c>
      <c r="M262" s="60">
        <f t="shared" si="80"/>
        <v>78.503738704172235</v>
      </c>
      <c r="N262" s="60">
        <f t="shared" si="80"/>
        <v>61.867720934964545</v>
      </c>
      <c r="O262" s="60">
        <f t="shared" si="80"/>
        <v>74.718095801016773</v>
      </c>
      <c r="P262" s="60">
        <f t="shared" si="80"/>
        <v>82.671238013876078</v>
      </c>
      <c r="Q262" s="60">
        <f t="shared" si="80"/>
        <v>87.821644662783243</v>
      </c>
      <c r="R262" s="60">
        <f t="shared" si="80"/>
        <v>83.495780497587958</v>
      </c>
      <c r="S262" s="60">
        <f t="shared" si="80"/>
        <v>83.648274991195748</v>
      </c>
      <c r="T262" s="60">
        <f t="shared" si="80"/>
        <v>86.312879613424371</v>
      </c>
      <c r="U262" s="60">
        <f t="shared" si="80"/>
        <v>83.713759573442772</v>
      </c>
      <c r="V262" s="60">
        <f t="shared" si="80"/>
        <v>87.936805275352611</v>
      </c>
    </row>
    <row r="263" spans="3:22" x14ac:dyDescent="0.2">
      <c r="C263" s="88" t="s">
        <v>140</v>
      </c>
      <c r="D263" s="62">
        <f t="shared" ref="D263:V263" si="81">+IFERROR(IF(D224&gt;0,+((D224/D30)*100)," "),"")</f>
        <v>73.247401394487738</v>
      </c>
      <c r="E263" s="62">
        <f t="shared" si="81"/>
        <v>72.710025165286211</v>
      </c>
      <c r="F263" s="62">
        <f t="shared" si="81"/>
        <v>77.585689357481712</v>
      </c>
      <c r="G263" s="62">
        <f t="shared" si="81"/>
        <v>70.941129011471361</v>
      </c>
      <c r="H263" s="62">
        <f t="shared" si="81"/>
        <v>81.778947465129022</v>
      </c>
      <c r="I263" s="62">
        <f t="shared" si="81"/>
        <v>97.695397130632784</v>
      </c>
      <c r="J263" s="62">
        <f t="shared" si="81"/>
        <v>57.877972965889334</v>
      </c>
      <c r="K263" s="62">
        <f t="shared" si="81"/>
        <v>70.8017574802751</v>
      </c>
      <c r="L263" s="62">
        <f t="shared" si="81"/>
        <v>85.473843325825626</v>
      </c>
      <c r="M263" s="62">
        <f t="shared" si="81"/>
        <v>77.109419068045923</v>
      </c>
      <c r="N263" s="62">
        <f t="shared" si="81"/>
        <v>96.024608313044169</v>
      </c>
      <c r="O263" s="62">
        <f t="shared" si="81"/>
        <v>95.170619317077382</v>
      </c>
      <c r="P263" s="62">
        <f t="shared" si="81"/>
        <v>67.456004517537224</v>
      </c>
      <c r="Q263" s="62">
        <f t="shared" si="81"/>
        <v>60.092958996591697</v>
      </c>
      <c r="R263" s="62">
        <f t="shared" si="81"/>
        <v>86.125437619426592</v>
      </c>
      <c r="S263" s="62">
        <f t="shared" si="81"/>
        <v>90.822366347094373</v>
      </c>
      <c r="T263" s="62">
        <f t="shared" si="81"/>
        <v>90.59539652749487</v>
      </c>
      <c r="U263" s="62">
        <f t="shared" si="81"/>
        <v>90.900571151136106</v>
      </c>
      <c r="V263" s="62">
        <f t="shared" si="81"/>
        <v>87.210170808865726</v>
      </c>
    </row>
    <row r="264" spans="3:22" x14ac:dyDescent="0.2">
      <c r="C264" s="87" t="s">
        <v>141</v>
      </c>
      <c r="D264" s="60">
        <f t="shared" ref="D264:V264" si="82">+IFERROR(IF(D225&gt;0,+((D225/D31)*100)," "),"")</f>
        <v>88.652138815384575</v>
      </c>
      <c r="E264" s="60">
        <f t="shared" si="82"/>
        <v>88.690204567555696</v>
      </c>
      <c r="F264" s="60">
        <f t="shared" si="82"/>
        <v>88.505469796825125</v>
      </c>
      <c r="G264" s="60">
        <f t="shared" si="82"/>
        <v>87.449466623322564</v>
      </c>
      <c r="H264" s="60">
        <f t="shared" si="82"/>
        <v>81.953371425741338</v>
      </c>
      <c r="I264" s="60">
        <f t="shared" si="82"/>
        <v>90.062737836731301</v>
      </c>
      <c r="J264" s="60">
        <f t="shared" si="82"/>
        <v>90.810751741445131</v>
      </c>
      <c r="K264" s="60">
        <f t="shared" si="82"/>
        <v>91.65208745007277</v>
      </c>
      <c r="L264" s="60">
        <f t="shared" si="82"/>
        <v>92.158971337307278</v>
      </c>
      <c r="M264" s="60">
        <f t="shared" si="82"/>
        <v>90.170821234977666</v>
      </c>
      <c r="N264" s="60">
        <f t="shared" si="82"/>
        <v>88.081195468551556</v>
      </c>
      <c r="O264" s="60">
        <f t="shared" si="82"/>
        <v>91.044408116385512</v>
      </c>
      <c r="P264" s="60">
        <f t="shared" si="82"/>
        <v>85.272653907420619</v>
      </c>
      <c r="Q264" s="60">
        <f t="shared" si="82"/>
        <v>86.740304380018429</v>
      </c>
      <c r="R264" s="60">
        <f t="shared" si="82"/>
        <v>89.771772766846297</v>
      </c>
      <c r="S264" s="60">
        <f t="shared" si="82"/>
        <v>90.56847174645803</v>
      </c>
      <c r="T264" s="60">
        <f t="shared" si="82"/>
        <v>93.20582108773813</v>
      </c>
      <c r="U264" s="60">
        <f t="shared" si="82"/>
        <v>92.486409305086809</v>
      </c>
      <c r="V264" s="60">
        <f t="shared" si="82"/>
        <v>93.009965010845491</v>
      </c>
    </row>
    <row r="265" spans="3:22" x14ac:dyDescent="0.2">
      <c r="C265" s="88" t="s">
        <v>142</v>
      </c>
      <c r="D265" s="62">
        <f t="shared" ref="D265:V265" si="83">+IFERROR(IF(D226&gt;0,+((D226/D32)*100)," "),"")</f>
        <v>83.167688013641438</v>
      </c>
      <c r="E265" s="62">
        <f t="shared" si="83"/>
        <v>89.536395260815439</v>
      </c>
      <c r="F265" s="62">
        <f t="shared" si="83"/>
        <v>88.650038060297405</v>
      </c>
      <c r="G265" s="62">
        <f t="shared" si="83"/>
        <v>82.614877485385847</v>
      </c>
      <c r="H265" s="62">
        <f t="shared" si="83"/>
        <v>79.651348856461411</v>
      </c>
      <c r="I265" s="62">
        <f t="shared" si="83"/>
        <v>80.365179045066739</v>
      </c>
      <c r="J265" s="62">
        <f t="shared" si="83"/>
        <v>67.782110366674431</v>
      </c>
      <c r="K265" s="62">
        <f t="shared" si="83"/>
        <v>69.001217011303623</v>
      </c>
      <c r="L265" s="62">
        <f t="shared" si="83"/>
        <v>79.647816572961176</v>
      </c>
      <c r="M265" s="62">
        <f t="shared" si="83"/>
        <v>70.492707530106728</v>
      </c>
      <c r="N265" s="62">
        <f t="shared" si="83"/>
        <v>40.346109365606409</v>
      </c>
      <c r="O265" s="62">
        <f t="shared" si="83"/>
        <v>82.656168256764673</v>
      </c>
      <c r="P265" s="62">
        <f t="shared" si="83"/>
        <v>84.020090729900318</v>
      </c>
      <c r="Q265" s="62">
        <f t="shared" si="83"/>
        <v>63.426008258791434</v>
      </c>
      <c r="R265" s="62">
        <f t="shared" si="83"/>
        <v>82.658910071418347</v>
      </c>
      <c r="S265" s="62">
        <f t="shared" si="83"/>
        <v>86.947892955976187</v>
      </c>
      <c r="T265" s="62">
        <f t="shared" si="83"/>
        <v>90.97095266325509</v>
      </c>
      <c r="U265" s="62">
        <f t="shared" si="83"/>
        <v>89.855893559041291</v>
      </c>
      <c r="V265" s="62">
        <f t="shared" si="83"/>
        <v>91.477638628597404</v>
      </c>
    </row>
    <row r="266" spans="3:22" x14ac:dyDescent="0.2">
      <c r="C266" s="87" t="s">
        <v>143</v>
      </c>
      <c r="D266" s="60">
        <f t="shared" ref="D266:V266" si="84">+IFERROR(IF(D227&gt;0,+((D227/D33)*100)," "),"")</f>
        <v>85.507572243251104</v>
      </c>
      <c r="E266" s="60">
        <f t="shared" si="84"/>
        <v>94.604477988158692</v>
      </c>
      <c r="F266" s="60">
        <f t="shared" si="84"/>
        <v>88.42694591658406</v>
      </c>
      <c r="G266" s="60">
        <f t="shared" si="84"/>
        <v>89.070877072591884</v>
      </c>
      <c r="H266" s="60">
        <f t="shared" si="84"/>
        <v>93.824130920661872</v>
      </c>
      <c r="I266" s="60">
        <f t="shared" si="84"/>
        <v>91.013857595711983</v>
      </c>
      <c r="J266" s="60">
        <f t="shared" si="84"/>
        <v>90.462463283363775</v>
      </c>
      <c r="K266" s="60">
        <f t="shared" si="84"/>
        <v>92.300732973923573</v>
      </c>
      <c r="L266" s="60">
        <f t="shared" si="84"/>
        <v>96.383457287142107</v>
      </c>
      <c r="M266" s="60">
        <f t="shared" si="84"/>
        <v>90.536090582530363</v>
      </c>
      <c r="N266" s="60">
        <f t="shared" si="84"/>
        <v>90.348135031628161</v>
      </c>
      <c r="O266" s="60">
        <f t="shared" si="84"/>
        <v>80.826195251291182</v>
      </c>
      <c r="P266" s="60">
        <f t="shared" si="84"/>
        <v>51.16234313028091</v>
      </c>
      <c r="Q266" s="60">
        <f t="shared" si="84"/>
        <v>63.551122362474509</v>
      </c>
      <c r="R266" s="60">
        <f t="shared" si="84"/>
        <v>53.719215330014578</v>
      </c>
      <c r="S266" s="60">
        <f t="shared" si="84"/>
        <v>71.03220637934497</v>
      </c>
      <c r="T266" s="60">
        <f t="shared" si="84"/>
        <v>61.416622154839708</v>
      </c>
      <c r="U266" s="60">
        <f t="shared" si="84"/>
        <v>51.435139131465476</v>
      </c>
      <c r="V266" s="60">
        <f t="shared" si="84"/>
        <v>71.111358660028031</v>
      </c>
    </row>
    <row r="267" spans="3:22" x14ac:dyDescent="0.2">
      <c r="C267" s="88" t="s">
        <v>144</v>
      </c>
      <c r="D267" s="62">
        <f t="shared" ref="D267:V267" si="85">+IFERROR(IF(D228&gt;0,+((D228/D34)*100)," "),"")</f>
        <v>94.85167884324234</v>
      </c>
      <c r="E267" s="62">
        <f t="shared" si="85"/>
        <v>96.55208815103758</v>
      </c>
      <c r="F267" s="62">
        <f t="shared" si="85"/>
        <v>93.956492496096445</v>
      </c>
      <c r="G267" s="62">
        <f t="shared" si="85"/>
        <v>95.361019689010448</v>
      </c>
      <c r="H267" s="62">
        <f t="shared" si="85"/>
        <v>85.859171866621594</v>
      </c>
      <c r="I267" s="62">
        <f t="shared" si="85"/>
        <v>97.033369539644809</v>
      </c>
      <c r="J267" s="62">
        <f t="shared" si="85"/>
        <v>96.764740284827127</v>
      </c>
      <c r="K267" s="62">
        <f t="shared" si="85"/>
        <v>97.894354014673866</v>
      </c>
      <c r="L267" s="62">
        <f t="shared" si="85"/>
        <v>96.752565123296208</v>
      </c>
      <c r="M267" s="62">
        <f t="shared" si="85"/>
        <v>95.830914252418339</v>
      </c>
      <c r="N267" s="62">
        <f t="shared" si="85"/>
        <v>96.500329956555731</v>
      </c>
      <c r="O267" s="62">
        <f t="shared" si="85"/>
        <v>94.800994502082887</v>
      </c>
      <c r="P267" s="62">
        <f t="shared" si="85"/>
        <v>92.788429975371159</v>
      </c>
      <c r="Q267" s="62">
        <f t="shared" si="85"/>
        <v>98.733673552121402</v>
      </c>
      <c r="R267" s="62">
        <f t="shared" si="85"/>
        <v>97.896015258278979</v>
      </c>
      <c r="S267" s="62">
        <f t="shared" si="85"/>
        <v>95.690988017057848</v>
      </c>
      <c r="T267" s="62">
        <f t="shared" si="85"/>
        <v>93.12010826845875</v>
      </c>
      <c r="U267" s="62">
        <f t="shared" si="85"/>
        <v>94.245991873108409</v>
      </c>
      <c r="V267" s="62">
        <f t="shared" si="85"/>
        <v>98.450874930599852</v>
      </c>
    </row>
    <row r="268" spans="3:22" x14ac:dyDescent="0.2">
      <c r="C268" s="87" t="s">
        <v>145</v>
      </c>
      <c r="D268" s="60">
        <f t="shared" ref="D268:V268" si="86">+IFERROR(IF(D229&gt;0,+((D229/D35)*100)," "),"")</f>
        <v>81.665038710004424</v>
      </c>
      <c r="E268" s="60">
        <f t="shared" si="86"/>
        <v>65.997550993222319</v>
      </c>
      <c r="F268" s="60">
        <f t="shared" si="86"/>
        <v>76.238303262239711</v>
      </c>
      <c r="G268" s="60">
        <f t="shared" si="86"/>
        <v>71.038803146064197</v>
      </c>
      <c r="H268" s="60">
        <f t="shared" si="86"/>
        <v>85.231398629819381</v>
      </c>
      <c r="I268" s="60">
        <f t="shared" si="86"/>
        <v>93.166720655702093</v>
      </c>
      <c r="J268" s="60">
        <f t="shared" si="86"/>
        <v>83.543208961332027</v>
      </c>
      <c r="K268" s="60">
        <f t="shared" si="86"/>
        <v>87.209940673290859</v>
      </c>
      <c r="L268" s="60">
        <f t="shared" si="86"/>
        <v>91.018849549486021</v>
      </c>
      <c r="M268" s="60">
        <f t="shared" si="86"/>
        <v>90.576859044865614</v>
      </c>
      <c r="N268" s="60">
        <f t="shared" si="86"/>
        <v>96.149395341580302</v>
      </c>
      <c r="O268" s="60">
        <f t="shared" si="86"/>
        <v>84.714152116007597</v>
      </c>
      <c r="P268" s="60">
        <f t="shared" si="86"/>
        <v>88.82925081708828</v>
      </c>
      <c r="Q268" s="60">
        <f t="shared" si="86"/>
        <v>83.651068028319386</v>
      </c>
      <c r="R268" s="60">
        <f t="shared" si="86"/>
        <v>92.433887976760204</v>
      </c>
      <c r="S268" s="60">
        <f t="shared" si="86"/>
        <v>90.977132056994847</v>
      </c>
      <c r="T268" s="60">
        <f t="shared" si="86"/>
        <v>92.279563204555288</v>
      </c>
      <c r="U268" s="60">
        <f t="shared" si="86"/>
        <v>91.681343997004404</v>
      </c>
      <c r="V268" s="60">
        <f t="shared" si="86"/>
        <v>96.910871954788675</v>
      </c>
    </row>
    <row r="269" spans="3:22" x14ac:dyDescent="0.2">
      <c r="C269" s="88" t="s">
        <v>146</v>
      </c>
      <c r="D269" s="62">
        <f t="shared" ref="D269:V269" si="87">+IFERROR(IF(D230&gt;0,+((D230/D36)*100)," "),"")</f>
        <v>90.831698627213441</v>
      </c>
      <c r="E269" s="62">
        <f t="shared" si="87"/>
        <v>92.909102370520486</v>
      </c>
      <c r="F269" s="62">
        <f t="shared" si="87"/>
        <v>84.754796584108149</v>
      </c>
      <c r="G269" s="62">
        <f t="shared" si="87"/>
        <v>95.25029561830398</v>
      </c>
      <c r="H269" s="62">
        <f t="shared" si="87"/>
        <v>87.912488550006927</v>
      </c>
      <c r="I269" s="62">
        <f t="shared" si="87"/>
        <v>86.168483853128819</v>
      </c>
      <c r="J269" s="62">
        <f t="shared" si="87"/>
        <v>86.550829775616947</v>
      </c>
      <c r="K269" s="62">
        <f t="shared" si="87"/>
        <v>83.789712977218429</v>
      </c>
      <c r="L269" s="62">
        <f t="shared" si="87"/>
        <v>88.329227847649449</v>
      </c>
      <c r="M269" s="62">
        <f t="shared" si="87"/>
        <v>91.96229687830521</v>
      </c>
      <c r="N269" s="62">
        <f t="shared" si="87"/>
        <v>83.848379235742698</v>
      </c>
      <c r="O269" s="62">
        <f t="shared" si="87"/>
        <v>93.486109055330218</v>
      </c>
      <c r="P269" s="62">
        <f t="shared" si="87"/>
        <v>93.307643599403974</v>
      </c>
      <c r="Q269" s="62">
        <f t="shared" si="87"/>
        <v>92.152367309688984</v>
      </c>
      <c r="R269" s="62">
        <f t="shared" si="87"/>
        <v>97.250215637261988</v>
      </c>
      <c r="S269" s="62">
        <f t="shared" si="87"/>
        <v>97.38868917076563</v>
      </c>
      <c r="T269" s="62">
        <f t="shared" si="87"/>
        <v>95.754963761902729</v>
      </c>
      <c r="U269" s="62">
        <f t="shared" si="87"/>
        <v>92.576920596906803</v>
      </c>
      <c r="V269" s="62">
        <f t="shared" si="87"/>
        <v>87.600307237508318</v>
      </c>
    </row>
    <row r="270" spans="3:22" x14ac:dyDescent="0.2">
      <c r="C270" s="90" t="s">
        <v>147</v>
      </c>
      <c r="D270" s="61">
        <f t="shared" ref="D270:V270" si="88">+IFERROR(IF(D231&gt;0,+((D231/D37)*100)," "),"")</f>
        <v>91.592346669064582</v>
      </c>
      <c r="E270" s="61">
        <f t="shared" si="88"/>
        <v>96.807476304320929</v>
      </c>
      <c r="F270" s="61">
        <f t="shared" si="88"/>
        <v>97.807631738959117</v>
      </c>
      <c r="G270" s="61">
        <f t="shared" si="88"/>
        <v>96.263455975993409</v>
      </c>
      <c r="H270" s="61">
        <f t="shared" si="88"/>
        <v>92.196077198148231</v>
      </c>
      <c r="I270" s="61">
        <f t="shared" si="88"/>
        <v>93.339318794760999</v>
      </c>
      <c r="J270" s="61">
        <f t="shared" si="88"/>
        <v>92.667001759992417</v>
      </c>
      <c r="K270" s="61">
        <f t="shared" si="88"/>
        <v>95.578336548935496</v>
      </c>
      <c r="L270" s="61">
        <f t="shared" si="88"/>
        <v>97.1658324598842</v>
      </c>
      <c r="M270" s="61">
        <f t="shared" si="88"/>
        <v>85.604158756290389</v>
      </c>
      <c r="N270" s="61">
        <f t="shared" si="88"/>
        <v>71.64243473505546</v>
      </c>
      <c r="O270" s="61">
        <f t="shared" si="88"/>
        <v>80.824976033420924</v>
      </c>
      <c r="P270" s="61">
        <f t="shared" si="88"/>
        <v>77.974926317029031</v>
      </c>
      <c r="Q270" s="61">
        <f t="shared" si="88"/>
        <v>91.752817087840697</v>
      </c>
      <c r="R270" s="61">
        <f t="shared" si="88"/>
        <v>85.124962628712524</v>
      </c>
      <c r="S270" s="61">
        <f t="shared" si="88"/>
        <v>86.139725155935992</v>
      </c>
      <c r="T270" s="61">
        <f t="shared" si="88"/>
        <v>89.013576113292757</v>
      </c>
      <c r="U270" s="61">
        <f t="shared" si="88"/>
        <v>92.153741001025168</v>
      </c>
      <c r="V270" s="61">
        <f t="shared" si="88"/>
        <v>90.625080537607289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+IFERROR(IF(D232&gt;0,+((D232/D38)*100),"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77.692399336423705</v>
      </c>
    </row>
    <row r="272" spans="3:22" x14ac:dyDescent="0.2">
      <c r="C272" s="87" t="s">
        <v>149</v>
      </c>
      <c r="D272" s="60">
        <f t="shared" ref="D272:V272" si="90">+IFERROR(IF(D233&gt;0,+((D233/D39)*100)," "),"")</f>
        <v>42.218964693027559</v>
      </c>
      <c r="E272" s="60">
        <f t="shared" si="90"/>
        <v>41.591470670375067</v>
      </c>
      <c r="F272" s="60">
        <f t="shared" si="90"/>
        <v>45.591173129883373</v>
      </c>
      <c r="G272" s="60">
        <f t="shared" si="90"/>
        <v>57.305835061775177</v>
      </c>
      <c r="H272" s="60">
        <f t="shared" si="90"/>
        <v>52.722488140175081</v>
      </c>
      <c r="I272" s="60">
        <f t="shared" si="90"/>
        <v>26.527341642838596</v>
      </c>
      <c r="J272" s="60">
        <f t="shared" si="90"/>
        <v>49.440147824169479</v>
      </c>
      <c r="K272" s="60">
        <f t="shared" si="90"/>
        <v>51.441175629627224</v>
      </c>
      <c r="L272" s="60">
        <f t="shared" si="90"/>
        <v>60.643121303936141</v>
      </c>
      <c r="M272" s="60">
        <f t="shared" si="90"/>
        <v>52.176450035454415</v>
      </c>
      <c r="N272" s="60">
        <f t="shared" si="90"/>
        <v>67.807028195033553</v>
      </c>
      <c r="O272" s="60">
        <f t="shared" si="90"/>
        <v>73.228085352258105</v>
      </c>
      <c r="P272" s="60">
        <f t="shared" si="90"/>
        <v>69.403142174661582</v>
      </c>
      <c r="Q272" s="60">
        <f t="shared" si="90"/>
        <v>67.190852277095189</v>
      </c>
      <c r="R272" s="60">
        <f t="shared" si="90"/>
        <v>73.394951737224062</v>
      </c>
      <c r="S272" s="60">
        <f t="shared" si="90"/>
        <v>83.216262279164368</v>
      </c>
      <c r="T272" s="60">
        <f t="shared" si="90"/>
        <v>88.591183011775527</v>
      </c>
      <c r="U272" s="60">
        <f t="shared" si="90"/>
        <v>92.315765732418029</v>
      </c>
      <c r="V272" s="60">
        <f t="shared" si="90"/>
        <v>78.744645848880239</v>
      </c>
    </row>
    <row r="273" spans="3:22" x14ac:dyDescent="0.2">
      <c r="C273" s="88" t="s">
        <v>150</v>
      </c>
      <c r="D273" s="62">
        <f t="shared" ref="D273:V273" si="91">+IFERROR(IF(D234&gt;0,+((D234/D40)*100)," "),"")</f>
        <v>84.91277216771131</v>
      </c>
      <c r="E273" s="62">
        <f t="shared" si="91"/>
        <v>81.184314587428617</v>
      </c>
      <c r="F273" s="62">
        <f t="shared" si="91"/>
        <v>55.073755029895146</v>
      </c>
      <c r="G273" s="62">
        <f t="shared" si="91"/>
        <v>90.51187341540296</v>
      </c>
      <c r="H273" s="62">
        <f t="shared" si="91"/>
        <v>89.926905704330608</v>
      </c>
      <c r="I273" s="62">
        <f t="shared" si="91"/>
        <v>87.483695357271813</v>
      </c>
      <c r="J273" s="62">
        <f t="shared" si="91"/>
        <v>79.578040594051231</v>
      </c>
      <c r="K273" s="62">
        <f t="shared" si="91"/>
        <v>81.173797235154652</v>
      </c>
      <c r="L273" s="62">
        <f t="shared" si="91"/>
        <v>85.309410044258755</v>
      </c>
      <c r="M273" s="62">
        <f t="shared" si="91"/>
        <v>84.821073060126523</v>
      </c>
      <c r="N273" s="62">
        <f t="shared" si="91"/>
        <v>85.39605699798426</v>
      </c>
      <c r="O273" s="62">
        <f t="shared" si="91"/>
        <v>70.972044857142265</v>
      </c>
      <c r="P273" s="62">
        <f t="shared" si="91"/>
        <v>88.328497059783871</v>
      </c>
      <c r="Q273" s="62">
        <f t="shared" si="91"/>
        <v>84.667879232341306</v>
      </c>
      <c r="R273" s="62">
        <f t="shared" si="91"/>
        <v>88.760711632864016</v>
      </c>
      <c r="S273" s="62">
        <f t="shared" si="91"/>
        <v>89.636815922199375</v>
      </c>
      <c r="T273" s="62">
        <f t="shared" si="91"/>
        <v>92.55604460001355</v>
      </c>
      <c r="U273" s="62">
        <f t="shared" si="91"/>
        <v>89.045214029596039</v>
      </c>
      <c r="V273" s="62">
        <f t="shared" si="91"/>
        <v>93.679311167834868</v>
      </c>
    </row>
    <row r="274" spans="3:22" x14ac:dyDescent="0.2">
      <c r="C274" s="87" t="s">
        <v>151</v>
      </c>
      <c r="D274" s="60">
        <f t="shared" ref="D274:V274" si="92">+IFERROR(IF(D235&gt;0,+((D235/D41)*100)," "),"")</f>
        <v>80.798488383008831</v>
      </c>
      <c r="E274" s="60">
        <f t="shared" si="92"/>
        <v>77.569739794263654</v>
      </c>
      <c r="F274" s="60">
        <f t="shared" si="92"/>
        <v>74.535068244816088</v>
      </c>
      <c r="G274" s="60">
        <f t="shared" si="92"/>
        <v>69.120805564506895</v>
      </c>
      <c r="H274" s="60">
        <f t="shared" si="92"/>
        <v>55.056568884149556</v>
      </c>
      <c r="I274" s="60">
        <f t="shared" si="92"/>
        <v>77.715454967376246</v>
      </c>
      <c r="J274" s="60">
        <f t="shared" si="92"/>
        <v>56.79595543391779</v>
      </c>
      <c r="K274" s="60">
        <f t="shared" si="92"/>
        <v>66.44341284444107</v>
      </c>
      <c r="L274" s="60">
        <f t="shared" si="92"/>
        <v>81.411518646117969</v>
      </c>
      <c r="M274" s="60">
        <f t="shared" si="92"/>
        <v>90.643937565753575</v>
      </c>
      <c r="N274" s="60">
        <f t="shared" si="92"/>
        <v>72.580292234870413</v>
      </c>
      <c r="O274" s="60">
        <f t="shared" si="92"/>
        <v>98.006519659262878</v>
      </c>
      <c r="P274" s="60">
        <f t="shared" si="92"/>
        <v>99.077536123038001</v>
      </c>
      <c r="Q274" s="60">
        <f t="shared" si="92"/>
        <v>99.613262105117457</v>
      </c>
      <c r="R274" s="60">
        <f t="shared" si="92"/>
        <v>99.541800715356814</v>
      </c>
      <c r="S274" s="60">
        <f t="shared" si="92"/>
        <v>99.021884337048235</v>
      </c>
      <c r="T274" s="60">
        <f t="shared" si="92"/>
        <v>99.25622838323109</v>
      </c>
      <c r="U274" s="60">
        <f t="shared" si="92"/>
        <v>99.507595818516421</v>
      </c>
      <c r="V274" s="60">
        <f t="shared" si="92"/>
        <v>99.485005031816996</v>
      </c>
    </row>
    <row r="275" spans="3:22" x14ac:dyDescent="0.2">
      <c r="C275" s="91" t="s">
        <v>179</v>
      </c>
      <c r="D275" s="64">
        <f t="shared" ref="D275:V275" si="93">+IFERROR(IF(D236&gt;0,+((D236/D42)*100)," "),"")</f>
        <v>83.37900557854752</v>
      </c>
      <c r="E275" s="64">
        <f t="shared" si="93"/>
        <v>90.992420672840026</v>
      </c>
      <c r="F275" s="64">
        <f t="shared" si="93"/>
        <v>89.990395035672094</v>
      </c>
      <c r="G275" s="64">
        <f t="shared" si="93"/>
        <v>91.248011217710939</v>
      </c>
      <c r="H275" s="64">
        <f t="shared" si="93"/>
        <v>89.752804298424365</v>
      </c>
      <c r="I275" s="64">
        <f t="shared" si="93"/>
        <v>92.795371879449348</v>
      </c>
      <c r="J275" s="64">
        <f t="shared" si="93"/>
        <v>91.929746631120508</v>
      </c>
      <c r="K275" s="64">
        <f t="shared" si="93"/>
        <v>93.293974199324268</v>
      </c>
      <c r="L275" s="64">
        <f t="shared" si="93"/>
        <v>93.518467529042198</v>
      </c>
      <c r="M275" s="64">
        <f t="shared" si="93"/>
        <v>89.259091395218945</v>
      </c>
      <c r="N275" s="64">
        <f t="shared" si="93"/>
        <v>84.654833232535751</v>
      </c>
      <c r="O275" s="64">
        <f t="shared" si="93"/>
        <v>89.670612456767046</v>
      </c>
      <c r="P275" s="64">
        <f t="shared" si="93"/>
        <v>88.384184561317653</v>
      </c>
      <c r="Q275" s="64">
        <f t="shared" si="93"/>
        <v>89.388234074589306</v>
      </c>
      <c r="R275" s="64">
        <f t="shared" si="93"/>
        <v>88.572856476966194</v>
      </c>
      <c r="S275" s="64">
        <f t="shared" si="93"/>
        <v>91.869949805959834</v>
      </c>
      <c r="T275" s="64">
        <f t="shared" si="93"/>
        <v>92.881821882546049</v>
      </c>
      <c r="U275" s="64">
        <f t="shared" si="93"/>
        <v>93.826601156822704</v>
      </c>
      <c r="V275" s="64">
        <f t="shared" si="93"/>
        <v>93.743188989527908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D2:V2"/>
    <mergeCell ref="A5:C6"/>
    <mergeCell ref="K205:K206"/>
    <mergeCell ref="V244:V245"/>
    <mergeCell ref="D126:V126"/>
    <mergeCell ref="L165:Q165"/>
    <mergeCell ref="O6:O7"/>
    <mergeCell ref="D50:D51"/>
    <mergeCell ref="L87:Q87"/>
    <mergeCell ref="K167:K168"/>
    <mergeCell ref="C89:C90"/>
    <mergeCell ref="D4:V4"/>
    <mergeCell ref="H6:H7"/>
    <mergeCell ref="K244:K245"/>
    <mergeCell ref="J6:J7"/>
    <mergeCell ref="C205:C206"/>
    <mergeCell ref="E205:E206"/>
    <mergeCell ref="H167:H168"/>
    <mergeCell ref="K50:K51"/>
    <mergeCell ref="V6:V7"/>
    <mergeCell ref="L205:L206"/>
    <mergeCell ref="T167:T168"/>
    <mergeCell ref="V167:V168"/>
    <mergeCell ref="E167:E168"/>
    <mergeCell ref="L242:Q242"/>
    <mergeCell ref="V89:V90"/>
    <mergeCell ref="V50:V51"/>
    <mergeCell ref="I128:I129"/>
    <mergeCell ref="P244:P245"/>
    <mergeCell ref="D244:D245"/>
    <mergeCell ref="F244:F245"/>
    <mergeCell ref="S167:S168"/>
    <mergeCell ref="G167:G168"/>
    <mergeCell ref="M89:M90"/>
    <mergeCell ref="I167:I168"/>
    <mergeCell ref="O89:O90"/>
    <mergeCell ref="F167:F168"/>
    <mergeCell ref="G89:G90"/>
    <mergeCell ref="I244:I245"/>
    <mergeCell ref="E244:E245"/>
    <mergeCell ref="D6:D7"/>
    <mergeCell ref="I89:I90"/>
    <mergeCell ref="D128:D129"/>
    <mergeCell ref="F6:F7"/>
    <mergeCell ref="F128:F129"/>
    <mergeCell ref="D47:V47"/>
    <mergeCell ref="F205:F206"/>
    <mergeCell ref="H89:H90"/>
    <mergeCell ref="E11:E12"/>
    <mergeCell ref="E6:E7"/>
    <mergeCell ref="L128:L129"/>
    <mergeCell ref="N128:N129"/>
    <mergeCell ref="D203:V203"/>
    <mergeCell ref="D89:D90"/>
    <mergeCell ref="M205:M206"/>
    <mergeCell ref="Q128:Q129"/>
    <mergeCell ref="R244:R245"/>
    <mergeCell ref="F50:F51"/>
    <mergeCell ref="L244:L245"/>
    <mergeCell ref="D241:V241"/>
    <mergeCell ref="I205:I206"/>
    <mergeCell ref="N244:N245"/>
    <mergeCell ref="R89:R90"/>
    <mergeCell ref="S50:S51"/>
    <mergeCell ref="G11:G12"/>
    <mergeCell ref="R167:R168"/>
    <mergeCell ref="O205:O206"/>
    <mergeCell ref="Q205:Q206"/>
    <mergeCell ref="D164:V164"/>
    <mergeCell ref="C11:C12"/>
    <mergeCell ref="U128:U129"/>
    <mergeCell ref="R11:R12"/>
    <mergeCell ref="H205:H206"/>
    <mergeCell ref="C167:C168"/>
    <mergeCell ref="O50:O51"/>
    <mergeCell ref="N167:N168"/>
    <mergeCell ref="T89:T90"/>
    <mergeCell ref="Q50:Q51"/>
    <mergeCell ref="A7:C7"/>
    <mergeCell ref="U50:U51"/>
    <mergeCell ref="I11:I12"/>
    <mergeCell ref="P128:P129"/>
    <mergeCell ref="S11:S12"/>
    <mergeCell ref="R128:R129"/>
    <mergeCell ref="U11:U12"/>
    <mergeCell ref="M11:M12"/>
    <mergeCell ref="F89:F90"/>
    <mergeCell ref="C50:C51"/>
    <mergeCell ref="K11:K12"/>
    <mergeCell ref="J89:J90"/>
    <mergeCell ref="G6:G7"/>
    <mergeCell ref="L89:L90"/>
    <mergeCell ref="U6:U7"/>
    <mergeCell ref="N50:N51"/>
    <mergeCell ref="P50:P51"/>
    <mergeCell ref="D11:D12"/>
    <mergeCell ref="M128:M129"/>
    <mergeCell ref="P11:P12"/>
    <mergeCell ref="O128:O129"/>
    <mergeCell ref="E128:E129"/>
    <mergeCell ref="G128:G129"/>
    <mergeCell ref="M6:M7"/>
    <mergeCell ref="S244:S245"/>
    <mergeCell ref="R6:R7"/>
    <mergeCell ref="H11:H12"/>
    <mergeCell ref="T50:T51"/>
    <mergeCell ref="J11:J12"/>
    <mergeCell ref="S128:S129"/>
    <mergeCell ref="R205:R206"/>
    <mergeCell ref="H128:H129"/>
    <mergeCell ref="J128:J129"/>
    <mergeCell ref="T128:T129"/>
    <mergeCell ref="T11:T12"/>
    <mergeCell ref="Q11:Q12"/>
    <mergeCell ref="I50:I51"/>
    <mergeCell ref="P167:P168"/>
    <mergeCell ref="H244:H245"/>
    <mergeCell ref="J244:J245"/>
    <mergeCell ref="Q6:Q7"/>
    <mergeCell ref="S6:S7"/>
    <mergeCell ref="O167:O168"/>
    <mergeCell ref="R50:R51"/>
    <mergeCell ref="Q167:Q168"/>
    <mergeCell ref="S205:S206"/>
    <mergeCell ref="O11:O12"/>
    <mergeCell ref="J50:J51"/>
    <mergeCell ref="V205:V206"/>
    <mergeCell ref="E50:E51"/>
    <mergeCell ref="D167:D168"/>
    <mergeCell ref="G50:G51"/>
    <mergeCell ref="G205:G206"/>
    <mergeCell ref="V11:V12"/>
    <mergeCell ref="L6:L7"/>
    <mergeCell ref="Q89:Q90"/>
    <mergeCell ref="N6:N7"/>
    <mergeCell ref="S89:S90"/>
    <mergeCell ref="U89:U90"/>
    <mergeCell ref="F11:F12"/>
    <mergeCell ref="L167:L168"/>
    <mergeCell ref="P6:P7"/>
    <mergeCell ref="U205:U206"/>
    <mergeCell ref="L50:L51"/>
    <mergeCell ref="L48:Q48"/>
    <mergeCell ref="T6:T7"/>
    <mergeCell ref="U167:U168"/>
    <mergeCell ref="L11:L12"/>
    <mergeCell ref="K128:K129"/>
    <mergeCell ref="D86:V86"/>
    <mergeCell ref="N11:N12"/>
    <mergeCell ref="P205:P206"/>
    <mergeCell ref="D205:D206"/>
    <mergeCell ref="C244:C245"/>
    <mergeCell ref="U244:U245"/>
    <mergeCell ref="M244:M245"/>
    <mergeCell ref="O244:O245"/>
    <mergeCell ref="N205:N206"/>
    <mergeCell ref="I6:I7"/>
    <mergeCell ref="N89:N90"/>
    <mergeCell ref="K6:K7"/>
    <mergeCell ref="T244:T245"/>
    <mergeCell ref="P89:P90"/>
    <mergeCell ref="M50:M51"/>
    <mergeCell ref="J205:J206"/>
    <mergeCell ref="M167:M168"/>
    <mergeCell ref="C128:C129"/>
    <mergeCell ref="G244:G245"/>
    <mergeCell ref="J167:J168"/>
    <mergeCell ref="K89:K90"/>
    <mergeCell ref="D9:V9"/>
    <mergeCell ref="T205:T206"/>
    <mergeCell ref="Q244:Q245"/>
    <mergeCell ref="H50:H51"/>
    <mergeCell ref="E89:E90"/>
    <mergeCell ref="V128:V129"/>
  </mergeCells>
  <pageMargins left="0.7" right="0.7" top="0.75" bottom="0.75" header="0.3" footer="0.3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L299"/>
  <sheetViews>
    <sheetView showGridLines="0" zoomScaleNormal="100" workbookViewId="0">
      <pane xSplit="3" ySplit="9" topLeftCell="D2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7" sqref="C47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2" s="102" customFormat="1" ht="16.5" customHeight="1" x14ac:dyDescent="0.25">
      <c r="A3" s="120"/>
      <c r="B3" s="98"/>
      <c r="C3" s="98"/>
      <c r="D3" s="175"/>
      <c r="E3" s="175"/>
      <c r="F3" s="175"/>
      <c r="G3" s="175"/>
      <c r="H3" s="175"/>
      <c r="I3" s="175"/>
      <c r="J3" s="175"/>
      <c r="K3" s="175"/>
    </row>
    <row r="4" spans="1:12" s="102" customFormat="1" ht="16.5" customHeight="1" x14ac:dyDescent="0.25">
      <c r="A4" s="99"/>
      <c r="B4" s="98"/>
      <c r="C4" s="98"/>
      <c r="D4" s="175"/>
      <c r="E4" s="175"/>
      <c r="F4" s="175"/>
      <c r="G4" s="175"/>
      <c r="H4" s="175"/>
      <c r="I4" s="175"/>
      <c r="J4" s="175"/>
      <c r="K4" s="175"/>
    </row>
    <row r="5" spans="1:12" s="102" customFormat="1" ht="16.5" customHeight="1" x14ac:dyDescent="0.25">
      <c r="A5" s="99"/>
      <c r="B5" s="98"/>
      <c r="C5" s="98"/>
      <c r="D5" s="139"/>
      <c r="E5" s="139"/>
      <c r="F5" s="139"/>
      <c r="G5" s="139"/>
      <c r="H5" s="139"/>
      <c r="I5" s="139"/>
      <c r="J5" s="139"/>
      <c r="K5" s="139"/>
    </row>
    <row r="6" spans="1:12" s="102" customFormat="1" ht="16.5" customHeight="1" x14ac:dyDescent="0.25">
      <c r="A6" s="99"/>
      <c r="B6" s="98"/>
      <c r="C6" s="98"/>
      <c r="D6" s="161"/>
      <c r="E6" s="175"/>
      <c r="F6" s="175"/>
      <c r="G6" s="175"/>
      <c r="H6" s="175"/>
      <c r="I6" s="175"/>
      <c r="J6" s="175"/>
      <c r="K6" s="175"/>
    </row>
    <row r="7" spans="1:12" s="102" customFormat="1" ht="16.5" customHeight="1" x14ac:dyDescent="0.25">
      <c r="A7" s="165" t="s">
        <v>186</v>
      </c>
      <c r="B7" s="175"/>
      <c r="C7" s="175"/>
      <c r="D7" s="147"/>
      <c r="E7" s="147"/>
      <c r="F7" s="147"/>
      <c r="G7" s="147"/>
      <c r="H7" s="147"/>
      <c r="I7" s="147"/>
      <c r="J7" s="147"/>
      <c r="K7" s="147"/>
    </row>
    <row r="8" spans="1:12" s="102" customFormat="1" ht="16.5" customHeight="1" x14ac:dyDescent="0.25">
      <c r="A8" s="175"/>
      <c r="B8" s="175"/>
      <c r="C8" s="175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2" ht="16.5" customHeight="1" x14ac:dyDescent="0.2">
      <c r="A9" s="162" t="s">
        <v>227</v>
      </c>
      <c r="B9" s="156"/>
      <c r="C9" s="156"/>
      <c r="D9" s="156"/>
      <c r="E9" s="178"/>
      <c r="F9" s="178"/>
      <c r="G9" s="178"/>
      <c r="H9" s="178"/>
      <c r="I9" s="178"/>
      <c r="J9" s="178"/>
      <c r="K9" s="178"/>
    </row>
    <row r="10" spans="1:12" ht="16.5" customHeight="1" x14ac:dyDescent="0.2">
      <c r="D10" s="132"/>
      <c r="E10" s="132"/>
      <c r="F10" s="132"/>
      <c r="G10" s="132"/>
      <c r="H10" s="132"/>
      <c r="I10" s="132"/>
      <c r="J10" s="132"/>
      <c r="K10" s="132"/>
    </row>
    <row r="11" spans="1:12" ht="16.5" customHeight="1" x14ac:dyDescent="0.2">
      <c r="D11" s="155" t="s">
        <v>178</v>
      </c>
      <c r="E11" s="178"/>
      <c r="F11" s="178"/>
      <c r="G11" s="178"/>
      <c r="H11" s="178"/>
      <c r="I11" s="178"/>
      <c r="J11" s="178"/>
      <c r="K11" s="178"/>
      <c r="L11" s="178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2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2" x14ac:dyDescent="0.2">
      <c r="C15" s="87" t="s">
        <v>123</v>
      </c>
      <c r="D15" s="42">
        <f>736.942361246*Deflactores!$T$5</f>
        <v>1143.6800816432626</v>
      </c>
      <c r="E15" s="42">
        <f>725.860149274*Deflactores!$U$5</f>
        <v>1108.632327214691</v>
      </c>
      <c r="F15" s="42">
        <f>637.894146*Deflactores!$V$5</f>
        <v>922.43768681896449</v>
      </c>
      <c r="G15" s="42">
        <f>763.062259641*Deflactores!$W$5</f>
        <v>975.45895325154288</v>
      </c>
      <c r="H15" s="42">
        <f>936.114944514*Deflactores!$X$5</f>
        <v>1095.0589957120337</v>
      </c>
      <c r="I15" s="42">
        <f>1061.435277643*Deflactores!$Y$5</f>
        <v>1180.2829037669242</v>
      </c>
      <c r="J15" s="42">
        <f>858.820829205*Deflactores!$Z$5</f>
        <v>908.63243729889007</v>
      </c>
      <c r="K15" s="42">
        <f>910.513038*Deflactores!$AA$5</f>
        <v>910.51303800000005</v>
      </c>
    </row>
    <row r="16" spans="1:12" x14ac:dyDescent="0.2">
      <c r="C16" s="88" t="s">
        <v>124</v>
      </c>
      <c r="D16" s="50">
        <f>319.431494009*Deflactores!$T$5</f>
        <v>495.7340714271844</v>
      </c>
      <c r="E16" s="50">
        <f>350.177160803*Deflactores!$U$5</f>
        <v>534.83817937484991</v>
      </c>
      <c r="F16" s="50">
        <f>413.202235139*Deflactores!$V$5</f>
        <v>597.51812484895424</v>
      </c>
      <c r="G16" s="50">
        <f>445.54711388*Deflactores!$W$5</f>
        <v>569.56416837350116</v>
      </c>
      <c r="H16" s="50">
        <f>517.842635766*Deflactores!$X$5</f>
        <v>605.76774250003189</v>
      </c>
      <c r="I16" s="50">
        <f>604.031010141*Deflactores!$Y$5</f>
        <v>671.66363284777867</v>
      </c>
      <c r="J16" s="50">
        <f>787.58934808*Deflactores!$Z$5</f>
        <v>833.2695302686401</v>
      </c>
      <c r="K16" s="50">
        <f>682.08457*Deflactores!$AA$5</f>
        <v>682.08456999999999</v>
      </c>
    </row>
    <row r="17" spans="3:11" x14ac:dyDescent="0.2">
      <c r="C17" s="87" t="s">
        <v>125</v>
      </c>
      <c r="D17" s="42">
        <f>23.468888556*Deflactores!$T$5</f>
        <v>36.42198059346314</v>
      </c>
      <c r="E17" s="42">
        <f>24.172511265*Deflactores!$U$5</f>
        <v>36.919546341184152</v>
      </c>
      <c r="F17" s="42">
        <f>25.56990936*Deflactores!$V$5</f>
        <v>36.975802631380461</v>
      </c>
      <c r="G17" s="42">
        <f>27.602653*Deflactores!$W$5</f>
        <v>35.285790460942415</v>
      </c>
      <c r="H17" s="42">
        <f>27.224997*Deflactores!$X$5</f>
        <v>31.847561079757195</v>
      </c>
      <c r="I17" s="42">
        <f>27.813986*Deflactores!$Y$5</f>
        <v>30.928284420987534</v>
      </c>
      <c r="J17" s="42">
        <f>27.025604856*Deflactores!$Z$5</f>
        <v>28.593089937648003</v>
      </c>
      <c r="K17" s="42">
        <f>31.288669554*Deflactores!$AA$5</f>
        <v>31.288669553999998</v>
      </c>
    </row>
    <row r="18" spans="3:11" x14ac:dyDescent="0.2">
      <c r="C18" s="88" t="s">
        <v>126</v>
      </c>
      <c r="D18" s="50">
        <f>655.731683681*Deflactores!$T$5</f>
        <v>1017.6471118587509</v>
      </c>
      <c r="E18" s="50">
        <f>720.222095086*Deflactores!$U$5</f>
        <v>1100.021124159038</v>
      </c>
      <c r="F18" s="50">
        <f>682.760163512*Deflactores!$V$5</f>
        <v>987.31695506443361</v>
      </c>
      <c r="G18" s="50">
        <f>671.693745833*Deflactores!$W$5</f>
        <v>858.65821554865568</v>
      </c>
      <c r="H18" s="50">
        <f>796.753344286*Deflactores!$X$5</f>
        <v>932.03502640052454</v>
      </c>
      <c r="I18" s="50">
        <f>1126.419719992*Deflactores!$Y$5</f>
        <v>1252.5435756429056</v>
      </c>
      <c r="J18" s="50">
        <f>1066.021531823*Deflactores!$Z$5</f>
        <v>1127.8507806687342</v>
      </c>
      <c r="K18" s="50">
        <f>1435.930207216*Deflactores!$AA$5</f>
        <v>1435.9302072160001</v>
      </c>
    </row>
    <row r="19" spans="3:11" x14ac:dyDescent="0.2">
      <c r="C19" s="87" t="s">
        <v>127</v>
      </c>
      <c r="D19" s="42">
        <f>557.367*Deflactores!$T$5</f>
        <v>864.99239233239325</v>
      </c>
      <c r="E19" s="42">
        <f>607.3197*Deflactores!$U$5</f>
        <v>927.58123317246714</v>
      </c>
      <c r="F19" s="42">
        <f>660.634429179*Deflactores!$V$5</f>
        <v>955.32166035090688</v>
      </c>
      <c r="G19" s="42">
        <f>762.603828761*Deflactores!$W$5</f>
        <v>974.87291914922298</v>
      </c>
      <c r="H19" s="42">
        <f>907.149*Deflactores!$X$5</f>
        <v>1061.1748896038689</v>
      </c>
      <c r="I19" s="42">
        <f>1108.608*Deflactores!$Y$5</f>
        <v>1232.7374988749239</v>
      </c>
      <c r="J19" s="42">
        <f>1366.670325863*Deflactores!$Z$5</f>
        <v>1445.9372047630541</v>
      </c>
      <c r="K19" s="42">
        <f>1132.772*Deflactores!$AA$5</f>
        <v>1132.7719999999999</v>
      </c>
    </row>
    <row r="20" spans="3:11" x14ac:dyDescent="0.2">
      <c r="C20" s="88" t="s">
        <v>128</v>
      </c>
      <c r="D20" s="50">
        <f>236.470388119*Deflactores!$T$5</f>
        <v>366.98456624598043</v>
      </c>
      <c r="E20" s="50">
        <f>237.756608422*Deflactores!$U$5</f>
        <v>363.13422409149933</v>
      </c>
      <c r="F20" s="50">
        <f>242.850581438*Deflactores!$V$5</f>
        <v>351.17821661951621</v>
      </c>
      <c r="G20" s="50">
        <f>195.818877282*Deflactores!$W$5</f>
        <v>250.32462901553876</v>
      </c>
      <c r="H20" s="50">
        <f>299.543123779*Deflactores!$X$5</f>
        <v>350.40290107554364</v>
      </c>
      <c r="I20" s="50">
        <f>338.542472654*Deflactores!$Y$5</f>
        <v>376.44866445346264</v>
      </c>
      <c r="J20" s="50">
        <f>341.738676018*Deflactores!$Z$5</f>
        <v>361.55951922704401</v>
      </c>
      <c r="K20" s="50">
        <f>414.806730861*Deflactores!$AA$5</f>
        <v>414.80673086100001</v>
      </c>
    </row>
    <row r="21" spans="3:11" x14ac:dyDescent="0.2">
      <c r="C21" s="87" t="s">
        <v>129</v>
      </c>
      <c r="D21" s="42">
        <f>32430.7509406734*Deflactores!$T$5</f>
        <v>50330.128696727828</v>
      </c>
      <c r="E21" s="42">
        <f>34013.038044002*Deflactores!$U$5</f>
        <v>51949.337017714752</v>
      </c>
      <c r="F21" s="42">
        <f>36719.022628343*Deflactores!$V$5</f>
        <v>53098.167631627606</v>
      </c>
      <c r="G21" s="42">
        <f>40307.848102088*Deflactores!$W$5</f>
        <v>51527.448541333055</v>
      </c>
      <c r="H21" s="42">
        <f>45970.390055*Deflactores!$X$5</f>
        <v>53775.756343953879</v>
      </c>
      <c r="I21" s="42">
        <f>52795.803574195*Deflactores!$Y$5</f>
        <v>58707.285937991532</v>
      </c>
      <c r="J21" s="42">
        <f>57745.084219643*Deflactores!$Z$5</f>
        <v>61094.299104382299</v>
      </c>
      <c r="K21" s="42">
        <f>62073.469743991*Deflactores!$AA$5</f>
        <v>62073.469743991001</v>
      </c>
    </row>
    <row r="22" spans="3:11" x14ac:dyDescent="0.2">
      <c r="C22" s="88" t="s">
        <v>130</v>
      </c>
      <c r="D22" s="50">
        <f>37.630371065*Deflactores!$T$5</f>
        <v>58.399554856799959</v>
      </c>
      <c r="E22" s="50">
        <f>39.593952363*Deflactores!$U$5</f>
        <v>60.473268295172147</v>
      </c>
      <c r="F22" s="50">
        <f>39.882291951*Deflactores!$V$5</f>
        <v>57.672467074684597</v>
      </c>
      <c r="G22" s="50">
        <f>52.836845707*Deflactores!$W$5</f>
        <v>67.543864940603598</v>
      </c>
      <c r="H22" s="50">
        <f>57.071743554*Deflactores!$X$5</f>
        <v>66.762021636375351</v>
      </c>
      <c r="I22" s="50">
        <f>64.627885666*Deflactores!$Y$5</f>
        <v>71.864191971805525</v>
      </c>
      <c r="J22" s="50">
        <f>49.600696578*Deflactores!$Z$5</f>
        <v>52.477536979523997</v>
      </c>
      <c r="K22" s="50">
        <f>54.194708762*Deflactores!$AA$5</f>
        <v>54.194708761999998</v>
      </c>
    </row>
    <row r="23" spans="3:11" x14ac:dyDescent="0.2">
      <c r="C23" s="87" t="s">
        <v>131</v>
      </c>
      <c r="D23" s="42">
        <f>37398.2077659*Deflactores!$T$5</f>
        <v>58039.254574400227</v>
      </c>
      <c r="E23" s="42">
        <f>40616.603883028*Deflactores!$U$5</f>
        <v>62035.200763447545</v>
      </c>
      <c r="F23" s="42">
        <f>43233.516413785*Deflactores!$V$5</f>
        <v>62518.562247131158</v>
      </c>
      <c r="G23" s="42">
        <f>44220.539601358*Deflactores!$W$5</f>
        <v>56529.229072412876</v>
      </c>
      <c r="H23" s="42">
        <f>51647.625723569*Deflactores!$X$5</f>
        <v>60416.93649611064</v>
      </c>
      <c r="I23" s="42">
        <f>62044.204609758*Deflactores!$Y$5</f>
        <v>68991.21926805246</v>
      </c>
      <c r="J23" s="42">
        <f>73440.1804428303*Deflactores!$Z$5</f>
        <v>77699.710908514462</v>
      </c>
      <c r="K23" s="42">
        <f>81418.242384056*Deflactores!$AA$5</f>
        <v>81418.242384055993</v>
      </c>
    </row>
    <row r="24" spans="3:11" x14ac:dyDescent="0.2">
      <c r="C24" s="88" t="s">
        <v>132</v>
      </c>
      <c r="D24" s="50">
        <f>87.476593414*Deflactores!$T$5</f>
        <v>135.75720810572557</v>
      </c>
      <c r="E24" s="50">
        <f>89.692894037*Deflactores!$U$5</f>
        <v>136.99118480373335</v>
      </c>
      <c r="F24" s="50">
        <f>166.609527058*Deflactores!$V$5</f>
        <v>240.9285423061136</v>
      </c>
      <c r="G24" s="50">
        <f>174.573208475*Deflactores!$W$5</f>
        <v>223.16527524884171</v>
      </c>
      <c r="H24" s="50">
        <f>182.964845927*Deflactores!$X$5</f>
        <v>214.03066109092674</v>
      </c>
      <c r="I24" s="50">
        <f>208.926002583*Deflactores!$Y$5</f>
        <v>232.31919476866784</v>
      </c>
      <c r="J24" s="50">
        <f>221.767948813*Deflactores!$Z$5</f>
        <v>234.63048984415403</v>
      </c>
      <c r="K24" s="50">
        <f>249.642061349*Deflactores!$AA$5</f>
        <v>249.64206134899999</v>
      </c>
    </row>
    <row r="25" spans="3:11" x14ac:dyDescent="0.2">
      <c r="C25" s="87" t="s">
        <v>133</v>
      </c>
      <c r="D25" s="42">
        <f>3697.965187113*Deflactores!$T$5</f>
        <v>5738.9686758684684</v>
      </c>
      <c r="E25" s="42">
        <f>3826.978427277*Deflactores!$U$5</f>
        <v>5845.0818718675328</v>
      </c>
      <c r="F25" s="42">
        <f>4301.460163733*Deflactores!$V$5</f>
        <v>6220.1996808696103</v>
      </c>
      <c r="G25" s="42">
        <f>4573.9976*Deflactores!$W$5</f>
        <v>5847.1597234676492</v>
      </c>
      <c r="H25" s="42">
        <f>5223.6201*Deflactores!$X$5</f>
        <v>6110.544665705469</v>
      </c>
      <c r="I25" s="42">
        <f>5766.745473169*Deflactores!$Y$5</f>
        <v>6412.4409992013798</v>
      </c>
      <c r="J25" s="42">
        <f>6517.323091365*Deflactores!$Z$5</f>
        <v>6895.3278306641705</v>
      </c>
      <c r="K25" s="42">
        <f>6793.145843692*Deflactores!$AA$5</f>
        <v>6793.1458436920002</v>
      </c>
    </row>
    <row r="26" spans="3:11" x14ac:dyDescent="0.2">
      <c r="C26" s="88" t="s">
        <v>134</v>
      </c>
      <c r="D26" s="50">
        <f>8704.496368164*Deflactores!$T$5</f>
        <v>13508.735066027963</v>
      </c>
      <c r="E26" s="50">
        <f>38968.068004962*Deflactores!$U$5</f>
        <v>59517.332591699582</v>
      </c>
      <c r="F26" s="50">
        <f>21890.0871298231*Deflactores!$V$5</f>
        <v>31654.533064643623</v>
      </c>
      <c r="G26" s="50">
        <f>15649.289069323*Deflactores!$W$5</f>
        <v>20005.234096985092</v>
      </c>
      <c r="H26" s="50">
        <f>36846.092319728*Deflactores!$X$5</f>
        <v>43102.233425513696</v>
      </c>
      <c r="I26" s="50">
        <f>29518.375603216*Deflactores!$Y$5</f>
        <v>32823.512469654801</v>
      </c>
      <c r="J26" s="50">
        <f>22149.5523728996*Deflactores!$Z$5</f>
        <v>23434.226410527779</v>
      </c>
      <c r="K26" s="50">
        <f>28862.322539982*Deflactores!$AA$5</f>
        <v>28862.322539982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584.89558474069247</v>
      </c>
      <c r="I27" s="42">
        <f>2448.356474261*Deflactores!$Y$5</f>
        <v>2722.4959917614992</v>
      </c>
      <c r="J27" s="42">
        <f>1257.32816862*Deflactores!$Z$5</f>
        <v>1330.2532023999602</v>
      </c>
      <c r="K27" s="42">
        <f>1622.12330845*Deflactores!$AA$5</f>
        <v>1622.12330845</v>
      </c>
    </row>
    <row r="28" spans="3:11" x14ac:dyDescent="0.2">
      <c r="C28" s="88" t="s">
        <v>136</v>
      </c>
      <c r="D28" s="50">
        <f>1477.630868496*Deflactores!$T$5</f>
        <v>2293.1739050294459</v>
      </c>
      <c r="E28" s="50">
        <f>7506.528553615*Deflactores!$U$5</f>
        <v>11464.991194269736</v>
      </c>
      <c r="F28" s="50">
        <f>9484.95389384*Deflactores!$V$5</f>
        <v>13715.87901265722</v>
      </c>
      <c r="G28" s="50">
        <f>1675.404609127*Deflactores!$W$5</f>
        <v>2141.7497794488249</v>
      </c>
      <c r="H28" s="50">
        <f>2087.835745381*Deflactores!$X$5</f>
        <v>2442.3318182742792</v>
      </c>
      <c r="I28" s="50">
        <f>2268.261699535*Deflactores!$Y$5</f>
        <v>2522.2362226130067</v>
      </c>
      <c r="J28" s="50">
        <f>2071.398943636*Deflactores!$Z$5</f>
        <v>2191.5400823668879</v>
      </c>
      <c r="K28" s="50">
        <f>1994.240853656*Deflactores!$AA$5</f>
        <v>1994.2408536559999</v>
      </c>
    </row>
    <row r="29" spans="3:11" x14ac:dyDescent="0.2">
      <c r="C29" s="87" t="s">
        <v>137</v>
      </c>
      <c r="D29" s="42">
        <f>158.483731379*Deflactores!$T$5</f>
        <v>245.95503851373621</v>
      </c>
      <c r="E29" s="42">
        <f>167.723000001*Deflactores!$U$5</f>
        <v>256.16937367965062</v>
      </c>
      <c r="F29" s="42">
        <f>190.639256866*Deflactores!$V$5</f>
        <v>275.67714208237845</v>
      </c>
      <c r="G29" s="42">
        <f>199.218*Deflactores!$W$5</f>
        <v>254.66989003006432</v>
      </c>
      <c r="H29" s="42">
        <f>225.409*Deflactores!$X$5</f>
        <v>263.6814577216295</v>
      </c>
      <c r="I29" s="42">
        <f>249.029581223*Deflactores!$Y$5</f>
        <v>276.91312267520237</v>
      </c>
      <c r="J29" s="42">
        <f>273.799010614*Deflactores!$Z$5</f>
        <v>289.67935322961199</v>
      </c>
      <c r="K29" s="42">
        <f>309.133447*Deflactores!$AA$5</f>
        <v>309.13344699999999</v>
      </c>
    </row>
    <row r="30" spans="3:11" x14ac:dyDescent="0.2">
      <c r="C30" s="88" t="s">
        <v>138</v>
      </c>
      <c r="D30" s="50">
        <f>90.387*Deflactores!$T$5</f>
        <v>140.27394403642131</v>
      </c>
      <c r="E30" s="50">
        <f>92.601*Deflactores!$U$5</f>
        <v>141.43283969382787</v>
      </c>
      <c r="F30" s="50">
        <f>109.327*Deflactores!$V$5</f>
        <v>158.09416910193269</v>
      </c>
      <c r="G30" s="50">
        <f>103.804*Deflactores!$W$5</f>
        <v>132.69761399412101</v>
      </c>
      <c r="H30" s="50">
        <f>114.794*Deflactores!$X$5</f>
        <v>134.2850075094461</v>
      </c>
      <c r="I30" s="50">
        <f>128.047*Deflactores!$Y$5</f>
        <v>142.3842679454211</v>
      </c>
      <c r="J30" s="50">
        <f>140.651175014*Deflactores!$Z$5</f>
        <v>148.80894316481201</v>
      </c>
      <c r="K30" s="50">
        <f>154.503477808*Deflactores!$AA$5</f>
        <v>154.50347780800001</v>
      </c>
    </row>
    <row r="31" spans="3:11" x14ac:dyDescent="0.2">
      <c r="C31" s="87" t="s">
        <v>160</v>
      </c>
      <c r="D31" s="42">
        <f>1292.649722001*Deflactores!$T$5</f>
        <v>2006.0968365214451</v>
      </c>
      <c r="E31" s="42">
        <f>1576.714803424*Deflactores!$U$5</f>
        <v>2408.1732598519661</v>
      </c>
      <c r="F31" s="42">
        <f>1883.784798662*Deflactores!$V$5</f>
        <v>2724.079070232609</v>
      </c>
      <c r="G31" s="42">
        <f>2394.06327222*Deflactores!$W$5</f>
        <v>3060.445493184769</v>
      </c>
      <c r="H31" s="42">
        <f>2890.076123573*Deflactores!$X$5</f>
        <v>3380.7855284846873</v>
      </c>
      <c r="I31" s="42">
        <f>3556.5098069995*Deflactores!$Y$5</f>
        <v>3954.7279148307625</v>
      </c>
      <c r="J31" s="42">
        <f>4008.230864104*Deflactores!$Z$5</f>
        <v>4240.7082542220323</v>
      </c>
      <c r="K31" s="42">
        <f>3848.519843343*Deflactores!$AA$5</f>
        <v>3848.519843343</v>
      </c>
    </row>
    <row r="32" spans="3:11" x14ac:dyDescent="0.2">
      <c r="C32" s="88" t="s">
        <v>161</v>
      </c>
      <c r="D32" s="50">
        <f>2363.89083455999*Deflactores!$T$5</f>
        <v>3668.583874177451</v>
      </c>
      <c r="E32" s="50">
        <f>2528.427496633*Deflactores!$U$5</f>
        <v>3861.7583050805238</v>
      </c>
      <c r="F32" s="50">
        <f>2982.511649*Deflactores!$V$5</f>
        <v>4312.9117325591124</v>
      </c>
      <c r="G32" s="50">
        <f>3236.337515924*Deflactores!$W$5</f>
        <v>4137.1649112054965</v>
      </c>
      <c r="H32" s="50">
        <f>3893.283514468*Deflactores!$X$5</f>
        <v>4554.328675512118</v>
      </c>
      <c r="I32" s="50">
        <f>4187.430084892*Deflactores!$Y$5</f>
        <v>4656.2915742655423</v>
      </c>
      <c r="J32" s="50">
        <f>4351.980821856*Deflactores!$Z$5</f>
        <v>4604.3957095236483</v>
      </c>
      <c r="K32" s="50">
        <f>4946.192901881*Deflactores!$AA$5</f>
        <v>4946.1929018809997</v>
      </c>
    </row>
    <row r="33" spans="1:11" x14ac:dyDescent="0.2">
      <c r="C33" s="87" t="s">
        <v>140</v>
      </c>
      <c r="D33" s="42">
        <f>687.684063311*Deflactores!$T$5</f>
        <v>1067.2348436348814</v>
      </c>
      <c r="E33" s="42">
        <f>1201.473565365*Deflactores!$U$5</f>
        <v>1835.0538133134617</v>
      </c>
      <c r="F33" s="42">
        <f>1266.027854134*Deflactores!$V$5</f>
        <v>1830.7611263385768</v>
      </c>
      <c r="G33" s="42">
        <f>995.605366938*Deflactores!$W$5</f>
        <v>1272.7299205465486</v>
      </c>
      <c r="H33" s="42">
        <f>1773.906274417*Deflactores!$X$5</f>
        <v>2075.0998953006292</v>
      </c>
      <c r="I33" s="42">
        <f>4496.808756244*Deflactores!$Y$5</f>
        <v>5000.3110018068473</v>
      </c>
      <c r="J33" s="42">
        <f>3743.658156151*Deflactores!$Z$5</f>
        <v>3960.7903292077585</v>
      </c>
      <c r="K33" s="42">
        <f>3243.261007472*Deflactores!$AA$5</f>
        <v>3243.2610074720001</v>
      </c>
    </row>
    <row r="34" spans="1:11" x14ac:dyDescent="0.2">
      <c r="C34" s="88" t="s">
        <v>141</v>
      </c>
      <c r="D34" s="50">
        <f>1738.67851541*Deflactores!$T$5</f>
        <v>2698.30056056679</v>
      </c>
      <c r="E34" s="50">
        <f>2142.878077567*Deflactores!$U$5</f>
        <v>3272.8948027337888</v>
      </c>
      <c r="F34" s="50">
        <f>2509.972226424*Deflactores!$V$5</f>
        <v>3629.5880578944848</v>
      </c>
      <c r="G34" s="50">
        <f>2756.78107278*Deflactores!$W$5</f>
        <v>3524.1249919276643</v>
      </c>
      <c r="H34" s="50">
        <f>3454.611995337*Deflactores!$X$5</f>
        <v>4041.1746061296899</v>
      </c>
      <c r="I34" s="50">
        <f>3769.31476*Deflactores!$Y$5</f>
        <v>4191.3603814105027</v>
      </c>
      <c r="J34" s="50">
        <f>3879.211568828*Deflactores!$Z$5</f>
        <v>4104.2058398200243</v>
      </c>
      <c r="K34" s="50">
        <f>4141.012358949*Deflactores!$AA$5</f>
        <v>4141.0123589490004</v>
      </c>
    </row>
    <row r="35" spans="1:11" x14ac:dyDescent="0.2">
      <c r="C35" s="87" t="s">
        <v>142</v>
      </c>
      <c r="D35" s="42">
        <f>201.816091294*Deflactores!$T$5</f>
        <v>313.20365866577993</v>
      </c>
      <c r="E35" s="42">
        <f>406.1413538*Deflactores!$U$5</f>
        <v>620.31430529939882</v>
      </c>
      <c r="F35" s="42">
        <f>981.32019537*Deflactores!$V$5</f>
        <v>1419.0547706418945</v>
      </c>
      <c r="G35" s="42">
        <f>707.59493406*Deflactores!$W$5</f>
        <v>904.55242017734759</v>
      </c>
      <c r="H35" s="42">
        <f>545.691724435*Deflactores!$X$5</f>
        <v>638.34536050313227</v>
      </c>
      <c r="I35" s="42">
        <f>537.898652903*Deflactores!$Y$5</f>
        <v>598.12651543903257</v>
      </c>
      <c r="J35" s="42">
        <f>500.423093931*Deflactores!$Z$5</f>
        <v>529.44763337899803</v>
      </c>
      <c r="K35" s="42">
        <f>599.821533844*Deflactores!$AA$5</f>
        <v>599.82153384399999</v>
      </c>
    </row>
    <row r="36" spans="1:11" x14ac:dyDescent="0.2">
      <c r="C36" s="88" t="s">
        <v>143</v>
      </c>
      <c r="D36" s="50">
        <f>1319.303184481*Deflactores!$T$5</f>
        <v>2047.4610404921086</v>
      </c>
      <c r="E36" s="50">
        <f>4621.73738908*Deflactores!$U$5</f>
        <v>7058.945834890792</v>
      </c>
      <c r="F36" s="50">
        <f>6365.804150271*Deflactores!$V$5</f>
        <v>9205.3794378582461</v>
      </c>
      <c r="G36" s="50">
        <f>4745.81222325475*Deflactores!$W$5</f>
        <v>6066.7985673966332</v>
      </c>
      <c r="H36" s="50">
        <f>3287.22781*Deflactores!$X$5</f>
        <v>3845.3700642116319</v>
      </c>
      <c r="I36" s="50">
        <f>2113.115714571*Deflactores!$Y$5</f>
        <v>2349.7187290850798</v>
      </c>
      <c r="J36" s="50">
        <f>3587.518379853*Deflactores!$Z$5</f>
        <v>3795.5944458844742</v>
      </c>
      <c r="K36" s="50">
        <f>9230.861524093*Deflactores!$AA$5</f>
        <v>9230.8615240929994</v>
      </c>
    </row>
    <row r="37" spans="1:11" x14ac:dyDescent="0.2">
      <c r="C37" s="87" t="s">
        <v>144</v>
      </c>
      <c r="D37" s="42">
        <f>4334.331609424*Deflactores!$T$5</f>
        <v>6726.5623332518398</v>
      </c>
      <c r="E37" s="42">
        <f>4599.530195*Deflactores!$U$5</f>
        <v>7025.0279882113136</v>
      </c>
      <c r="F37" s="42">
        <f>4957.475927*Deflactores!$V$5</f>
        <v>7168.842440768507</v>
      </c>
      <c r="G37" s="42">
        <f>5455.2092*Deflactores!$W$5</f>
        <v>6973.6546248581717</v>
      </c>
      <c r="H37" s="42">
        <f>7176.2295*Deflactores!$X$5</f>
        <v>8394.6898992718143</v>
      </c>
      <c r="I37" s="42">
        <f>8192.5800133*Deflactores!$Y$5</f>
        <v>9109.8933030684711</v>
      </c>
      <c r="J37" s="42">
        <f>9425.170014399*Deflactores!$Z$5</f>
        <v>9971.8298752341434</v>
      </c>
      <c r="K37" s="42">
        <f>9459.483033632*Deflactores!$AA$5</f>
        <v>9459.4830336319992</v>
      </c>
    </row>
    <row r="38" spans="1:11" x14ac:dyDescent="0.2">
      <c r="C38" s="88" t="s">
        <v>145</v>
      </c>
      <c r="D38" s="50">
        <f>1449.736586891*Deflactores!$T$5</f>
        <v>2249.8840414783162</v>
      </c>
      <c r="E38" s="50">
        <f>573.460328532*Deflactores!$U$5</f>
        <v>875.86659664621561</v>
      </c>
      <c r="F38" s="50">
        <f>1342.173870562*Deflactores!$V$5</f>
        <v>1940.8733694039381</v>
      </c>
      <c r="G38" s="50">
        <f>3140.838685404*Deflactores!$W$5</f>
        <v>4015.084192261786</v>
      </c>
      <c r="H38" s="50">
        <f>3124.964674751*Deflactores!$X$5</f>
        <v>3655.556081464988</v>
      </c>
      <c r="I38" s="50">
        <f>1343.956208107*Deflactores!$Y$5</f>
        <v>1494.437361609559</v>
      </c>
      <c r="J38" s="50">
        <f>2826.686832365*Deflactores!$Z$5</f>
        <v>2990.6346686421703</v>
      </c>
      <c r="K38" s="50">
        <f>6563.169245*Deflactores!$AA$5</f>
        <v>6563.169245</v>
      </c>
    </row>
    <row r="39" spans="1:11" x14ac:dyDescent="0.2">
      <c r="C39" s="87" t="s">
        <v>146</v>
      </c>
      <c r="D39" s="42">
        <f>909.638895488*Deflactores!$T$5</f>
        <v>1411.6923398169627</v>
      </c>
      <c r="E39" s="42">
        <f>957.210521744999*Deflactores!$U$5</f>
        <v>1461.9820765996672</v>
      </c>
      <c r="F39" s="42">
        <f>1102.87620753499*Deflactores!$V$5</f>
        <v>1594.8329109235133</v>
      </c>
      <c r="G39" s="42">
        <f>1326.690477201*Deflactores!$W$5</f>
        <v>1695.9718395562261</v>
      </c>
      <c r="H39" s="42">
        <f>1398.488*Deflactores!$X$5</f>
        <v>1635.9389130256832</v>
      </c>
      <c r="I39" s="42">
        <f>1538.569206162*Deflactores!$Y$5</f>
        <v>1710.84094201929</v>
      </c>
      <c r="J39" s="42">
        <f>1716.372328253*Deflactores!$Z$5</f>
        <v>1815.9219232916741</v>
      </c>
      <c r="K39" s="42">
        <f>1728.958845812*Deflactores!$AA$5</f>
        <v>1728.9588458119999</v>
      </c>
    </row>
    <row r="40" spans="1:11" x14ac:dyDescent="0.2">
      <c r="C40" s="88" t="s">
        <v>162</v>
      </c>
      <c r="D40" s="50">
        <f>28950.939836541*Deflactores!$T$5</f>
        <v>44929.719035179318</v>
      </c>
      <c r="E40" s="50">
        <f>34681.685660608*Deflactores!$U$5</f>
        <v>52970.586584901881</v>
      </c>
      <c r="F40" s="50">
        <f>42889.0175780738*Deflactores!$V$5</f>
        <v>62020.393842360652</v>
      </c>
      <c r="G40" s="50">
        <f>41295.6407251082*Deflactores!$W$5</f>
        <v>52790.191057958371</v>
      </c>
      <c r="H40" s="50">
        <f>51778.245040631*Deflactores!$X$5</f>
        <v>60569.733819773457</v>
      </c>
      <c r="I40" s="50">
        <f>59430.39723181*Deflactores!$Y$5</f>
        <v>66084.74703473605</v>
      </c>
      <c r="J40" s="50">
        <f>64829.835003367*Deflactores!$Z$5</f>
        <v>68589.965433562291</v>
      </c>
      <c r="K40" s="50">
        <f>75695.339514715*Deflactores!$AA$5</f>
        <v>75695.339514715</v>
      </c>
    </row>
    <row r="41" spans="1:11" x14ac:dyDescent="0.2">
      <c r="C41" s="87" t="s">
        <v>148</v>
      </c>
      <c r="D41" s="42">
        <f>279.190136412*Deflactores!$T$5</f>
        <v>433.28245843514799</v>
      </c>
      <c r="E41" s="42">
        <f>325.051517136*Deflactores!$U$5</f>
        <v>496.46287961611029</v>
      </c>
      <c r="F41" s="42">
        <f>368.2064*Deflactores!$V$5</f>
        <v>532.45113161445818</v>
      </c>
      <c r="G41" s="42">
        <f>364.995285796*Deflactores!$W$5</f>
        <v>466.59091696111409</v>
      </c>
      <c r="H41" s="42">
        <f>490.227944563*Deflactores!$X$5</f>
        <v>573.46432058280732</v>
      </c>
      <c r="I41" s="42">
        <f>601.201697709*Deflactores!$Y$5</f>
        <v>668.51752571977715</v>
      </c>
      <c r="J41" s="42">
        <f>703.36457226*Deflactores!$Z$5</f>
        <v>744.15971745108004</v>
      </c>
      <c r="K41" s="42">
        <f>675.156391489*Deflactores!$AA$5</f>
        <v>675.15639148900004</v>
      </c>
    </row>
    <row r="42" spans="1:11" x14ac:dyDescent="0.2">
      <c r="C42" s="88" t="s">
        <v>149</v>
      </c>
      <c r="D42" s="50">
        <f>504.589671788*Deflactores!$T$5</f>
        <v>783.08587940462792</v>
      </c>
      <c r="E42" s="50">
        <f>317.391364936*Deflactores!$U$5</f>
        <v>484.76325349832621</v>
      </c>
      <c r="F42" s="50">
        <f>855.305423779*Deflactores!$V$5</f>
        <v>1236.8289654039479</v>
      </c>
      <c r="G42" s="50">
        <f>931.041113649*Deflactores!$W$5</f>
        <v>1190.1943500409575</v>
      </c>
      <c r="H42" s="50">
        <f>1028.852298238*Deflactores!$X$5</f>
        <v>1203.5423331794407</v>
      </c>
      <c r="I42" s="50">
        <f>793.083724775*Deflactores!$Y$5</f>
        <v>881.88435161711084</v>
      </c>
      <c r="J42" s="50">
        <f>818.860538458*Deflactores!$Z$5</f>
        <v>866.35444968856405</v>
      </c>
      <c r="K42" s="50">
        <f>575.01766157*Deflactores!$AA$5</f>
        <v>575.01766156999997</v>
      </c>
    </row>
    <row r="43" spans="1:11" x14ac:dyDescent="0.2">
      <c r="C43" s="87" t="s">
        <v>163</v>
      </c>
      <c r="D43" s="42">
        <f>22862.832526617*Deflactores!$T$5</f>
        <v>35481.426425843827</v>
      </c>
      <c r="E43" s="42">
        <f>26637.721680862*Deflactores!$U$5</f>
        <v>40684.750923836225</v>
      </c>
      <c r="F43" s="42">
        <f>23740.558575881*Deflactores!$V$5</f>
        <v>34330.438794347865</v>
      </c>
      <c r="G43" s="42">
        <f>30259.434631922*Deflactores!$W$5</f>
        <v>38682.081388647086</v>
      </c>
      <c r="H43" s="42">
        <f>29591.04277809*Deflactores!$X$5</f>
        <v>34615.340537555589</v>
      </c>
      <c r="I43" s="42">
        <f>34511.60108678*Deflactores!$Y$5</f>
        <v>38375.823380208589</v>
      </c>
      <c r="J43" s="42">
        <f>45181.17461875*Deflactores!$Z$5</f>
        <v>47801.682746637503</v>
      </c>
      <c r="K43" s="42">
        <f>50008.778800629*Deflactores!$AA$5</f>
        <v>50008.778800628999</v>
      </c>
    </row>
    <row r="44" spans="1:11" x14ac:dyDescent="0.2">
      <c r="C44" s="88" t="s">
        <v>150</v>
      </c>
      <c r="D44" s="50">
        <f>976.998140541*Deflactores!$T$5</f>
        <v>1516.2289100195374</v>
      </c>
      <c r="E44" s="50">
        <f>915.226585699*Deflactores!$U$5</f>
        <v>1397.8585002180978</v>
      </c>
      <c r="F44" s="50">
        <f>1097.911182352*Deflactores!$V$5</f>
        <v>1587.6531517526314</v>
      </c>
      <c r="G44" s="50">
        <f>1218.79296737*Deflactores!$W$5</f>
        <v>1558.0412963162651</v>
      </c>
      <c r="H44" s="50">
        <f>1620.578066813*Deflactores!$X$5</f>
        <v>1895.7379120130613</v>
      </c>
      <c r="I44" s="50">
        <f>1554.933628943*Deflactores!$Y$5</f>
        <v>1729.0376694554818</v>
      </c>
      <c r="J44" s="50">
        <f>1524.907324663*Deflactores!$Z$5</f>
        <v>1613.3519494934542</v>
      </c>
      <c r="K44" s="50">
        <f>2238.618196132*Deflactores!$AA$5</f>
        <v>2238.6181961319999</v>
      </c>
    </row>
    <row r="45" spans="1:11" x14ac:dyDescent="0.2">
      <c r="C45" s="87" t="s">
        <v>151</v>
      </c>
      <c r="D45" s="42">
        <f>2193.858246928*Deflactores!$T$5</f>
        <v>3404.7058642660963</v>
      </c>
      <c r="E45" s="42">
        <f>2371.702884348*Deflactores!$U$5</f>
        <v>3622.3871647539431</v>
      </c>
      <c r="F45" s="42">
        <f>2743.274099731*Deflactores!$V$5</f>
        <v>3966.9582026015978</v>
      </c>
      <c r="G45" s="42">
        <f>2659.146005054*Deflactores!$W$5</f>
        <v>3399.3134188727277</v>
      </c>
      <c r="H45" s="42">
        <f>2941.964825564*Deflactores!$X$5</f>
        <v>3441.4844738696102</v>
      </c>
      <c r="I45" s="42">
        <f>3774.236903562*Deflactores!$Y$5</f>
        <v>4196.833651442581</v>
      </c>
      <c r="J45" s="42">
        <f>4342.223109946*Deflactores!$Z$5</f>
        <v>4594.0720503228677</v>
      </c>
      <c r="K45" s="42">
        <f>4698.621505748*Deflactores!$AA$5</f>
        <v>4698.6215057480003</v>
      </c>
    </row>
    <row r="46" spans="1:11" ht="21.75" customHeight="1" x14ac:dyDescent="0.2">
      <c r="C46" s="79" t="s">
        <v>179</v>
      </c>
      <c r="D46" s="44">
        <f t="shared" ref="D46:K46" si="0">+SUM(D15:D45)</f>
        <v>243153.57496942181</v>
      </c>
      <c r="E46" s="44">
        <f t="shared" si="0"/>
        <v>323554.96302927693</v>
      </c>
      <c r="F46" s="44">
        <f t="shared" si="0"/>
        <v>309291.50940853055</v>
      </c>
      <c r="G46" s="44">
        <f t="shared" si="0"/>
        <v>270130.00192357169</v>
      </c>
      <c r="H46" s="44">
        <f t="shared" si="0"/>
        <v>305708.33701950713</v>
      </c>
      <c r="I46" s="44">
        <f t="shared" si="0"/>
        <v>322649.82756335748</v>
      </c>
      <c r="J46" s="44">
        <f t="shared" si="0"/>
        <v>338299.91145059833</v>
      </c>
      <c r="K46" s="44">
        <f t="shared" si="0"/>
        <v>365791.22594868607</v>
      </c>
    </row>
    <row r="47" spans="1:11" s="31" customFormat="1" ht="30.75" customHeight="1" x14ac:dyDescent="0.2">
      <c r="A47" s="5"/>
      <c r="B47" s="5"/>
      <c r="C47" s="184" t="str">
        <f>+'C8 B Ejec. Sect. PGN 19-26'!C47</f>
        <v>* Información con corte a 30 de abril  no incluye provisión incremento salarial en los sectores que está prevista en el sector Hacienda</v>
      </c>
      <c r="D47" s="121">
        <f>+D46-'C5 Ejecución PGN 2019-2026'!D14</f>
        <v>1.2514647096395493E-9</v>
      </c>
      <c r="E47" s="121">
        <f>+E46-'C5 Ejecución PGN 2019-2026'!E14</f>
        <v>6.9849193096160889E-10</v>
      </c>
      <c r="F47" s="121">
        <f>+F46-'C5 Ejecución PGN 2019-2026'!F14</f>
        <v>0</v>
      </c>
      <c r="G47" s="121">
        <f>+G46-'C5 Ejecución PGN 2019-2026'!G14</f>
        <v>0</v>
      </c>
      <c r="H47" s="121">
        <f>+H46-'C5 Ejecución PGN 2019-2026'!H14</f>
        <v>0</v>
      </c>
      <c r="I47" s="121">
        <f>+I46-'C5 Ejecución PGN 2019-2026'!I14</f>
        <v>0</v>
      </c>
      <c r="J47" s="121">
        <f>+J46-'C5 Ejecución PGN 2019-2026'!J14</f>
        <v>7.5669959187507629E-10</v>
      </c>
      <c r="K47" s="121">
        <f>+K46-'C5 Ejecución PGN 2019-2026'!K14</f>
        <v>0</v>
      </c>
    </row>
    <row r="48" spans="1:11" x14ac:dyDescent="0.2">
      <c r="C48" s="1" t="s">
        <v>52</v>
      </c>
      <c r="D48" s="10"/>
    </row>
    <row r="49" spans="3:12" x14ac:dyDescent="0.2">
      <c r="D49" s="10"/>
    </row>
    <row r="50" spans="3:12" x14ac:dyDescent="0.2">
      <c r="D50" s="10"/>
    </row>
    <row r="52" spans="3:12" ht="18" customHeight="1" x14ac:dyDescent="0.2">
      <c r="D52" s="155" t="s">
        <v>180</v>
      </c>
      <c r="E52" s="178"/>
      <c r="F52" s="178"/>
      <c r="G52" s="178"/>
      <c r="H52" s="178"/>
      <c r="I52" s="178"/>
      <c r="J52" s="178"/>
      <c r="K52" s="178"/>
      <c r="L52" s="178"/>
    </row>
    <row r="53" spans="3:12" ht="1.5" customHeight="1" x14ac:dyDescent="0.2">
      <c r="D53" s="28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76" t="s">
        <v>120</v>
      </c>
      <c r="D55" s="180">
        <v>2019</v>
      </c>
      <c r="E55" s="153">
        <v>2020</v>
      </c>
      <c r="F55" s="153">
        <v>2021</v>
      </c>
      <c r="G55" s="153">
        <v>2022</v>
      </c>
      <c r="H55" s="153">
        <v>2023</v>
      </c>
      <c r="I55" s="153">
        <v>2024</v>
      </c>
      <c r="J55" s="153">
        <v>2025</v>
      </c>
      <c r="K55" s="153" t="s">
        <v>10</v>
      </c>
    </row>
    <row r="56" spans="3:12" ht="12" customHeight="1" thickBot="1" x14ac:dyDescent="0.25">
      <c r="C56" s="160"/>
      <c r="D56" s="181"/>
      <c r="E56" s="154"/>
      <c r="F56" s="154"/>
      <c r="G56" s="154"/>
      <c r="H56" s="154"/>
      <c r="I56" s="154"/>
      <c r="J56" s="154"/>
      <c r="K56" s="154"/>
    </row>
    <row r="57" spans="3:12" x14ac:dyDescent="0.2">
      <c r="C57" s="87" t="s">
        <v>123</v>
      </c>
      <c r="D57" s="42">
        <f>713.026190400019*Deflactores!$T$5</f>
        <v>1106.5639519917129</v>
      </c>
      <c r="E57" s="42">
        <f>624.06366325123*Deflactores!$U$5</f>
        <v>953.15489080414022</v>
      </c>
      <c r="F57" s="42">
        <f>592.95086130107*Deflactores!$V$5</f>
        <v>857.44668504274318</v>
      </c>
      <c r="G57" s="42">
        <f>709.472601329039*Deflactores!$W$5</f>
        <v>906.95273198109624</v>
      </c>
      <c r="H57" s="42">
        <f>788.03137500301*Deflactores!$X$5</f>
        <v>921.83214375279488</v>
      </c>
      <c r="I57" s="42">
        <f>1017.57867620547*Deflactores!$Y$5</f>
        <v>1131.5157316328107</v>
      </c>
      <c r="J57" s="42">
        <f>814.053183417246*Deflactores!$Z$5</f>
        <v>861.26826805544636</v>
      </c>
      <c r="K57" s="42">
        <f>415.718517846759*Deflactores!$AA$5</f>
        <v>415.71851784675903</v>
      </c>
    </row>
    <row r="58" spans="3:12" x14ac:dyDescent="0.2">
      <c r="C58" s="88" t="s">
        <v>124</v>
      </c>
      <c r="D58" s="50">
        <f>312.50760838984*Deflactores!$T$5</f>
        <v>484.98871264930006</v>
      </c>
      <c r="E58" s="50">
        <f>342.330604263479*Deflactores!$U$5</f>
        <v>522.85385120125977</v>
      </c>
      <c r="F58" s="50">
        <f>391.34762989479*Deflactores!$V$5</f>
        <v>565.91490096890516</v>
      </c>
      <c r="G58" s="50">
        <f>417.10350549923*Deflactores!$W$5</f>
        <v>533.20334446005495</v>
      </c>
      <c r="H58" s="50">
        <f>494.72457192577*Deflactores!$X$5</f>
        <v>578.72443556422411</v>
      </c>
      <c r="I58" s="50">
        <f>586.287823801129*Deflactores!$Y$5</f>
        <v>651.93376336218557</v>
      </c>
      <c r="J58" s="50">
        <f>772.53676935788*Deflactores!$Z$5</f>
        <v>817.34390198063704</v>
      </c>
      <c r="K58" s="50">
        <f>358.58870780243*Deflactores!$AA$5</f>
        <v>358.58870780243001</v>
      </c>
    </row>
    <row r="59" spans="3:12" x14ac:dyDescent="0.2">
      <c r="C59" s="87" t="s">
        <v>125</v>
      </c>
      <c r="D59" s="42">
        <f>22.67956867012*Deflactores!$T$5</f>
        <v>35.197014464498068</v>
      </c>
      <c r="E59" s="42">
        <f>22.94716652129*Deflactores!$U$5</f>
        <v>35.048033218142159</v>
      </c>
      <c r="F59" s="42">
        <f>24.69428390912*Deflactores!$V$5</f>
        <v>35.709589544939057</v>
      </c>
      <c r="G59" s="42">
        <f>24.52920631672*Deflactores!$W$5</f>
        <v>31.356856685660141</v>
      </c>
      <c r="H59" s="42">
        <f>26.11209205751*Deflactores!$X$5</f>
        <v>30.545694705560209</v>
      </c>
      <c r="I59" s="42">
        <f>26.79346334176*Deflactores!$Y$5</f>
        <v>29.793495073207286</v>
      </c>
      <c r="J59" s="42">
        <f>25.25286534355*Deflactores!$Z$5</f>
        <v>26.717531533475899</v>
      </c>
      <c r="K59" s="42">
        <f>7.97861873082*Deflactores!$AA$5</f>
        <v>7.9786187308200001</v>
      </c>
    </row>
    <row r="60" spans="3:12" x14ac:dyDescent="0.2">
      <c r="C60" s="88" t="s">
        <v>126</v>
      </c>
      <c r="D60" s="50">
        <f>637.43418051787*Deflactores!$T$5</f>
        <v>989.2507392087997</v>
      </c>
      <c r="E60" s="50">
        <f>693.02733955293*Deflactores!$U$5</f>
        <v>1058.485595386978</v>
      </c>
      <c r="F60" s="50">
        <f>640.040956176229*Deflactores!$V$5</f>
        <v>925.54211821313515</v>
      </c>
      <c r="G60" s="50">
        <f>646.0740809606*Deflactores!$W$5</f>
        <v>825.90737357824537</v>
      </c>
      <c r="H60" s="50">
        <f>754.67324539444*Deflactores!$X$5</f>
        <v>882.81009830627409</v>
      </c>
      <c r="I60" s="50">
        <f>1069.76535855299*Deflactores!$Y$5</f>
        <v>1189.5456937760227</v>
      </c>
      <c r="J60" s="50">
        <f>1010.01525763479*Deflactores!$Z$5</f>
        <v>1068.5961425776079</v>
      </c>
      <c r="K60" s="50">
        <f>933.80819878876*Deflactores!$AA$5</f>
        <v>933.80819878876002</v>
      </c>
    </row>
    <row r="61" spans="3:12" x14ac:dyDescent="0.2">
      <c r="C61" s="87" t="s">
        <v>127</v>
      </c>
      <c r="D61" s="42">
        <f>551.90141227832*Deflactores!$T$5</f>
        <v>856.5102041173061</v>
      </c>
      <c r="E61" s="42">
        <f>602.52580513676*Deflactores!$U$5</f>
        <v>920.25934503193218</v>
      </c>
      <c r="F61" s="42">
        <f>632.65134401225*Deflactores!$V$5</f>
        <v>914.85624377178226</v>
      </c>
      <c r="G61" s="42">
        <f>738.717671821719*Deflactores!$W$5</f>
        <v>944.33810321407873</v>
      </c>
      <c r="H61" s="42">
        <f>896.06421984406*Deflactores!$X$5</f>
        <v>1048.2080116618076</v>
      </c>
      <c r="I61" s="42">
        <f>1043.44658585773*Deflactores!$Y$5</f>
        <v>1160.2800398877121</v>
      </c>
      <c r="J61" s="42">
        <f>1156.28635316452*Deflactores!$Z$5</f>
        <v>1223.3509616480624</v>
      </c>
      <c r="K61" s="42">
        <f>481.48929487844*Deflactores!$AA$5</f>
        <v>481.48929487843998</v>
      </c>
    </row>
    <row r="62" spans="3:12" x14ac:dyDescent="0.2">
      <c r="C62" s="88" t="s">
        <v>128</v>
      </c>
      <c r="D62" s="50">
        <f>235.597381400159*Deflactores!$T$5</f>
        <v>365.62972433705414</v>
      </c>
      <c r="E62" s="50">
        <f>237.116722329109*Deflactores!$U$5</f>
        <v>362.15690303451117</v>
      </c>
      <c r="F62" s="50">
        <f>229.02910408488*Deflactores!$V$5</f>
        <v>331.19143405068428</v>
      </c>
      <c r="G62" s="50">
        <f>190.71196081699*Deflactores!$W$5</f>
        <v>243.79621363873136</v>
      </c>
      <c r="H62" s="50">
        <f>296.42994374731*Deflactores!$X$5</f>
        <v>346.76113056546694</v>
      </c>
      <c r="I62" s="50">
        <f>331.42532700873*Deflactores!$Y$5</f>
        <v>368.53462060579176</v>
      </c>
      <c r="J62" s="50">
        <f>339.52142948775*Deflactores!$Z$5</f>
        <v>359.21367239803953</v>
      </c>
      <c r="K62" s="50">
        <f>178.86926056017*Deflactores!$AA$5</f>
        <v>178.86926056017001</v>
      </c>
    </row>
    <row r="63" spans="3:12" x14ac:dyDescent="0.2">
      <c r="C63" s="87" t="s">
        <v>129</v>
      </c>
      <c r="D63" s="42">
        <f>32269.114086411*Deflactores!$T$5</f>
        <v>50079.280244527545</v>
      </c>
      <c r="E63" s="42">
        <f>33901.7351977179*Deflactores!$U$5</f>
        <v>51779.340175175617</v>
      </c>
      <c r="F63" s="42">
        <f>35690.474776191*Deflactores!$V$5</f>
        <v>51610.818504078612</v>
      </c>
      <c r="G63" s="42">
        <f>39586.7184574335*Deflactores!$W$5</f>
        <v>50605.594053778812</v>
      </c>
      <c r="H63" s="42">
        <f>45392.3577240527*Deflactores!$X$5</f>
        <v>53099.579227536989</v>
      </c>
      <c r="I63" s="42">
        <f>52288.3537431111*Deflactores!$Y$5</f>
        <v>58143.01756217712</v>
      </c>
      <c r="J63" s="42">
        <f>57548.5491330769*Deflactores!$Z$5</f>
        <v>60886.364982795363</v>
      </c>
      <c r="K63" s="42">
        <f>21256.4294562341*Deflactores!$AA$5</f>
        <v>21256.429456234098</v>
      </c>
    </row>
    <row r="64" spans="3:12" x14ac:dyDescent="0.2">
      <c r="C64" s="88" t="s">
        <v>130</v>
      </c>
      <c r="D64" s="50">
        <f>36.97973938783*Deflactores!$T$5</f>
        <v>57.389822578135245</v>
      </c>
      <c r="E64" s="50">
        <f>39.0102949904899*Deflactores!$U$5</f>
        <v>59.581827386301384</v>
      </c>
      <c r="F64" s="50">
        <f>36.42389235794*Deflactores!$V$5</f>
        <v>52.671389480976885</v>
      </c>
      <c r="G64" s="50">
        <f>49.74624542684*Deflactores!$W$5</f>
        <v>63.593002902659066</v>
      </c>
      <c r="H64" s="50">
        <f>48.4766144126999*Deflactores!$X$5</f>
        <v>56.707515466330378</v>
      </c>
      <c r="I64" s="50">
        <f>62.4161431238*Deflactores!$Y$5</f>
        <v>69.404803288315165</v>
      </c>
      <c r="J64" s="50">
        <f>46.41038655829*Deflactores!$Z$5</f>
        <v>49.102188978670824</v>
      </c>
      <c r="K64" s="50">
        <f>17.65968845223*Deflactores!$AA$5</f>
        <v>17.65968845223</v>
      </c>
    </row>
    <row r="65" spans="3:11" x14ac:dyDescent="0.2">
      <c r="C65" s="87" t="s">
        <v>131</v>
      </c>
      <c r="D65" s="42">
        <f>37392.192336246*Deflactores!$T$5</f>
        <v>58029.919072141718</v>
      </c>
      <c r="E65" s="42">
        <f>40611.4394535181*Deflactores!$U$5</f>
        <v>62027.312944406884</v>
      </c>
      <c r="F65" s="42">
        <f>43221.8048087811*Deflactores!$V$5</f>
        <v>62501.626481383064</v>
      </c>
      <c r="G65" s="42">
        <f>44189.6385611119*Deflactores!$W$5</f>
        <v>56489.726795905277</v>
      </c>
      <c r="H65" s="42">
        <f>51150.5616588756*Deflactores!$X$5</f>
        <v>59835.475342565784</v>
      </c>
      <c r="I65" s="42">
        <f>61971.7744248151*Deflactores!$Y$5</f>
        <v>68910.679162776694</v>
      </c>
      <c r="J65" s="42">
        <f>73143.6751983846*Deflactores!$Z$5</f>
        <v>77386.008359890911</v>
      </c>
      <c r="K65" s="42">
        <f>39468.898813398*Deflactores!$AA$5</f>
        <v>39468.898813398002</v>
      </c>
    </row>
    <row r="66" spans="3:11" x14ac:dyDescent="0.2">
      <c r="C66" s="88" t="s">
        <v>132</v>
      </c>
      <c r="D66" s="50">
        <f>79.58376714397*Deflactores!$T$5</f>
        <v>123.50812504631011</v>
      </c>
      <c r="E66" s="50">
        <f>77.9594632223399*Deflactores!$U$5</f>
        <v>119.07029367438871</v>
      </c>
      <c r="F66" s="50">
        <f>92.56591726217*Deflactores!$V$5</f>
        <v>133.85652013428535</v>
      </c>
      <c r="G66" s="50">
        <f>139.22447420447*Deflactores!$W$5</f>
        <v>177.97729891448515</v>
      </c>
      <c r="H66" s="50">
        <f>164.954907577849*Deflactores!$X$5</f>
        <v>192.96279424718577</v>
      </c>
      <c r="I66" s="50">
        <f>180.44963145647*Deflactores!$Y$5</f>
        <v>200.65435875850673</v>
      </c>
      <c r="J66" s="50">
        <f>199.61805247925*Deflactores!$Z$5</f>
        <v>211.19589952304651</v>
      </c>
      <c r="K66" s="50">
        <f>76.61484118903*Deflactores!$AA$5</f>
        <v>76.614841189030003</v>
      </c>
    </row>
    <row r="67" spans="3:11" x14ac:dyDescent="0.2">
      <c r="C67" s="87" t="s">
        <v>133</v>
      </c>
      <c r="D67" s="42">
        <f>3673.78731855611*Deflactores!$T$5</f>
        <v>5701.446410710103</v>
      </c>
      <c r="E67" s="42">
        <f>3786.55175503936*Deflactores!$U$5</f>
        <v>5783.3367605410785</v>
      </c>
      <c r="F67" s="42">
        <f>4102.42352713194*Deflactores!$V$5</f>
        <v>5932.3793648974552</v>
      </c>
      <c r="G67" s="42">
        <f>4529.7210737527*Deflactores!$W$5</f>
        <v>5790.5589239901274</v>
      </c>
      <c r="H67" s="42">
        <f>5192.71999838744*Deflactores!$X$5</f>
        <v>6074.3979997030183</v>
      </c>
      <c r="I67" s="42">
        <f>5690.95166253909*Deflactores!$Y$5</f>
        <v>6328.1606471327359</v>
      </c>
      <c r="J67" s="42">
        <f>6494.8325565089*Deflactores!$Z$5</f>
        <v>6871.5328447864167</v>
      </c>
      <c r="K67" s="42">
        <f>2001.40031914322*Deflactores!$AA$5</f>
        <v>2001.40031914322</v>
      </c>
    </row>
    <row r="68" spans="3:11" x14ac:dyDescent="0.2">
      <c r="C68" s="88" t="s">
        <v>134</v>
      </c>
      <c r="D68" s="50">
        <f>8405.95752496066*Deflactores!$T$5</f>
        <v>13045.424844600067</v>
      </c>
      <c r="E68" s="50">
        <f>19778.2694622122*Deflactores!$U$5</f>
        <v>30208.062702026858</v>
      </c>
      <c r="F68" s="50">
        <f>19946.1152744167*Deflactores!$V$5</f>
        <v>28843.419476618554</v>
      </c>
      <c r="G68" s="50">
        <f>14891.3371396266*Deflactores!$W$5</f>
        <v>19036.307922724449</v>
      </c>
      <c r="H68" s="50">
        <f>35521.1069491699*Deflactores!$X$5</f>
        <v>41552.277239342809</v>
      </c>
      <c r="I68" s="50">
        <f>24877.8678355969*Deflactores!$Y$5</f>
        <v>27663.412651716961</v>
      </c>
      <c r="J68" s="50">
        <f>20453.6899007454*Deflactores!$Z$5</f>
        <v>21640.003914988636</v>
      </c>
      <c r="K68" s="50">
        <f>5600.60888757091*Deflactores!$AA$5</f>
        <v>5600.6088875709102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552.09597420584521</v>
      </c>
      <c r="I69" s="42">
        <f>2255.96164743259*Deflactores!$Y$5</f>
        <v>2508.5589485316755</v>
      </c>
      <c r="J69" s="42">
        <f>1240.68198250512*Deflactores!$Z$5</f>
        <v>1312.641537490417</v>
      </c>
      <c r="K69" s="42">
        <f>332.82733707607*Deflactores!$AA$5</f>
        <v>332.82733707607002</v>
      </c>
    </row>
    <row r="70" spans="3:11" x14ac:dyDescent="0.2">
      <c r="C70" s="88" t="s">
        <v>136</v>
      </c>
      <c r="D70" s="50">
        <f>1398.50468094726*Deflactores!$T$5</f>
        <v>2170.3759096979566</v>
      </c>
      <c r="E70" s="50">
        <f>7417.59731618681*Deflactores!$U$5</f>
        <v>11329.163315014059</v>
      </c>
      <c r="F70" s="50">
        <f>9216.86080528043*Deflactores!$V$5</f>
        <v>13328.19843898561</v>
      </c>
      <c r="G70" s="50">
        <f>1606.57305004349*Deflactores!$W$5</f>
        <v>2053.7591080115285</v>
      </c>
      <c r="H70" s="50">
        <f>1904.75194567413*Deflactores!$X$5</f>
        <v>2228.162006102084</v>
      </c>
      <c r="I70" s="50">
        <f>2127.71075363161*Deflactores!$Y$5</f>
        <v>2365.9479570426247</v>
      </c>
      <c r="J70" s="50">
        <f>1974.62114581956*Deflactores!$Z$5</f>
        <v>2089.1491722770947</v>
      </c>
      <c r="K70" s="50">
        <f>295.546602696109*Deflactores!$AA$5</f>
        <v>295.54660269610901</v>
      </c>
    </row>
    <row r="71" spans="3:11" x14ac:dyDescent="0.2">
      <c r="C71" s="87" t="s">
        <v>137</v>
      </c>
      <c r="D71" s="42">
        <f>143.24445026189*Deflactores!$T$5</f>
        <v>222.30480046427354</v>
      </c>
      <c r="E71" s="42">
        <f>148.72989815405*Deflactores!$U$5</f>
        <v>227.16052573191541</v>
      </c>
      <c r="F71" s="42">
        <f>154.10084199066*Deflactores!$V$5</f>
        <v>222.84014536593534</v>
      </c>
      <c r="G71" s="42">
        <f>175.23011052403*Deflactores!$W$5</f>
        <v>224.00502453147178</v>
      </c>
      <c r="H71" s="42">
        <f>207.878671278*Deflactores!$X$5</f>
        <v>243.17463398452801</v>
      </c>
      <c r="I71" s="42">
        <f>237.63910905547*Deflactores!$Y$5</f>
        <v>264.24727309554447</v>
      </c>
      <c r="J71" s="42">
        <f>259.56835313703*Deflactores!$Z$5</f>
        <v>274.62331761897775</v>
      </c>
      <c r="K71" s="42">
        <f>100.74383587379*Deflactores!$AA$5</f>
        <v>100.74383587379</v>
      </c>
    </row>
    <row r="72" spans="3:11" x14ac:dyDescent="0.2">
      <c r="C72" s="88" t="s">
        <v>138</v>
      </c>
      <c r="D72" s="50">
        <f>87.2822857304599*Deflactores!$T$5</f>
        <v>135.45565694099224</v>
      </c>
      <c r="E72" s="50">
        <f>91.83441642363*Deflactores!$U$5</f>
        <v>140.26200901091235</v>
      </c>
      <c r="F72" s="50">
        <f>106.31293775018*Deflactores!$V$5</f>
        <v>153.73563308606475</v>
      </c>
      <c r="G72" s="50">
        <f>100.244969704429*Deflactores!$W$5</f>
        <v>128.14793548120181</v>
      </c>
      <c r="H72" s="50">
        <f>105.58533432232*Deflactores!$X$5</f>
        <v>123.51279171698972</v>
      </c>
      <c r="I72" s="50">
        <f>123.83520786849*Deflactores!$Y$5</f>
        <v>137.7008865356002</v>
      </c>
      <c r="J72" s="50">
        <f>137.17219646521*Deflactores!$Z$5</f>
        <v>145.12818386019217</v>
      </c>
      <c r="K72" s="50">
        <f>44.1557141994499*Deflactores!$AA$5</f>
        <v>44.155714199449903</v>
      </c>
    </row>
    <row r="73" spans="3:11" x14ac:dyDescent="0.2">
      <c r="C73" s="87" t="s">
        <v>160</v>
      </c>
      <c r="D73" s="42">
        <f>1277.0788270277*Deflactores!$T$5</f>
        <v>1981.931958274776</v>
      </c>
      <c r="E73" s="42">
        <f>1541.24403916405*Deflactores!$U$5</f>
        <v>2353.9974851260445</v>
      </c>
      <c r="F73" s="42">
        <f>1834.19821467318*Deflactores!$V$5</f>
        <v>2652.3735464890169</v>
      </c>
      <c r="G73" s="42">
        <f>2123.60581711354*Deflactores!$W$5</f>
        <v>2714.7068031578983</v>
      </c>
      <c r="H73" s="42">
        <f>2780.42760789089*Deflactores!$X$5</f>
        <v>3252.5196630930141</v>
      </c>
      <c r="I73" s="42">
        <f>3217.10173329016*Deflactores!$Y$5</f>
        <v>3577.316729017195</v>
      </c>
      <c r="J73" s="42">
        <f>3927.50022136241*Deflactores!$Z$5</f>
        <v>4155.2952342014296</v>
      </c>
      <c r="K73" s="42">
        <f>2613.64663536675*Deflactores!$AA$5</f>
        <v>2613.6466353667502</v>
      </c>
    </row>
    <row r="74" spans="3:11" x14ac:dyDescent="0.2">
      <c r="C74" s="88" t="s">
        <v>161</v>
      </c>
      <c r="D74" s="50">
        <f>2311.72961399883*Deflactores!$T$5</f>
        <v>3587.6335147909508</v>
      </c>
      <c r="E74" s="50">
        <f>2436.79541407373*Deflactores!$U$5</f>
        <v>3721.8053278619536</v>
      </c>
      <c r="F74" s="50">
        <f>2560.79117237842*Deflactores!$V$5</f>
        <v>3703.0756596333053</v>
      </c>
      <c r="G74" s="50">
        <f>2923.71624210692*Deflactores!$W$5</f>
        <v>3737.5261967115539</v>
      </c>
      <c r="H74" s="50">
        <f>3559.56289337771*Deflactores!$X$5</f>
        <v>4163.9452398868543</v>
      </c>
      <c r="I74" s="50">
        <f>3923.75975372176*Deflactores!$Y$5</f>
        <v>4363.0983945533944</v>
      </c>
      <c r="J74" s="50">
        <f>4292.00163521007*Deflactores!$Z$5</f>
        <v>4540.9377300522547</v>
      </c>
      <c r="K74" s="50">
        <f>1889.00585497418*Deflactores!$AA$5</f>
        <v>1889.00585497418</v>
      </c>
    </row>
    <row r="75" spans="3:11" x14ac:dyDescent="0.2">
      <c r="C75" s="87" t="s">
        <v>140</v>
      </c>
      <c r="D75" s="42">
        <f>632.353076759889*Deflactores!$T$5</f>
        <v>981.36524169045867</v>
      </c>
      <c r="E75" s="42">
        <f>1131.50036246776*Deflactores!$U$5</f>
        <v>1728.1812224318401</v>
      </c>
      <c r="F75" s="42">
        <f>1155.07003657059*Deflactores!$V$5</f>
        <v>1670.3086857424646</v>
      </c>
      <c r="G75" s="42">
        <f>913.90746647374*Deflactores!$W$5</f>
        <v>1168.2915900396654</v>
      </c>
      <c r="H75" s="42">
        <f>1711.46374686777*Deflactores!$X$5</f>
        <v>2002.0551779734417</v>
      </c>
      <c r="I75" s="42">
        <f>4448.17208833659*Deflactores!$Y$5</f>
        <v>4946.2285449331912</v>
      </c>
      <c r="J75" s="42">
        <f>3681.77616945115*Deflactores!$Z$5</f>
        <v>3895.3191872793168</v>
      </c>
      <c r="K75" s="42">
        <f>1921.07443753698*Deflactores!$AA$5</f>
        <v>1921.07443753698</v>
      </c>
    </row>
    <row r="76" spans="3:11" x14ac:dyDescent="0.2">
      <c r="C76" s="88" t="s">
        <v>141</v>
      </c>
      <c r="D76" s="50">
        <f>1667.01719381691*Deflactores!$T$5</f>
        <v>2587.0874855147904</v>
      </c>
      <c r="E76" s="50">
        <f>1845.08838478559*Deflactores!$U$5</f>
        <v>2818.0698885144238</v>
      </c>
      <c r="F76" s="50">
        <f>2247.68160317047*Deflactores!$V$5</f>
        <v>3250.2982379369732</v>
      </c>
      <c r="G76" s="50">
        <f>2580.07745544422*Deflactores!$W$5</f>
        <v>3298.2363132198284</v>
      </c>
      <c r="H76" s="50">
        <f>3211.62342662757*Deflactores!$X$5</f>
        <v>3756.9287241684783</v>
      </c>
      <c r="I76" s="50">
        <f>3444.98079618202*Deflactores!$Y$5</f>
        <v>3830.7111353675668</v>
      </c>
      <c r="J76" s="50">
        <f>3775.76842614822*Deflactores!$Z$5</f>
        <v>3994.7629948648168</v>
      </c>
      <c r="K76" s="50">
        <f>1330.0974244807*Deflactores!$AA$5</f>
        <v>1330.0974244807001</v>
      </c>
    </row>
    <row r="77" spans="3:11" x14ac:dyDescent="0.2">
      <c r="C77" s="87" t="s">
        <v>142</v>
      </c>
      <c r="D77" s="42">
        <f>192.79588907593*Deflactores!$T$5</f>
        <v>299.20497145263255</v>
      </c>
      <c r="E77" s="42">
        <f>366.25596293708*Deflactores!$U$5</f>
        <v>559.39591249542229</v>
      </c>
      <c r="F77" s="42">
        <f>499.154355592649*Deflactores!$V$5</f>
        <v>721.81065154106932</v>
      </c>
      <c r="G77" s="42">
        <f>587.317321379959*Deflactores!$W$5</f>
        <v>750.79579982022767</v>
      </c>
      <c r="H77" s="42">
        <f>499.57886940495*Deflactores!$X$5</f>
        <v>584.40294988940457</v>
      </c>
      <c r="I77" s="42">
        <f>488.43471479942*Deflactores!$Y$5</f>
        <v>543.12415992444926</v>
      </c>
      <c r="J77" s="42">
        <f>450.15033992063*Deflactores!$Z$5</f>
        <v>476.25905963602656</v>
      </c>
      <c r="K77" s="42">
        <f>248.06594531989*Deflactores!$AA$5</f>
        <v>248.06594531989001</v>
      </c>
    </row>
    <row r="78" spans="3:11" x14ac:dyDescent="0.2">
      <c r="C78" s="88" t="s">
        <v>143</v>
      </c>
      <c r="D78" s="50">
        <f>1297.13467551003*Deflactores!$T$5</f>
        <v>2013.0571529113199</v>
      </c>
      <c r="E78" s="50">
        <f>4602.66574984392*Deflactores!$U$5</f>
        <v>7029.8170339623457</v>
      </c>
      <c r="F78" s="50">
        <f>6335.75565469077*Deflactores!$V$5</f>
        <v>9161.9272993973027</v>
      </c>
      <c r="G78" s="50">
        <f>4712.21453107235*Deflactores!$W$5</f>
        <v>6023.8490318458498</v>
      </c>
      <c r="H78" s="50">
        <f>3243.31515661189*Deflactores!$X$5</f>
        <v>3794.0014300497241</v>
      </c>
      <c r="I78" s="50">
        <f>2039.04091891953*Deflactores!$Y$5</f>
        <v>2267.3498680259281</v>
      </c>
      <c r="J78" s="50">
        <f>3549.53627931391*Deflactores!$Z$5</f>
        <v>3755.4093835141171</v>
      </c>
      <c r="K78" s="50">
        <f>2284.40750946557*Deflactores!$AA$5</f>
        <v>2284.40750946557</v>
      </c>
    </row>
    <row r="79" spans="3:11" x14ac:dyDescent="0.2">
      <c r="C79" s="87" t="s">
        <v>144</v>
      </c>
      <c r="D79" s="42">
        <f>4304.87282354709*Deflactores!$T$5</f>
        <v>6680.8444746938776</v>
      </c>
      <c r="E79" s="42">
        <f>4552.62443572019*Deflactores!$U$5</f>
        <v>6953.387134085131</v>
      </c>
      <c r="F79" s="42">
        <f>4837.35950806067*Deflactores!$V$5</f>
        <v>6995.1460487728145</v>
      </c>
      <c r="G79" s="42">
        <f>5399.15096306296*Deflactores!$W$5</f>
        <v>6901.9927015578915</v>
      </c>
      <c r="H79" s="42">
        <f>6539.24942233256*Deflactores!$X$5</f>
        <v>7649.5562292808763</v>
      </c>
      <c r="I79" s="42">
        <f>8054.69986637758*Deflactores!$Y$5</f>
        <v>8956.5748826153904</v>
      </c>
      <c r="J79" s="42">
        <f>9300.58513186542*Deflactores!$Z$5</f>
        <v>9840.0190695136152</v>
      </c>
      <c r="K79" s="42">
        <f>2545.17064757266*Deflactores!$AA$5</f>
        <v>2545.1706475726601</v>
      </c>
    </row>
    <row r="80" spans="3:11" x14ac:dyDescent="0.2">
      <c r="C80" s="88" t="s">
        <v>145</v>
      </c>
      <c r="D80" s="50">
        <f>1387.03097591526*Deflactores!$T$5</f>
        <v>2152.5695674413355</v>
      </c>
      <c r="E80" s="50">
        <f>552.6110638695*Deflactores!$U$5</f>
        <v>844.02276443332858</v>
      </c>
      <c r="F80" s="50">
        <f>1261.85026147778*Deflactores!$V$5</f>
        <v>1824.7200473751782</v>
      </c>
      <c r="G80" s="50">
        <f>3045.7786312898*Deflactores!$W$5</f>
        <v>3893.5643821667386</v>
      </c>
      <c r="H80" s="50">
        <f>2948.30144879335*Deflactores!$X$5</f>
        <v>3448.8969997676345</v>
      </c>
      <c r="I80" s="50">
        <f>868.26570958165*Deflactores!$Y$5</f>
        <v>965.48437246397668</v>
      </c>
      <c r="J80" s="50">
        <f>2693.20301428098*Deflactores!$Z$5</f>
        <v>2849.4087891092768</v>
      </c>
      <c r="K80" s="50">
        <f>2720.27882570051*Deflactores!$AA$5</f>
        <v>2720.27882570051</v>
      </c>
    </row>
    <row r="81" spans="1:12" x14ac:dyDescent="0.2">
      <c r="C81" s="87" t="s">
        <v>146</v>
      </c>
      <c r="D81" s="42">
        <f>880.094874086934*Deflactores!$T$5</f>
        <v>1365.8422020247585</v>
      </c>
      <c r="E81" s="42">
        <f>887.3417492763*Deflactores!$U$5</f>
        <v>1355.2689860696507</v>
      </c>
      <c r="F81" s="42">
        <f>1019.51278585525*Deflactores!$V$5</f>
        <v>1474.2838161532136</v>
      </c>
      <c r="G81" s="42">
        <f>1292.60302768949*Deflactores!$W$5</f>
        <v>1652.3962238061354</v>
      </c>
      <c r="H81" s="42">
        <f>1319.130752675*Deflactores!$X$5</f>
        <v>1543.1075058705478</v>
      </c>
      <c r="I81" s="42">
        <f>1475.60111536255*Deflactores!$Y$5</f>
        <v>1640.8223901406791</v>
      </c>
      <c r="J81" s="42">
        <f>1650.33219674223*Deflactores!$Z$5</f>
        <v>1746.0514641532795</v>
      </c>
      <c r="K81" s="42">
        <f>875.764733177818*Deflactores!$AA$5</f>
        <v>875.76473317781802</v>
      </c>
    </row>
    <row r="82" spans="1:12" x14ac:dyDescent="0.2">
      <c r="C82" s="88" t="s">
        <v>162</v>
      </c>
      <c r="D82" s="50">
        <f>28898.6617114863*Deflactores!$T$5</f>
        <v>44848.58724865855</v>
      </c>
      <c r="E82" s="50">
        <f>33866.7348793537*Deflactores!$U$5</f>
        <v>51725.882929396023</v>
      </c>
      <c r="F82" s="50">
        <f>42729.0358309918*Deflactores!$V$5</f>
        <v>61789.049514094033</v>
      </c>
      <c r="G82" s="50">
        <f>41209.9832461457*Deflactores!$W$5</f>
        <v>52680.691009028895</v>
      </c>
      <c r="H82" s="50">
        <f>51286.8274943256*Deflactores!$X$5</f>
        <v>59994.877913577184</v>
      </c>
      <c r="I82" s="50">
        <f>58678.1353058655*Deflactores!$Y$5</f>
        <v>65248.255249463298</v>
      </c>
      <c r="J82" s="50">
        <f>64204.6159883901*Deflactores!$Z$5</f>
        <v>67928.48371571672</v>
      </c>
      <c r="K82" s="50">
        <f>27265.6630415719*Deflactores!$AA$5</f>
        <v>27265.663041571901</v>
      </c>
    </row>
    <row r="83" spans="1:12" x14ac:dyDescent="0.2">
      <c r="C83" s="87" t="s">
        <v>148</v>
      </c>
      <c r="D83" s="42">
        <f>264.07690960853*Deflactores!$T$5</f>
        <v>409.82784736453283</v>
      </c>
      <c r="E83" s="42">
        <f>317.62768516746*Deflactores!$U$5</f>
        <v>485.12419389219338</v>
      </c>
      <c r="F83" s="42">
        <f>358.64498812644*Deflactores!$V$5</f>
        <v>518.62468923890754</v>
      </c>
      <c r="G83" s="42">
        <f>360.0101767812*Deflactores!$W$5</f>
        <v>460.21821386908931</v>
      </c>
      <c r="H83" s="42">
        <f>451.28346101165*Deflactores!$X$5</f>
        <v>527.90740762442499</v>
      </c>
      <c r="I83" s="42">
        <f>592.63193987723*Deflactores!$Y$5</f>
        <v>658.98822245342888</v>
      </c>
      <c r="J83" s="42">
        <f>699.623488265909*Deflactores!$Z$5</f>
        <v>740.20165058533178</v>
      </c>
      <c r="K83" s="42">
        <f>267.43318755477*Deflactores!$AA$5</f>
        <v>267.43318755476997</v>
      </c>
    </row>
    <row r="84" spans="1:12" x14ac:dyDescent="0.2">
      <c r="C84" s="88" t="s">
        <v>149</v>
      </c>
      <c r="D84" s="50">
        <f>482.97701459646*Deflactores!$T$5</f>
        <v>749.54463270582789</v>
      </c>
      <c r="E84" s="50">
        <f>310.50228994636*Deflactores!$U$5</f>
        <v>474.24132135236113</v>
      </c>
      <c r="F84" s="50">
        <f>735.982120862079*Deflactores!$V$5</f>
        <v>1064.2794723313416</v>
      </c>
      <c r="G84" s="50">
        <f>790.426952881159*Deflactores!$W$5</f>
        <v>1010.4405483793814</v>
      </c>
      <c r="H84" s="50">
        <f>984.250297161429*Deflactores!$X$5</f>
        <v>1151.3673061788686</v>
      </c>
      <c r="I84" s="50">
        <f>756.47515549688*Deflactores!$Y$5</f>
        <v>841.17676504972269</v>
      </c>
      <c r="J84" s="50">
        <f>776.94355016674*Deflactores!$Z$5</f>
        <v>822.00627607641093</v>
      </c>
      <c r="K84" s="50">
        <f>445.93493192296*Deflactores!$AA$5</f>
        <v>445.93493192296</v>
      </c>
    </row>
    <row r="85" spans="1:12" x14ac:dyDescent="0.2">
      <c r="C85" s="87" t="s">
        <v>163</v>
      </c>
      <c r="D85" s="42">
        <f>22731.348461844*Deflactores!$T$5</f>
        <v>35277.372874518427</v>
      </c>
      <c r="E85" s="42">
        <f>26449.4423942581*Deflactores!$U$5</f>
        <v>40397.185193877398</v>
      </c>
      <c r="F85" s="42">
        <f>23326.944286685*Deflactores!$V$5</f>
        <v>33732.3248117166</v>
      </c>
      <c r="G85" s="42">
        <f>25684.8366037944*Deflactores!$W$5</f>
        <v>32834.154109209463</v>
      </c>
      <c r="H85" s="42">
        <f>29025.9457795405*Deflactores!$X$5</f>
        <v>33954.295058751952</v>
      </c>
      <c r="I85" s="42">
        <f>31362.0055141346*Deflactores!$Y$5</f>
        <v>34873.571395115185</v>
      </c>
      <c r="J85" s="42">
        <f>45045.0905727994*Deflactores!$Z$5</f>
        <v>47657.705826021767</v>
      </c>
      <c r="K85" s="42">
        <f>8214.60669189892*Deflactores!$AA$5</f>
        <v>8214.60669189892</v>
      </c>
    </row>
    <row r="86" spans="1:12" x14ac:dyDescent="0.2">
      <c r="C86" s="88" t="s">
        <v>150</v>
      </c>
      <c r="D86" s="50">
        <f>924.845861677049*Deflactores!$T$5</f>
        <v>1435.292427486278</v>
      </c>
      <c r="E86" s="50">
        <f>853.55703920238*Deflactores!$U$5</f>
        <v>1303.6683825773864</v>
      </c>
      <c r="F86" s="50">
        <f>951.868982316599*Deflactores!$V$5</f>
        <v>1376.4663427446558</v>
      </c>
      <c r="G86" s="50">
        <f>1097.25736348712*Deflactores!$W$5</f>
        <v>1402.676525685145</v>
      </c>
      <c r="H86" s="50">
        <f>1469.79144062042*Deflactores!$X$5</f>
        <v>1719.3490482170907</v>
      </c>
      <c r="I86" s="50">
        <f>1419.16353104033*Deflactores!$Y$5</f>
        <v>1578.0655576625479</v>
      </c>
      <c r="J86" s="50">
        <f>1444.17359115768*Deflactores!$Z$5</f>
        <v>1527.9356594448254</v>
      </c>
      <c r="K86" s="50">
        <f>924.868252498659*Deflactores!$AA$5</f>
        <v>924.86825249865899</v>
      </c>
    </row>
    <row r="87" spans="1:12" x14ac:dyDescent="0.2">
      <c r="C87" s="87" t="s">
        <v>151</v>
      </c>
      <c r="D87" s="42">
        <f>2190.79212762716*Deflactores!$T$5</f>
        <v>3399.9474737097657</v>
      </c>
      <c r="E87" s="42">
        <f>2341.04330928252*Deflactores!$U$5</f>
        <v>3575.5596924230081</v>
      </c>
      <c r="F87" s="42">
        <f>2728.56652615388*Deflactores!$V$5</f>
        <v>3945.6900655066415</v>
      </c>
      <c r="G87" s="42">
        <f>2654.77344210921*Deflactores!$W$5</f>
        <v>3393.7237626955794</v>
      </c>
      <c r="H87" s="42">
        <f>2926.31864759444*Deflactores!$X$5</f>
        <v>3423.1817130446848</v>
      </c>
      <c r="I87" s="42">
        <f>3759.52629688483*Deflactores!$Y$5</f>
        <v>4180.4759159020232</v>
      </c>
      <c r="J87" s="42">
        <f>4340.45487461282*Deflactores!$Z$5</f>
        <v>4592.2012573403645</v>
      </c>
      <c r="K87" s="42">
        <f>1374.96895292904*Deflactores!$AA$5</f>
        <v>1374.9689529290399</v>
      </c>
    </row>
    <row r="88" spans="1:12" x14ac:dyDescent="0.2">
      <c r="C88" s="79" t="s">
        <v>179</v>
      </c>
      <c r="D88" s="44">
        <f t="shared" ref="D88:K88" si="1">+SUM(D57:D87)</f>
        <v>241173.35430671403</v>
      </c>
      <c r="E88" s="44">
        <f t="shared" si="1"/>
        <v>290850.85664014349</v>
      </c>
      <c r="F88" s="44">
        <f t="shared" si="1"/>
        <v>300290.58581429627</v>
      </c>
      <c r="G88" s="44">
        <f t="shared" si="1"/>
        <v>259978.48790099123</v>
      </c>
      <c r="H88" s="44">
        <f t="shared" si="1"/>
        <v>298733.61940680188</v>
      </c>
      <c r="I88" s="44">
        <f t="shared" si="1"/>
        <v>309594.6311780815</v>
      </c>
      <c r="J88" s="44">
        <f t="shared" si="1"/>
        <v>333744.2381779126</v>
      </c>
      <c r="K88" s="44">
        <f t="shared" si="1"/>
        <v>126492.3251664116</v>
      </c>
    </row>
    <row r="89" spans="1:12" s="31" customFormat="1" x14ac:dyDescent="0.2">
      <c r="A89" s="5"/>
      <c r="B89" s="5"/>
      <c r="C89" s="72" t="str">
        <f>+'C1 Aprop Resumen 2000-2026'!B20</f>
        <v>* Información con corte a 30 de abril</v>
      </c>
      <c r="D89" s="121">
        <f>+D88-'C5 Ejecución PGN 2019-2026'!D47</f>
        <v>0</v>
      </c>
      <c r="E89" s="121">
        <f>+E88-'C5 Ejecución PGN 2019-2026'!E47</f>
        <v>1.1641532182693481E-9</v>
      </c>
      <c r="F89" s="121">
        <f>+F88-'C5 Ejecución PGN 2019-2026'!F47</f>
        <v>0</v>
      </c>
      <c r="G89" s="121">
        <f>+G88-'C5 Ejecución PGN 2019-2026'!G47</f>
        <v>3.4924596548080444E-10</v>
      </c>
      <c r="H89" s="121">
        <f>+H88-'C5 Ejecución PGN 2019-2026'!H47</f>
        <v>0</v>
      </c>
      <c r="I89" s="121">
        <f>+I88-'C5 Ejecución PGN 2019-2026'!I47</f>
        <v>0</v>
      </c>
      <c r="J89" s="121">
        <f>+J88-'C5 Ejecución PGN 2019-2026'!J47</f>
        <v>0</v>
      </c>
      <c r="K89" s="121">
        <f>+K88-'C5 Ejecución PGN 2019-2026'!K47</f>
        <v>0</v>
      </c>
    </row>
    <row r="90" spans="1:12" x14ac:dyDescent="0.2">
      <c r="C90" s="1" t="s">
        <v>52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customHeight="1" x14ac:dyDescent="0.2">
      <c r="D94" s="155" t="s">
        <v>181</v>
      </c>
      <c r="E94" s="178"/>
      <c r="F94" s="178"/>
      <c r="G94" s="178"/>
      <c r="H94" s="178"/>
      <c r="I94" s="178"/>
      <c r="J94" s="178"/>
      <c r="K94" s="178"/>
      <c r="L94" s="178"/>
    </row>
    <row r="95" spans="1:12" ht="2.25" customHeight="1" x14ac:dyDescent="0.2">
      <c r="D95" s="28"/>
      <c r="E95" s="28"/>
      <c r="F95" s="28"/>
      <c r="H95" s="9">
        <f>+G94-F95</f>
        <v>0</v>
      </c>
    </row>
    <row r="96" spans="1:12" x14ac:dyDescent="0.2">
      <c r="E96" s="29"/>
      <c r="F96" s="29"/>
    </row>
    <row r="97" spans="3:11" x14ac:dyDescent="0.2">
      <c r="C97" s="176" t="s">
        <v>120</v>
      </c>
      <c r="D97" s="153">
        <v>2019</v>
      </c>
      <c r="E97" s="153">
        <v>2020</v>
      </c>
      <c r="F97" s="153">
        <v>2021</v>
      </c>
      <c r="G97" s="153">
        <v>2022</v>
      </c>
      <c r="H97" s="153">
        <v>2023</v>
      </c>
      <c r="I97" s="153">
        <v>2024</v>
      </c>
      <c r="J97" s="153">
        <v>2025</v>
      </c>
      <c r="K97" s="153" t="s">
        <v>10</v>
      </c>
    </row>
    <row r="98" spans="3:11" ht="12" customHeight="1" thickBot="1" x14ac:dyDescent="0.25">
      <c r="C98" s="160"/>
      <c r="D98" s="154"/>
      <c r="E98" s="154"/>
      <c r="F98" s="154"/>
      <c r="G98" s="154"/>
      <c r="H98" s="154"/>
      <c r="I98" s="154"/>
      <c r="J98" s="154"/>
      <c r="K98" s="154"/>
    </row>
    <row r="99" spans="3:11" x14ac:dyDescent="0.2">
      <c r="C99" s="87" t="s">
        <v>123</v>
      </c>
      <c r="D99" s="47">
        <f t="shared" ref="D99:K108" si="2">+IFERROR(IF(D57&gt;0,+((D57/D15)*100)," "),"")</f>
        <v>96.754675520953327</v>
      </c>
      <c r="E99" s="47">
        <f t="shared" si="2"/>
        <v>85.975743932962004</v>
      </c>
      <c r="F99" s="47">
        <f t="shared" si="2"/>
        <v>92.954429041126517</v>
      </c>
      <c r="G99" s="47">
        <f t="shared" si="2"/>
        <v>92.977026758318061</v>
      </c>
      <c r="H99" s="47">
        <f t="shared" si="2"/>
        <v>84.181048451494377</v>
      </c>
      <c r="I99" s="47">
        <f t="shared" si="2"/>
        <v>95.868179401864509</v>
      </c>
      <c r="J99" s="47">
        <f t="shared" si="2"/>
        <v>94.787312526037027</v>
      </c>
      <c r="K99" s="47">
        <f t="shared" si="2"/>
        <v>45.657612850872653</v>
      </c>
    </row>
    <row r="100" spans="3:11" x14ac:dyDescent="0.2">
      <c r="C100" s="88" t="s">
        <v>124</v>
      </c>
      <c r="D100" s="116">
        <f t="shared" si="2"/>
        <v>97.832434888538288</v>
      </c>
      <c r="E100" s="116">
        <f t="shared" si="2"/>
        <v>97.759260906243057</v>
      </c>
      <c r="F100" s="116">
        <f t="shared" si="2"/>
        <v>94.710917951143657</v>
      </c>
      <c r="G100" s="116">
        <f t="shared" si="2"/>
        <v>93.616026791628855</v>
      </c>
      <c r="H100" s="116">
        <f t="shared" si="2"/>
        <v>95.535697093377934</v>
      </c>
      <c r="I100" s="116">
        <f t="shared" si="2"/>
        <v>97.062537180710422</v>
      </c>
      <c r="J100" s="116">
        <f t="shared" si="2"/>
        <v>98.088778275275629</v>
      </c>
      <c r="K100" s="116">
        <f t="shared" si="2"/>
        <v>52.572470273360686</v>
      </c>
    </row>
    <row r="101" spans="3:11" x14ac:dyDescent="0.2">
      <c r="C101" s="87" t="s">
        <v>125</v>
      </c>
      <c r="D101" s="47">
        <f t="shared" si="2"/>
        <v>96.636739383731026</v>
      </c>
      <c r="E101" s="47">
        <f t="shared" si="2"/>
        <v>94.930833911807028</v>
      </c>
      <c r="F101" s="47">
        <f t="shared" si="2"/>
        <v>96.575562945679508</v>
      </c>
      <c r="G101" s="47">
        <f t="shared" si="2"/>
        <v>88.865393905143819</v>
      </c>
      <c r="H101" s="47">
        <f t="shared" si="2"/>
        <v>95.912194434805642</v>
      </c>
      <c r="I101" s="47">
        <f t="shared" si="2"/>
        <v>96.330901086093874</v>
      </c>
      <c r="J101" s="47">
        <f t="shared" si="2"/>
        <v>93.440518641874419</v>
      </c>
      <c r="K101" s="47">
        <f t="shared" si="2"/>
        <v>25.500025550942606</v>
      </c>
    </row>
    <row r="102" spans="3:11" x14ac:dyDescent="0.2">
      <c r="C102" s="88" t="s">
        <v>126</v>
      </c>
      <c r="D102" s="116">
        <f t="shared" si="2"/>
        <v>97.209605145138696</v>
      </c>
      <c r="E102" s="116">
        <f t="shared" si="2"/>
        <v>96.224115350165334</v>
      </c>
      <c r="F102" s="116">
        <f t="shared" si="2"/>
        <v>93.7431605388295</v>
      </c>
      <c r="G102" s="116">
        <f t="shared" si="2"/>
        <v>96.185811609630562</v>
      </c>
      <c r="H102" s="116">
        <f t="shared" si="2"/>
        <v>94.718553841870644</v>
      </c>
      <c r="I102" s="116">
        <f t="shared" si="2"/>
        <v>94.970403976999592</v>
      </c>
      <c r="J102" s="116">
        <f t="shared" si="2"/>
        <v>94.746234244215131</v>
      </c>
      <c r="K102" s="116">
        <f t="shared" si="2"/>
        <v>65.031586778805874</v>
      </c>
    </row>
    <row r="103" spans="3:11" x14ac:dyDescent="0.2">
      <c r="C103" s="87" t="s">
        <v>127</v>
      </c>
      <c r="D103" s="47">
        <f t="shared" si="2"/>
        <v>99.019391581905651</v>
      </c>
      <c r="E103" s="47">
        <f t="shared" si="2"/>
        <v>99.210647231887933</v>
      </c>
      <c r="F103" s="47">
        <f t="shared" si="2"/>
        <v>95.764210290776731</v>
      </c>
      <c r="G103" s="47">
        <f t="shared" si="2"/>
        <v>96.867815759843637</v>
      </c>
      <c r="H103" s="47">
        <f t="shared" si="2"/>
        <v>98.778064005368449</v>
      </c>
      <c r="I103" s="47">
        <f t="shared" si="2"/>
        <v>94.122231289845473</v>
      </c>
      <c r="J103" s="47">
        <f t="shared" si="2"/>
        <v>84.606091994744204</v>
      </c>
      <c r="K103" s="47">
        <f t="shared" si="2"/>
        <v>42.505402223787314</v>
      </c>
    </row>
    <row r="104" spans="3:11" x14ac:dyDescent="0.2">
      <c r="C104" s="88" t="s">
        <v>128</v>
      </c>
      <c r="D104" s="116">
        <f t="shared" si="2"/>
        <v>99.630817741796207</v>
      </c>
      <c r="E104" s="116">
        <f t="shared" si="2"/>
        <v>99.730865065270763</v>
      </c>
      <c r="F104" s="116">
        <f t="shared" si="2"/>
        <v>94.308649676159561</v>
      </c>
      <c r="G104" s="116">
        <f t="shared" si="2"/>
        <v>97.392020352738783</v>
      </c>
      <c r="H104" s="116">
        <f t="shared" si="2"/>
        <v>98.960690536836751</v>
      </c>
      <c r="I104" s="116">
        <f t="shared" si="2"/>
        <v>97.897709675989773</v>
      </c>
      <c r="J104" s="116">
        <f t="shared" si="2"/>
        <v>99.35118653935055</v>
      </c>
      <c r="K104" s="116">
        <f t="shared" si="2"/>
        <v>43.121108519357257</v>
      </c>
    </row>
    <row r="105" spans="3:11" x14ac:dyDescent="0.2">
      <c r="C105" s="87" t="s">
        <v>129</v>
      </c>
      <c r="D105" s="47">
        <f t="shared" si="2"/>
        <v>99.501593858994852</v>
      </c>
      <c r="E105" s="47">
        <f t="shared" si="2"/>
        <v>99.672764173138219</v>
      </c>
      <c r="F105" s="47">
        <f t="shared" si="2"/>
        <v>97.198869200407088</v>
      </c>
      <c r="G105" s="47">
        <f t="shared" si="2"/>
        <v>98.210944819410628</v>
      </c>
      <c r="H105" s="47">
        <f t="shared" si="2"/>
        <v>98.742598593886783</v>
      </c>
      <c r="I105" s="47">
        <f t="shared" si="2"/>
        <v>99.038844383965539</v>
      </c>
      <c r="J105" s="47">
        <f t="shared" si="2"/>
        <v>99.659650532643525</v>
      </c>
      <c r="K105" s="47">
        <f t="shared" si="2"/>
        <v>34.243984658666221</v>
      </c>
    </row>
    <row r="106" spans="3:11" x14ac:dyDescent="0.2">
      <c r="C106" s="88" t="s">
        <v>130</v>
      </c>
      <c r="D106" s="116">
        <f t="shared" si="2"/>
        <v>98.270993193114819</v>
      </c>
      <c r="E106" s="116">
        <f t="shared" si="2"/>
        <v>98.52589262329991</v>
      </c>
      <c r="F106" s="116">
        <f t="shared" si="2"/>
        <v>91.328483334636218</v>
      </c>
      <c r="G106" s="116">
        <f t="shared" si="2"/>
        <v>94.150672246222783</v>
      </c>
      <c r="H106" s="116">
        <f t="shared" si="2"/>
        <v>84.939781744765554</v>
      </c>
      <c r="I106" s="116">
        <f t="shared" si="2"/>
        <v>96.577727215724835</v>
      </c>
      <c r="J106" s="116">
        <f t="shared" si="2"/>
        <v>93.568013677604227</v>
      </c>
      <c r="K106" s="116">
        <f t="shared" si="2"/>
        <v>32.585632168970228</v>
      </c>
    </row>
    <row r="107" spans="3:11" x14ac:dyDescent="0.2">
      <c r="C107" s="87" t="s">
        <v>131</v>
      </c>
      <c r="D107" s="47">
        <f t="shared" si="2"/>
        <v>99.983915192696799</v>
      </c>
      <c r="E107" s="47">
        <f t="shared" si="2"/>
        <v>99.987284930259619</v>
      </c>
      <c r="F107" s="47">
        <f t="shared" si="2"/>
        <v>99.972910820179862</v>
      </c>
      <c r="G107" s="47">
        <f t="shared" si="2"/>
        <v>99.930120616969674</v>
      </c>
      <c r="H107" s="47">
        <f t="shared" si="2"/>
        <v>99.03758583723905</v>
      </c>
      <c r="I107" s="47">
        <f t="shared" si="2"/>
        <v>99.883260353809888</v>
      </c>
      <c r="J107" s="47">
        <f t="shared" si="2"/>
        <v>99.596262914037197</v>
      </c>
      <c r="K107" s="47">
        <f t="shared" si="2"/>
        <v>48.476726661845916</v>
      </c>
    </row>
    <row r="108" spans="3:11" x14ac:dyDescent="0.2">
      <c r="C108" s="88" t="s">
        <v>132</v>
      </c>
      <c r="D108" s="116">
        <f t="shared" si="2"/>
        <v>90.977213489926768</v>
      </c>
      <c r="E108" s="116">
        <f t="shared" si="2"/>
        <v>86.918215828982127</v>
      </c>
      <c r="F108" s="116">
        <f t="shared" si="2"/>
        <v>55.55859793656699</v>
      </c>
      <c r="G108" s="116">
        <f t="shared" si="2"/>
        <v>79.751340667149293</v>
      </c>
      <c r="H108" s="116">
        <f t="shared" si="2"/>
        <v>90.156612731859624</v>
      </c>
      <c r="I108" s="116">
        <f t="shared" si="2"/>
        <v>86.370116321343389</v>
      </c>
      <c r="J108" s="116">
        <f t="shared" si="2"/>
        <v>90.012129141155867</v>
      </c>
      <c r="K108" s="116">
        <f t="shared" si="2"/>
        <v>30.68987684808544</v>
      </c>
    </row>
    <row r="109" spans="3:11" x14ac:dyDescent="0.2">
      <c r="C109" s="87" t="s">
        <v>133</v>
      </c>
      <c r="D109" s="47">
        <f t="shared" ref="D109:K118" si="3">+IFERROR(IF(D67&gt;0,+((D67/D25)*100)," "),"")</f>
        <v>99.346184527611356</v>
      </c>
      <c r="E109" s="47">
        <f t="shared" si="3"/>
        <v>98.943639923614512</v>
      </c>
      <c r="F109" s="47">
        <f t="shared" si="3"/>
        <v>95.372812277114605</v>
      </c>
      <c r="G109" s="47">
        <f t="shared" si="3"/>
        <v>99.031994982959787</v>
      </c>
      <c r="H109" s="47">
        <f t="shared" si="3"/>
        <v>99.408454270773632</v>
      </c>
      <c r="I109" s="47">
        <f t="shared" si="3"/>
        <v>98.685674424464253</v>
      </c>
      <c r="J109" s="47">
        <f t="shared" si="3"/>
        <v>99.654911463789503</v>
      </c>
      <c r="K109" s="47">
        <f t="shared" si="3"/>
        <v>29.462054329389769</v>
      </c>
    </row>
    <row r="110" spans="3:11" x14ac:dyDescent="0.2">
      <c r="C110" s="88" t="s">
        <v>134</v>
      </c>
      <c r="D110" s="116">
        <f t="shared" si="3"/>
        <v>96.570291599003681</v>
      </c>
      <c r="E110" s="116">
        <f t="shared" si="3"/>
        <v>50.755068123197013</v>
      </c>
      <c r="F110" s="116">
        <f t="shared" si="3"/>
        <v>91.11939644699757</v>
      </c>
      <c r="G110" s="116">
        <f t="shared" si="3"/>
        <v>95.156636660369458</v>
      </c>
      <c r="H110" s="116">
        <f t="shared" si="3"/>
        <v>96.40400029652892</v>
      </c>
      <c r="I110" s="116">
        <f t="shared" si="3"/>
        <v>84.279257673265988</v>
      </c>
      <c r="J110" s="116">
        <f t="shared" si="3"/>
        <v>92.343581289574416</v>
      </c>
      <c r="K110" s="116">
        <f t="shared" si="3"/>
        <v>19.404567597817451</v>
      </c>
    </row>
    <row r="111" spans="3:11" x14ac:dyDescent="0.2">
      <c r="C111" s="87" t="s">
        <v>135</v>
      </c>
      <c r="D111" s="47" t="str">
        <f t="shared" si="3"/>
        <v xml:space="preserve"> </v>
      </c>
      <c r="E111" s="47" t="str">
        <f t="shared" si="3"/>
        <v xml:space="preserve"> </v>
      </c>
      <c r="F111" s="47" t="str">
        <f t="shared" si="3"/>
        <v xml:space="preserve"> </v>
      </c>
      <c r="G111" s="47" t="str">
        <f t="shared" si="3"/>
        <v xml:space="preserve"> </v>
      </c>
      <c r="H111" s="47">
        <f t="shared" si="3"/>
        <v>94.392228050518</v>
      </c>
      <c r="I111" s="47">
        <f t="shared" si="3"/>
        <v>92.141878486608789</v>
      </c>
      <c r="J111" s="47">
        <f t="shared" si="3"/>
        <v>98.676066715887671</v>
      </c>
      <c r="K111" s="47">
        <f t="shared" si="3"/>
        <v>20.51800472518326</v>
      </c>
    </row>
    <row r="112" spans="3:11" x14ac:dyDescent="0.2">
      <c r="C112" s="88" t="s">
        <v>136</v>
      </c>
      <c r="D112" s="116">
        <f t="shared" si="3"/>
        <v>94.645063984804395</v>
      </c>
      <c r="E112" s="116">
        <f t="shared" si="3"/>
        <v>98.815281434114269</v>
      </c>
      <c r="F112" s="116">
        <f t="shared" si="3"/>
        <v>97.173490861840833</v>
      </c>
      <c r="G112" s="116">
        <f t="shared" si="3"/>
        <v>95.891645593635104</v>
      </c>
      <c r="H112" s="116">
        <f t="shared" si="3"/>
        <v>91.230928960196536</v>
      </c>
      <c r="I112" s="116">
        <f t="shared" si="3"/>
        <v>93.803583337310528</v>
      </c>
      <c r="J112" s="116">
        <f t="shared" si="3"/>
        <v>95.327901555913613</v>
      </c>
      <c r="K112" s="116">
        <f t="shared" si="3"/>
        <v>14.820005424835703</v>
      </c>
    </row>
    <row r="113" spans="3:11" x14ac:dyDescent="0.2">
      <c r="C113" s="87" t="s">
        <v>137</v>
      </c>
      <c r="D113" s="47">
        <f t="shared" si="3"/>
        <v>90.384324634137613</v>
      </c>
      <c r="E113" s="47">
        <f t="shared" si="3"/>
        <v>88.675910968181597</v>
      </c>
      <c r="F113" s="47">
        <f t="shared" si="3"/>
        <v>80.833740397434099</v>
      </c>
      <c r="G113" s="47">
        <f t="shared" si="3"/>
        <v>87.958974853692951</v>
      </c>
      <c r="H113" s="47">
        <f t="shared" si="3"/>
        <v>92.222879866376246</v>
      </c>
      <c r="I113" s="47">
        <f t="shared" si="3"/>
        <v>95.426056570632824</v>
      </c>
      <c r="J113" s="47">
        <f t="shared" si="3"/>
        <v>94.802516837055975</v>
      </c>
      <c r="K113" s="47">
        <f t="shared" si="3"/>
        <v>32.589108959727028</v>
      </c>
    </row>
    <row r="114" spans="3:11" x14ac:dyDescent="0.2">
      <c r="C114" s="88" t="s">
        <v>138</v>
      </c>
      <c r="D114" s="116">
        <f t="shared" si="3"/>
        <v>96.565087601601888</v>
      </c>
      <c r="E114" s="116">
        <f t="shared" si="3"/>
        <v>99.172164904947024</v>
      </c>
      <c r="F114" s="116">
        <f t="shared" si="3"/>
        <v>97.243076047252742</v>
      </c>
      <c r="G114" s="116">
        <f t="shared" si="3"/>
        <v>96.57139388118857</v>
      </c>
      <c r="H114" s="116">
        <f t="shared" si="3"/>
        <v>91.978094954718898</v>
      </c>
      <c r="I114" s="116">
        <f t="shared" si="3"/>
        <v>96.710745170515509</v>
      </c>
      <c r="J114" s="116">
        <f t="shared" si="3"/>
        <v>97.526520095943937</v>
      </c>
      <c r="K114" s="116">
        <f t="shared" si="3"/>
        <v>28.579106972803416</v>
      </c>
    </row>
    <row r="115" spans="3:11" x14ac:dyDescent="0.2">
      <c r="C115" s="87" t="s">
        <v>160</v>
      </c>
      <c r="D115" s="47">
        <f t="shared" si="3"/>
        <v>98.795428126561887</v>
      </c>
      <c r="E115" s="47">
        <f t="shared" si="3"/>
        <v>97.750337335393723</v>
      </c>
      <c r="F115" s="47">
        <f t="shared" si="3"/>
        <v>97.367715037087038</v>
      </c>
      <c r="G115" s="47">
        <f t="shared" si="3"/>
        <v>88.702994685029097</v>
      </c>
      <c r="H115" s="47">
        <f t="shared" si="3"/>
        <v>96.20603364777287</v>
      </c>
      <c r="I115" s="47">
        <f t="shared" si="3"/>
        <v>90.456709186029599</v>
      </c>
      <c r="J115" s="47">
        <f t="shared" si="3"/>
        <v>97.985878421710197</v>
      </c>
      <c r="K115" s="47">
        <f t="shared" si="3"/>
        <v>67.913035186442414</v>
      </c>
    </row>
    <row r="116" spans="3:11" x14ac:dyDescent="0.2">
      <c r="C116" s="88" t="s">
        <v>161</v>
      </c>
      <c r="D116" s="116">
        <f t="shared" si="3"/>
        <v>97.793416692574581</v>
      </c>
      <c r="E116" s="116">
        <f t="shared" si="3"/>
        <v>96.375926037772786</v>
      </c>
      <c r="F116" s="116">
        <f t="shared" si="3"/>
        <v>85.860223655355114</v>
      </c>
      <c r="G116" s="116">
        <f t="shared" si="3"/>
        <v>90.340275936027524</v>
      </c>
      <c r="H116" s="116">
        <f t="shared" si="3"/>
        <v>91.428299021888961</v>
      </c>
      <c r="I116" s="116">
        <f t="shared" si="3"/>
        <v>93.703289945746278</v>
      </c>
      <c r="J116" s="116">
        <f t="shared" si="3"/>
        <v>98.621795704045638</v>
      </c>
      <c r="K116" s="116">
        <f t="shared" si="3"/>
        <v>38.191107634637653</v>
      </c>
    </row>
    <row r="117" spans="3:11" x14ac:dyDescent="0.2">
      <c r="C117" s="87" t="s">
        <v>140</v>
      </c>
      <c r="D117" s="47">
        <f t="shared" si="3"/>
        <v>91.954010641935142</v>
      </c>
      <c r="E117" s="47">
        <f t="shared" si="3"/>
        <v>94.176051399351209</v>
      </c>
      <c r="F117" s="47">
        <f t="shared" si="3"/>
        <v>91.235752262393262</v>
      </c>
      <c r="G117" s="47">
        <f t="shared" si="3"/>
        <v>91.794148246154677</v>
      </c>
      <c r="H117" s="47">
        <f t="shared" si="3"/>
        <v>96.479942122660788</v>
      </c>
      <c r="I117" s="47">
        <f t="shared" si="3"/>
        <v>98.918418137309587</v>
      </c>
      <c r="J117" s="47">
        <f t="shared" si="3"/>
        <v>98.347018234072053</v>
      </c>
      <c r="K117" s="47">
        <f t="shared" si="3"/>
        <v>59.23280405465686</v>
      </c>
    </row>
    <row r="118" spans="3:11" x14ac:dyDescent="0.2">
      <c r="C118" s="88" t="s">
        <v>141</v>
      </c>
      <c r="D118" s="116">
        <f t="shared" si="3"/>
        <v>95.878402996416426</v>
      </c>
      <c r="E118" s="116">
        <f t="shared" si="3"/>
        <v>86.10328343460786</v>
      </c>
      <c r="F118" s="116">
        <f t="shared" si="3"/>
        <v>89.550058741995727</v>
      </c>
      <c r="G118" s="116">
        <f t="shared" si="3"/>
        <v>93.59021943815118</v>
      </c>
      <c r="H118" s="116">
        <f t="shared" si="3"/>
        <v>92.966255862093533</v>
      </c>
      <c r="I118" s="116">
        <f t="shared" si="3"/>
        <v>91.395413106386997</v>
      </c>
      <c r="J118" s="116">
        <f t="shared" si="3"/>
        <v>97.333397757652264</v>
      </c>
      <c r="K118" s="116">
        <f t="shared" si="3"/>
        <v>32.120102747490527</v>
      </c>
    </row>
    <row r="119" spans="3:11" x14ac:dyDescent="0.2">
      <c r="C119" s="87" t="s">
        <v>142</v>
      </c>
      <c r="D119" s="47">
        <f t="shared" ref="D119:K128" si="4">+IFERROR(IF(D77&gt;0,+((D77/D35)*100)," "),"")</f>
        <v>95.530484135217137</v>
      </c>
      <c r="E119" s="47">
        <f t="shared" si="4"/>
        <v>90.179431252262702</v>
      </c>
      <c r="F119" s="47">
        <f t="shared" si="4"/>
        <v>50.865594935040171</v>
      </c>
      <c r="G119" s="47">
        <f t="shared" si="4"/>
        <v>83.001911561192415</v>
      </c>
      <c r="H119" s="47">
        <f t="shared" si="4"/>
        <v>91.549651027272873</v>
      </c>
      <c r="I119" s="47">
        <f t="shared" si="4"/>
        <v>90.804227183573218</v>
      </c>
      <c r="J119" s="47">
        <f t="shared" si="4"/>
        <v>89.953950043460267</v>
      </c>
      <c r="K119" s="47">
        <f t="shared" si="4"/>
        <v>41.356625483273554</v>
      </c>
    </row>
    <row r="120" spans="3:11" x14ac:dyDescent="0.2">
      <c r="C120" s="88" t="s">
        <v>143</v>
      </c>
      <c r="D120" s="116">
        <f t="shared" si="4"/>
        <v>98.319680477411197</v>
      </c>
      <c r="E120" s="116">
        <f t="shared" si="4"/>
        <v>99.587349136687379</v>
      </c>
      <c r="F120" s="116">
        <f t="shared" si="4"/>
        <v>99.527970153166734</v>
      </c>
      <c r="G120" s="116">
        <f t="shared" si="4"/>
        <v>99.292056014821441</v>
      </c>
      <c r="H120" s="116">
        <f t="shared" si="4"/>
        <v>98.664143286494337</v>
      </c>
      <c r="I120" s="116">
        <f t="shared" si="4"/>
        <v>96.494522512861607</v>
      </c>
      <c r="J120" s="116">
        <f t="shared" si="4"/>
        <v>98.941270914390515</v>
      </c>
      <c r="K120" s="116">
        <f t="shared" si="4"/>
        <v>24.747500582726271</v>
      </c>
    </row>
    <row r="121" spans="3:11" x14ac:dyDescent="0.2">
      <c r="C121" s="87" t="s">
        <v>144</v>
      </c>
      <c r="D121" s="47">
        <f t="shared" si="4"/>
        <v>99.320338438968108</v>
      </c>
      <c r="E121" s="47">
        <f t="shared" si="4"/>
        <v>98.980205427702174</v>
      </c>
      <c r="F121" s="47">
        <f t="shared" si="4"/>
        <v>97.577065008321313</v>
      </c>
      <c r="G121" s="47">
        <f t="shared" si="4"/>
        <v>98.972390702504327</v>
      </c>
      <c r="H121" s="47">
        <f t="shared" si="4"/>
        <v>91.123749907002832</v>
      </c>
      <c r="I121" s="47">
        <f t="shared" si="4"/>
        <v>98.317011897368346</v>
      </c>
      <c r="J121" s="47">
        <f t="shared" si="4"/>
        <v>98.67816832647847</v>
      </c>
      <c r="K121" s="47">
        <f t="shared" si="4"/>
        <v>26.906022649690549</v>
      </c>
    </row>
    <row r="122" spans="3:11" x14ac:dyDescent="0.2">
      <c r="C122" s="88" t="s">
        <v>145</v>
      </c>
      <c r="D122" s="116">
        <f t="shared" si="4"/>
        <v>95.674689350965878</v>
      </c>
      <c r="E122" s="116">
        <f t="shared" si="4"/>
        <v>96.364305667687248</v>
      </c>
      <c r="F122" s="116">
        <f t="shared" si="4"/>
        <v>94.015409564590414</v>
      </c>
      <c r="G122" s="116">
        <f t="shared" si="4"/>
        <v>96.973418133317082</v>
      </c>
      <c r="H122" s="116">
        <f t="shared" si="4"/>
        <v>94.346712864146966</v>
      </c>
      <c r="I122" s="116">
        <f t="shared" si="4"/>
        <v>64.60520843939004</v>
      </c>
      <c r="J122" s="116">
        <f t="shared" si="4"/>
        <v>95.277728804066399</v>
      </c>
      <c r="K122" s="116">
        <f t="shared" si="4"/>
        <v>41.447640981876127</v>
      </c>
    </row>
    <row r="123" spans="3:11" x14ac:dyDescent="0.2">
      <c r="C123" s="87" t="s">
        <v>146</v>
      </c>
      <c r="D123" s="47">
        <f t="shared" si="4"/>
        <v>96.752115422107551</v>
      </c>
      <c r="E123" s="47">
        <f t="shared" si="4"/>
        <v>92.700793516004396</v>
      </c>
      <c r="F123" s="47">
        <f t="shared" si="4"/>
        <v>92.441271186177502</v>
      </c>
      <c r="G123" s="47">
        <f t="shared" si="4"/>
        <v>97.430640371865323</v>
      </c>
      <c r="H123" s="47">
        <f t="shared" si="4"/>
        <v>94.325496727537157</v>
      </c>
      <c r="I123" s="47">
        <f t="shared" si="4"/>
        <v>95.907360517339001</v>
      </c>
      <c r="J123" s="47">
        <f t="shared" si="4"/>
        <v>96.152342331340861</v>
      </c>
      <c r="K123" s="47">
        <f t="shared" si="4"/>
        <v>50.652722897317894</v>
      </c>
    </row>
    <row r="124" spans="3:11" x14ac:dyDescent="0.2">
      <c r="C124" s="88" t="s">
        <v>162</v>
      </c>
      <c r="D124" s="116">
        <f t="shared" si="4"/>
        <v>99.819425119357547</v>
      </c>
      <c r="E124" s="116">
        <f t="shared" si="4"/>
        <v>97.650198467198706</v>
      </c>
      <c r="F124" s="116">
        <f t="shared" si="4"/>
        <v>99.626986683034232</v>
      </c>
      <c r="G124" s="116">
        <f t="shared" si="4"/>
        <v>99.792575009229921</v>
      </c>
      <c r="H124" s="116">
        <f t="shared" si="4"/>
        <v>99.050918883172301</v>
      </c>
      <c r="I124" s="116">
        <f t="shared" si="4"/>
        <v>98.734213532158847</v>
      </c>
      <c r="J124" s="116">
        <f t="shared" si="4"/>
        <v>99.035599867029674</v>
      </c>
      <c r="K124" s="116">
        <f t="shared" si="4"/>
        <v>36.020266526807134</v>
      </c>
    </row>
    <row r="125" spans="3:11" x14ac:dyDescent="0.2">
      <c r="C125" s="87" t="s">
        <v>148</v>
      </c>
      <c r="D125" s="47">
        <f t="shared" si="4"/>
        <v>94.586761911542808</v>
      </c>
      <c r="E125" s="47">
        <f t="shared" si="4"/>
        <v>97.716106039451617</v>
      </c>
      <c r="F125" s="47">
        <f t="shared" si="4"/>
        <v>97.403246691649031</v>
      </c>
      <c r="G125" s="47">
        <f t="shared" si="4"/>
        <v>98.634199068098042</v>
      </c>
      <c r="H125" s="47">
        <f t="shared" si="4"/>
        <v>92.055841780691225</v>
      </c>
      <c r="I125" s="47">
        <f t="shared" si="4"/>
        <v>98.574561937461809</v>
      </c>
      <c r="J125" s="47">
        <f t="shared" si="4"/>
        <v>99.468115947030086</v>
      </c>
      <c r="K125" s="47">
        <f t="shared" si="4"/>
        <v>39.610554076955239</v>
      </c>
    </row>
    <row r="126" spans="3:11" x14ac:dyDescent="0.2">
      <c r="C126" s="88" t="s">
        <v>149</v>
      </c>
      <c r="D126" s="116">
        <f t="shared" si="4"/>
        <v>95.71678565774917</v>
      </c>
      <c r="E126" s="116">
        <f t="shared" si="4"/>
        <v>97.82946993815375</v>
      </c>
      <c r="F126" s="116">
        <f t="shared" si="4"/>
        <v>86.049041710771078</v>
      </c>
      <c r="G126" s="116">
        <f t="shared" si="4"/>
        <v>84.89710511099382</v>
      </c>
      <c r="H126" s="116">
        <f t="shared" si="4"/>
        <v>95.66487812167442</v>
      </c>
      <c r="I126" s="116">
        <f t="shared" si="4"/>
        <v>95.384022123451601</v>
      </c>
      <c r="J126" s="116">
        <f t="shared" si="4"/>
        <v>94.881058944396784</v>
      </c>
      <c r="K126" s="116">
        <f t="shared" si="4"/>
        <v>77.551519149064248</v>
      </c>
    </row>
    <row r="127" spans="3:11" x14ac:dyDescent="0.2">
      <c r="C127" s="87" t="s">
        <v>163</v>
      </c>
      <c r="D127" s="47">
        <f t="shared" si="4"/>
        <v>99.42490037216551</v>
      </c>
      <c r="E127" s="47">
        <f t="shared" si="4"/>
        <v>99.293185472618077</v>
      </c>
      <c r="F127" s="47">
        <f t="shared" si="4"/>
        <v>98.257773557121737</v>
      </c>
      <c r="G127" s="47">
        <f t="shared" si="4"/>
        <v>84.882076999212487</v>
      </c>
      <c r="H127" s="47">
        <f t="shared" si="4"/>
        <v>98.090310629512828</v>
      </c>
      <c r="I127" s="47">
        <f t="shared" si="4"/>
        <v>90.873806275386372</v>
      </c>
      <c r="J127" s="47">
        <f t="shared" si="4"/>
        <v>99.698803656392485</v>
      </c>
      <c r="K127" s="47">
        <f t="shared" si="4"/>
        <v>16.426329314395495</v>
      </c>
    </row>
    <row r="128" spans="3:11" x14ac:dyDescent="0.2">
      <c r="C128" s="88" t="s">
        <v>150</v>
      </c>
      <c r="D128" s="116">
        <f t="shared" si="4"/>
        <v>94.661987909713687</v>
      </c>
      <c r="E128" s="116">
        <f t="shared" si="4"/>
        <v>93.261827457785202</v>
      </c>
      <c r="F128" s="116">
        <f t="shared" si="4"/>
        <v>86.698177194757946</v>
      </c>
      <c r="G128" s="116">
        <f t="shared" si="4"/>
        <v>90.02819944513314</v>
      </c>
      <c r="H128" s="116">
        <f t="shared" si="4"/>
        <v>90.695503704482789</v>
      </c>
      <c r="I128" s="116">
        <f t="shared" si="4"/>
        <v>91.268431309511101</v>
      </c>
      <c r="J128" s="116">
        <f t="shared" si="4"/>
        <v>94.705662947539309</v>
      </c>
      <c r="K128" s="116">
        <f t="shared" si="4"/>
        <v>41.314247069763574</v>
      </c>
    </row>
    <row r="129" spans="1:12" x14ac:dyDescent="0.2">
      <c r="C129" s="87" t="s">
        <v>151</v>
      </c>
      <c r="D129" s="47">
        <f t="shared" ref="D129:K130" si="5">+IFERROR(IF(D87&gt;0,+((D87/D45)*100)," "),"")</f>
        <v>99.860240774209842</v>
      </c>
      <c r="E129" s="47">
        <f t="shared" si="5"/>
        <v>98.707275887388036</v>
      </c>
      <c r="F129" s="47">
        <f t="shared" si="5"/>
        <v>99.463867880407506</v>
      </c>
      <c r="G129" s="47">
        <f t="shared" si="5"/>
        <v>99.83556514247509</v>
      </c>
      <c r="H129" s="47">
        <f t="shared" si="5"/>
        <v>99.468172500445846</v>
      </c>
      <c r="I129" s="47">
        <f t="shared" si="5"/>
        <v>99.610236266216205</v>
      </c>
      <c r="J129" s="47">
        <f t="shared" si="5"/>
        <v>99.959278109659351</v>
      </c>
      <c r="K129" s="47">
        <f t="shared" si="5"/>
        <v>29.263241383605571</v>
      </c>
    </row>
    <row r="130" spans="1:12" x14ac:dyDescent="0.2">
      <c r="C130" s="91" t="s">
        <v>179</v>
      </c>
      <c r="D130" s="64">
        <f t="shared" si="5"/>
        <v>99.185609069100948</v>
      </c>
      <c r="E130" s="64">
        <f t="shared" si="5"/>
        <v>89.892256300771308</v>
      </c>
      <c r="F130" s="64">
        <f t="shared" si="5"/>
        <v>97.089825190660079</v>
      </c>
      <c r="G130" s="64">
        <f t="shared" si="5"/>
        <v>96.241989430906443</v>
      </c>
      <c r="H130" s="64">
        <f t="shared" si="5"/>
        <v>97.71850591949665</v>
      </c>
      <c r="I130" s="64">
        <f t="shared" si="5"/>
        <v>95.953756899897186</v>
      </c>
      <c r="J130" s="64">
        <f t="shared" si="5"/>
        <v>98.653362558343147</v>
      </c>
      <c r="K130" s="64">
        <f t="shared" si="5"/>
        <v>34.580470003989703</v>
      </c>
    </row>
    <row r="131" spans="1:12" s="31" customFormat="1" x14ac:dyDescent="0.2">
      <c r="A131" s="5"/>
      <c r="B131" s="5"/>
      <c r="C131" s="72" t="str">
        <f>+'C1 Aprop Resumen 2000-2026'!B20</f>
        <v>* Información con corte a 30 de abril</v>
      </c>
      <c r="D131" s="47"/>
      <c r="E131" s="47"/>
      <c r="F131" s="47"/>
      <c r="G131" s="47"/>
      <c r="H131" s="47"/>
      <c r="I131" s="47"/>
    </row>
    <row r="132" spans="1:12" x14ac:dyDescent="0.2">
      <c r="C132" s="1" t="s">
        <v>52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customHeight="1" x14ac:dyDescent="0.2">
      <c r="D137" s="155" t="s">
        <v>182</v>
      </c>
      <c r="E137" s="178"/>
      <c r="F137" s="178"/>
      <c r="G137" s="178"/>
      <c r="H137" s="178"/>
      <c r="I137" s="178"/>
      <c r="J137" s="178"/>
      <c r="K137" s="178"/>
      <c r="L137" s="178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76" t="s">
        <v>120</v>
      </c>
      <c r="D139" s="153">
        <v>2019</v>
      </c>
      <c r="E139" s="153">
        <v>2020</v>
      </c>
      <c r="F139" s="153">
        <v>2021</v>
      </c>
      <c r="G139" s="153">
        <v>2022</v>
      </c>
      <c r="H139" s="153">
        <v>2023</v>
      </c>
      <c r="I139" s="153">
        <v>2024</v>
      </c>
      <c r="J139" s="153" t="s">
        <v>187</v>
      </c>
      <c r="K139" s="153" t="s">
        <v>10</v>
      </c>
    </row>
    <row r="140" spans="1:12" ht="12" customHeight="1" thickBot="1" x14ac:dyDescent="0.25">
      <c r="C140" s="160"/>
      <c r="D140" s="154"/>
      <c r="E140" s="154"/>
      <c r="F140" s="154"/>
      <c r="G140" s="154"/>
      <c r="H140" s="154"/>
      <c r="I140" s="154"/>
      <c r="J140" s="154"/>
      <c r="K140" s="154"/>
    </row>
    <row r="141" spans="1:12" x14ac:dyDescent="0.2">
      <c r="C141" s="87" t="s">
        <v>123</v>
      </c>
      <c r="D141" s="42">
        <f>550.94961865328*Deflactores!$T$5</f>
        <v>855.03309075262882</v>
      </c>
      <c r="E141" s="42">
        <f>583.37008877332*Deflactores!$U$5</f>
        <v>891.00213008122057</v>
      </c>
      <c r="F141" s="42">
        <f>592.03272026262*Deflactores!$V$5</f>
        <v>856.11899156727861</v>
      </c>
      <c r="G141" s="42">
        <f>700.56826697568*Deflactores!$W$5</f>
        <v>895.56989583897632</v>
      </c>
      <c r="H141" s="42">
        <f>710.862389260989*Deflactores!$X$5</f>
        <v>831.56054567394381</v>
      </c>
      <c r="I141" s="42">
        <f>819.606263210479*Deflactores!$Y$5</f>
        <v>911.37658664948162</v>
      </c>
      <c r="J141" s="42">
        <f>785.02281948073*Deflactores!$Z$5</f>
        <v>830.55414301061239</v>
      </c>
      <c r="K141" s="42">
        <f>221.448926776579*Deflactores!$AA$5</f>
        <v>221.44892677657899</v>
      </c>
    </row>
    <row r="142" spans="1:12" x14ac:dyDescent="0.2">
      <c r="C142" s="88" t="s">
        <v>124</v>
      </c>
      <c r="D142" s="50">
        <f>304.43805658167*Deflactores!$T$5</f>
        <v>472.46536461542087</v>
      </c>
      <c r="E142" s="50">
        <f>338.501691976169*Deflactores!$U$5</f>
        <v>517.00581567537074</v>
      </c>
      <c r="F142" s="50">
        <f>386.82017852223*Deflactores!$V$5</f>
        <v>559.36790285412769</v>
      </c>
      <c r="G142" s="50">
        <f>412.67784388114*Deflactores!$W$5</f>
        <v>527.54580971124085</v>
      </c>
      <c r="H142" s="50">
        <f>490.29124433829*Deflactores!$X$5</f>
        <v>573.53836810097175</v>
      </c>
      <c r="I142" s="50">
        <f>582.15267019203*Deflactores!$Y$5</f>
        <v>647.33560159757235</v>
      </c>
      <c r="J142" s="50">
        <f>769.00184488935*Deflactores!$Z$5</f>
        <v>813.60395189293229</v>
      </c>
      <c r="K142" s="50">
        <f>296.81604906669*Deflactores!$AA$5</f>
        <v>296.81604906669003</v>
      </c>
    </row>
    <row r="143" spans="1:12" x14ac:dyDescent="0.2">
      <c r="C143" s="87" t="s">
        <v>125</v>
      </c>
      <c r="D143" s="42">
        <f>22.32428966408*Deflactores!$T$5</f>
        <v>34.645647703674385</v>
      </c>
      <c r="E143" s="42">
        <f>21.9513317790499*Deflactores!$U$5</f>
        <v>33.527058979626503</v>
      </c>
      <c r="F143" s="42">
        <f>24.25331393745*Deflactores!$V$5</f>
        <v>35.071917412070952</v>
      </c>
      <c r="G143" s="42">
        <f>23.96646871316*Deflactores!$W$5</f>
        <v>30.637482313794109</v>
      </c>
      <c r="H143" s="42">
        <f>25.59483440175*Deflactores!$X$5</f>
        <v>29.940611267505517</v>
      </c>
      <c r="I143" s="42">
        <f>26.2082651191699*Deflactores!$Y$5</f>
        <v>29.142772912387802</v>
      </c>
      <c r="J143" s="42">
        <f>24.36302321479*Deflactores!$Z$5</f>
        <v>25.776078561247822</v>
      </c>
      <c r="K143" s="42">
        <f>5.67418517321*Deflactores!$AA$5</f>
        <v>5.6741851732099997</v>
      </c>
    </row>
    <row r="144" spans="1:12" x14ac:dyDescent="0.2">
      <c r="C144" s="88" t="s">
        <v>126</v>
      </c>
      <c r="D144" s="50">
        <f>601.65551045078*Deflactores!$T$5</f>
        <v>933.72488745258943</v>
      </c>
      <c r="E144" s="50">
        <f>681.10805485492*Deflactores!$U$5</f>
        <v>1040.2808429333465</v>
      </c>
      <c r="F144" s="50">
        <f>625.253676882129*Deflactores!$V$5</f>
        <v>904.15872130954358</v>
      </c>
      <c r="G144" s="50">
        <f>641.48128723704*Deflactores!$W$5</f>
        <v>820.03618587176402</v>
      </c>
      <c r="H144" s="50">
        <f>738.77674124178*Deflactores!$X$5</f>
        <v>864.21450812286832</v>
      </c>
      <c r="I144" s="50">
        <f>853.23803293667*Deflactores!$Y$5</f>
        <v>948.77406501424366</v>
      </c>
      <c r="J144" s="50">
        <f>944.04564089688*Deflactores!$Z$5</f>
        <v>998.80028806889902</v>
      </c>
      <c r="K144" s="50">
        <f>314.55648769842*Deflactores!$AA$5</f>
        <v>314.55648769842003</v>
      </c>
    </row>
    <row r="145" spans="3:11" x14ac:dyDescent="0.2">
      <c r="C145" s="87" t="s">
        <v>127</v>
      </c>
      <c r="D145" s="42">
        <f>534.55512548138*Deflactores!$T$5</f>
        <v>829.59004896895863</v>
      </c>
      <c r="E145" s="42">
        <f>574.45739305315*Deflactores!$U$5</f>
        <v>877.38944917031597</v>
      </c>
      <c r="F145" s="42">
        <f>620.32288849422*Deflactores!$V$5</f>
        <v>897.02847083890128</v>
      </c>
      <c r="G145" s="42">
        <f>723.0786412986*Deflactores!$W$5</f>
        <v>924.34598310696231</v>
      </c>
      <c r="H145" s="42">
        <f>853.40507203029*Deflactores!$X$5</f>
        <v>998.30571725165839</v>
      </c>
      <c r="I145" s="42">
        <f>956.798178938159*Deflactores!$Y$5</f>
        <v>1063.929715492138</v>
      </c>
      <c r="J145" s="42">
        <f>1097.22904794437*Deflactores!$Z$5</f>
        <v>1160.8683327251435</v>
      </c>
      <c r="K145" s="42">
        <f>375.73363042957*Deflactores!$AA$5</f>
        <v>375.73363042956998</v>
      </c>
    </row>
    <row r="146" spans="3:11" x14ac:dyDescent="0.2">
      <c r="C146" s="88" t="s">
        <v>128</v>
      </c>
      <c r="D146" s="50">
        <f>230.497928258609*Deflactores!$T$5</f>
        <v>357.71574993150756</v>
      </c>
      <c r="E146" s="50">
        <f>230.760492422019*Deflactores!$U$5</f>
        <v>352.44880435839997</v>
      </c>
      <c r="F146" s="50">
        <f>216.23649284489*Deflactores!$V$5</f>
        <v>312.6924608361054</v>
      </c>
      <c r="G146" s="50">
        <f>182.7676079624*Deflactores!$W$5</f>
        <v>233.6405677240125</v>
      </c>
      <c r="H146" s="50">
        <f>274.27541182356*Deflactores!$X$5</f>
        <v>320.8449547570707</v>
      </c>
      <c r="I146" s="50">
        <f>314.48738554402*Deflactores!$Y$5</f>
        <v>349.70015829152339</v>
      </c>
      <c r="J146" s="50">
        <f>310.2229683975*Deflactores!$Z$5</f>
        <v>328.215900564555</v>
      </c>
      <c r="K146" s="50">
        <f>142.57135202256*Deflactores!$AA$5</f>
        <v>142.57135202256001</v>
      </c>
    </row>
    <row r="147" spans="3:11" x14ac:dyDescent="0.2">
      <c r="C147" s="87" t="s">
        <v>129</v>
      </c>
      <c r="D147" s="42">
        <f>31549.6913649519*Deflactores!$T$5</f>
        <v>48962.789349061568</v>
      </c>
      <c r="E147" s="42">
        <f>33230.3514632327*Deflactores!$U$5</f>
        <v>50753.911636688033</v>
      </c>
      <c r="F147" s="42">
        <f>35034.704311918*Deflactores!$V$5</f>
        <v>50662.530462965005</v>
      </c>
      <c r="G147" s="42">
        <f>38818.7511070497*Deflactores!$W$5</f>
        <v>49623.864688616413</v>
      </c>
      <c r="H147" s="42">
        <f>43879.5089630275*Deflactores!$X$5</f>
        <v>51329.862106128858</v>
      </c>
      <c r="I147" s="42">
        <f>49048.2037219894*Deflactores!$Y$5</f>
        <v>54540.071856375696</v>
      </c>
      <c r="J147" s="42">
        <f>54512.2039062196*Deflactores!$Z$5</f>
        <v>57673.91173278034</v>
      </c>
      <c r="K147" s="42">
        <f>16996.2956126426*Deflactores!$AA$5</f>
        <v>16996.2956126426</v>
      </c>
    </row>
    <row r="148" spans="3:11" x14ac:dyDescent="0.2">
      <c r="C148" s="88" t="s">
        <v>130</v>
      </c>
      <c r="D148" s="50">
        <f>35.19635672401*Deflactores!$T$5</f>
        <v>54.622144483052871</v>
      </c>
      <c r="E148" s="50">
        <f>37.52834642101*Deflactores!$U$5</f>
        <v>57.318394005865443</v>
      </c>
      <c r="F148" s="50">
        <f>35.65260900663*Deflactores!$V$5</f>
        <v>51.556062063527328</v>
      </c>
      <c r="G148" s="50">
        <f>48.70019650441*Deflactores!$W$5</f>
        <v>62.255788574429111</v>
      </c>
      <c r="H148" s="50">
        <f>47.58309044185*Deflactores!$X$5</f>
        <v>55.662279015510215</v>
      </c>
      <c r="I148" s="50">
        <f>60.11913009778*Deflactores!$Y$5</f>
        <v>66.850596487914103</v>
      </c>
      <c r="J148" s="50">
        <f>44.59167876021*Deflactores!$Z$5</f>
        <v>47.177996128302183</v>
      </c>
      <c r="K148" s="50">
        <f>13.6639971899099*Deflactores!$AA$5</f>
        <v>13.6639971899099</v>
      </c>
    </row>
    <row r="149" spans="3:11" x14ac:dyDescent="0.2">
      <c r="C149" s="87" t="s">
        <v>131</v>
      </c>
      <c r="D149" s="42">
        <f>37374.7153265805*Deflactores!$T$5</f>
        <v>58002.796044762312</v>
      </c>
      <c r="E149" s="42">
        <f>40602.7147169017*Deflactores!$U$5</f>
        <v>62013.987340199172</v>
      </c>
      <c r="F149" s="42">
        <f>43204.9641443643*Deflactores!$V$5</f>
        <v>62477.273751974055</v>
      </c>
      <c r="G149" s="42">
        <f>44174.487360484*Deflactores!$W$5</f>
        <v>56470.358292066623</v>
      </c>
      <c r="H149" s="42">
        <f>51128.3182462946*Deflactores!$X$5</f>
        <v>59809.455194949391</v>
      </c>
      <c r="I149" s="42">
        <f>61840.0174803646*Deflactores!$Y$5</f>
        <v>68764.169552381209</v>
      </c>
      <c r="J149" s="42">
        <f>71916.5310447585*Deflactores!$Z$5</f>
        <v>76087.6898453545</v>
      </c>
      <c r="K149" s="42">
        <f>25074.9930104846*Deflactores!$AA$5</f>
        <v>25074.993010484599</v>
      </c>
    </row>
    <row r="150" spans="3:11" x14ac:dyDescent="0.2">
      <c r="C150" s="88" t="s">
        <v>132</v>
      </c>
      <c r="D150" s="50">
        <f>78.0400563333699*Deflactores!$T$5</f>
        <v>121.11239995470916</v>
      </c>
      <c r="E150" s="50">
        <f>77.35142788346*Deflactores!$U$5</f>
        <v>118.14161942020158</v>
      </c>
      <c r="F150" s="50">
        <f>92.14093762066*Deflactores!$V$5</f>
        <v>133.24197109050147</v>
      </c>
      <c r="G150" s="50">
        <f>137.361435775109*Deflactores!$W$5</f>
        <v>175.59568785560919</v>
      </c>
      <c r="H150" s="50">
        <f>162.8243772651*Deflactores!$X$5</f>
        <v>190.47051870101956</v>
      </c>
      <c r="I150" s="50">
        <f>178.99946131674*Deflactores!$Y$5</f>
        <v>199.04181481962675</v>
      </c>
      <c r="J150" s="50">
        <f>195.73838679159*Deflactores!$Z$5</f>
        <v>207.09121322550223</v>
      </c>
      <c r="K150" s="50">
        <f>52.79174046918*Deflactores!$AA$5</f>
        <v>52.791740469179999</v>
      </c>
    </row>
    <row r="151" spans="3:11" x14ac:dyDescent="0.2">
      <c r="C151" s="87" t="s">
        <v>133</v>
      </c>
      <c r="D151" s="42">
        <f>3531.33633471202*Deflactores!$T$5</f>
        <v>5480.373011485889</v>
      </c>
      <c r="E151" s="42">
        <f>3652.45423177794*Deflactores!$U$5</f>
        <v>5578.5247875518908</v>
      </c>
      <c r="F151" s="42">
        <f>3975.7511740663*Deflactores!$V$5</f>
        <v>5749.2026527760299</v>
      </c>
      <c r="G151" s="42">
        <f>4354.53842344542*Deflactores!$W$5</f>
        <v>5566.6145701218511</v>
      </c>
      <c r="H151" s="42">
        <f>4987.96653730631*Deflactores!$X$5</f>
        <v>5834.8792090095621</v>
      </c>
      <c r="I151" s="42">
        <f>5413.56807720895*Deflactores!$Y$5</f>
        <v>6019.7187567541387</v>
      </c>
      <c r="J151" s="42">
        <f>6118.1187661645*Deflactores!$Z$5</f>
        <v>6472.9696546020414</v>
      </c>
      <c r="K151" s="42">
        <f>1749.32082793285*Deflactores!$AA$5</f>
        <v>1749.3208279328501</v>
      </c>
    </row>
    <row r="152" spans="3:11" x14ac:dyDescent="0.2">
      <c r="C152" s="88" t="s">
        <v>134</v>
      </c>
      <c r="D152" s="50">
        <f>7969.1342874065*Deflactores!$T$5</f>
        <v>12367.507462913756</v>
      </c>
      <c r="E152" s="50">
        <f>16338.4981002119*Deflactores!$U$5</f>
        <v>24954.376115216692</v>
      </c>
      <c r="F152" s="50">
        <f>17924.5618813687*Deflactores!$V$5</f>
        <v>25920.117785644532</v>
      </c>
      <c r="G152" s="50">
        <f>13089.5418608054*Deflactores!$W$5</f>
        <v>16732.986909994252</v>
      </c>
      <c r="H152" s="50">
        <f>32976.8839745503*Deflactores!$X$5</f>
        <v>38576.067670441138</v>
      </c>
      <c r="I152" s="50">
        <f>21888.8235882934*Deflactores!$Y$5</f>
        <v>24339.688729963378</v>
      </c>
      <c r="J152" s="50">
        <f>16538.1688164601*Deflactores!$Z$5</f>
        <v>17497.382607814787</v>
      </c>
      <c r="K152" s="50">
        <f>4368.03069917069*Deflactores!$AA$5</f>
        <v>4368.0306991706902</v>
      </c>
    </row>
    <row r="153" spans="3:11" x14ac:dyDescent="0.2">
      <c r="C153" s="87" t="s">
        <v>135</v>
      </c>
      <c r="D153" s="42">
        <f>0*Deflactores!$T$5</f>
        <v>0</v>
      </c>
      <c r="E153" s="42">
        <f>0*Deflactores!$U$5</f>
        <v>0</v>
      </c>
      <c r="F153" s="42">
        <f>0*Deflactores!$V$5</f>
        <v>0</v>
      </c>
      <c r="G153" s="42">
        <f>0*Deflactores!$W$5</f>
        <v>0</v>
      </c>
      <c r="H153" s="42">
        <f>2.91414025259*Deflactores!$X$5</f>
        <v>3.4089355341100349</v>
      </c>
      <c r="I153" s="42">
        <f>941.492081639519*Deflactores!$Y$5</f>
        <v>1046.909812964408</v>
      </c>
      <c r="J153" s="42">
        <f>1204.33780825378*Deflactores!$Z$5</f>
        <v>1274.1894011324991</v>
      </c>
      <c r="K153" s="42">
        <f>301.310284187599*Deflactores!$AA$5</f>
        <v>301.310284187599</v>
      </c>
    </row>
    <row r="154" spans="3:11" x14ac:dyDescent="0.2">
      <c r="C154" s="88" t="s">
        <v>136</v>
      </c>
      <c r="D154" s="50">
        <f>1389.04955860798*Deflactores!$T$5</f>
        <v>2155.7022585990412</v>
      </c>
      <c r="E154" s="50">
        <f>7370.96964955375*Deflactores!$U$5</f>
        <v>11257.947201794863</v>
      </c>
      <c r="F154" s="50">
        <f>9177.77460247228*Deflactores!$V$5</f>
        <v>13271.677170165427</v>
      </c>
      <c r="G154" s="50">
        <f>1588.66319028154*Deflactores!$W$5</f>
        <v>2030.8640783654639</v>
      </c>
      <c r="H154" s="50">
        <f>1866.93386082371*Deflactores!$X$5</f>
        <v>2183.9227443973646</v>
      </c>
      <c r="I154" s="50">
        <f>1092.31574234515*Deflactores!$Y$5</f>
        <v>1214.6210168069022</v>
      </c>
      <c r="J154" s="50">
        <f>1140.82790819177*Deflactores!$Z$5</f>
        <v>1206.9959268668927</v>
      </c>
      <c r="K154" s="50">
        <f>162.19393958763*Deflactores!$AA$5</f>
        <v>162.19393958763001</v>
      </c>
    </row>
    <row r="155" spans="3:11" x14ac:dyDescent="0.2">
      <c r="C155" s="87" t="s">
        <v>137</v>
      </c>
      <c r="D155" s="42">
        <f>142.33992183894*Deflactores!$T$5</f>
        <v>220.90103920015105</v>
      </c>
      <c r="E155" s="42">
        <f>147.316447537489*Deflactores!$U$5</f>
        <v>225.00171173997998</v>
      </c>
      <c r="F155" s="42">
        <f>152.18502291976*Deflactores!$V$5</f>
        <v>220.06974259110777</v>
      </c>
      <c r="G155" s="42">
        <f>172.73294155391*Deflactores!$W$5</f>
        <v>220.81277409723916</v>
      </c>
      <c r="H155" s="42">
        <f>205.4969227005*Deflactores!$X$5</f>
        <v>240.38848553064366</v>
      </c>
      <c r="I155" s="42">
        <f>233.94588656526*Deflactores!$Y$5</f>
        <v>260.14052494347442</v>
      </c>
      <c r="J155" s="42">
        <f>256.052947271279*Deflactores!$Z$5</f>
        <v>270.90401821301316</v>
      </c>
      <c r="K155" s="42">
        <f>80.80191990934*Deflactores!$AA$5</f>
        <v>80.80191990934</v>
      </c>
    </row>
    <row r="156" spans="3:11" x14ac:dyDescent="0.2">
      <c r="C156" s="88" t="s">
        <v>138</v>
      </c>
      <c r="D156" s="50">
        <f>86.51463718401*Deflactores!$T$5</f>
        <v>134.26432312922336</v>
      </c>
      <c r="E156" s="50">
        <f>90.77501368117*Deflactores!$U$5</f>
        <v>138.64394507806554</v>
      </c>
      <c r="F156" s="50">
        <f>103.43565574278*Deflactores!$V$5</f>
        <v>149.57489046775598</v>
      </c>
      <c r="G156" s="50">
        <f>99.5883479329599*Deflactores!$W$5</f>
        <v>127.30854449077235</v>
      </c>
      <c r="H156" s="50">
        <f>101.14452172284*Deflactores!$X$5</f>
        <v>118.31796835279634</v>
      </c>
      <c r="I156" s="50">
        <f>121.30639423118*Deflactores!$Y$5</f>
        <v>134.88892468941259</v>
      </c>
      <c r="J156" s="50">
        <f>135.22252019535*Deflactores!$Z$5</f>
        <v>143.0654263666803</v>
      </c>
      <c r="K156" s="50">
        <f>38.5321057157*Deflactores!$AA$5</f>
        <v>38.532105715699998</v>
      </c>
    </row>
    <row r="157" spans="3:11" x14ac:dyDescent="0.2">
      <c r="C157" s="87" t="s">
        <v>160</v>
      </c>
      <c r="D157" s="42">
        <f>1129.2545941681*Deflactores!$T$5</f>
        <v>1752.5196736832479</v>
      </c>
      <c r="E157" s="42">
        <f>1314.42372819879*Deflactores!$U$5</f>
        <v>2007.5666617002305</v>
      </c>
      <c r="F157" s="42">
        <f>1542.67768829214*Deflactores!$V$5</f>
        <v>2230.8153276193088</v>
      </c>
      <c r="G157" s="42">
        <f>1690.89340637662*Deflactores!$W$5</f>
        <v>2161.5498491827784</v>
      </c>
      <c r="H157" s="42">
        <f>2098.96821195896*Deflactores!$X$5</f>
        <v>2455.3544793717233</v>
      </c>
      <c r="I157" s="42">
        <f>2675.34363169003*Deflactores!$Y$5</f>
        <v>2974.8986270715377</v>
      </c>
      <c r="J157" s="42">
        <f>3281.87139734377*Deflactores!$Z$5</f>
        <v>3472.2199383897087</v>
      </c>
      <c r="K157" s="42">
        <f>920.82886315579*Deflactores!$AA$5</f>
        <v>920.82886315579003</v>
      </c>
    </row>
    <row r="158" spans="3:11" x14ac:dyDescent="0.2">
      <c r="C158" s="88" t="s">
        <v>161</v>
      </c>
      <c r="D158" s="50">
        <f>2023.7300204703*Deflactores!$T$5</f>
        <v>3140.6794299653334</v>
      </c>
      <c r="E158" s="50">
        <f>2246.48092019577*Deflactores!$U$5</f>
        <v>3431.1311525932902</v>
      </c>
      <c r="F158" s="50">
        <f>2246.74067526672*Deflactores!$V$5</f>
        <v>3248.937593127107</v>
      </c>
      <c r="G158" s="50">
        <f>2543.7446438053*Deflactores!$W$5</f>
        <v>3251.7903437563918</v>
      </c>
      <c r="H158" s="50">
        <f>2960.99921282595*Deflactores!$X$5</f>
        <v>3463.7507320051282</v>
      </c>
      <c r="I158" s="50">
        <f>3533.56822730151*Deflactores!$Y$5</f>
        <v>3929.2175941609316</v>
      </c>
      <c r="J158" s="50">
        <f>3856.63622799505*Deflactores!$Z$5</f>
        <v>4080.321129218763</v>
      </c>
      <c r="K158" s="50">
        <f>1109.61237928961*Deflactores!$AA$5</f>
        <v>1109.6123792896101</v>
      </c>
    </row>
    <row r="159" spans="3:11" x14ac:dyDescent="0.2">
      <c r="C159" s="87" t="s">
        <v>140</v>
      </c>
      <c r="D159" s="42">
        <f>619.861313088259*Deflactores!$T$5</f>
        <v>961.97894766376874</v>
      </c>
      <c r="E159" s="42">
        <f>1114.42598897947*Deflactores!$U$5</f>
        <v>1702.102917354769</v>
      </c>
      <c r="F159" s="42">
        <f>1148.46163833429*Deflactores!$V$5</f>
        <v>1660.7524989975386</v>
      </c>
      <c r="G159" s="42">
        <f>903.12072403123*Deflactores!$W$5</f>
        <v>1154.5023816768837</v>
      </c>
      <c r="H159" s="42">
        <f>1691.05162280594*Deflactores!$X$5</f>
        <v>1978.1772554955544</v>
      </c>
      <c r="I159" s="42">
        <f>4410.79756426403*Deflactores!$Y$5</f>
        <v>4904.6692405380873</v>
      </c>
      <c r="J159" s="42">
        <f>3642.34057760215*Deflactores!$Z$5</f>
        <v>3853.596331103075</v>
      </c>
      <c r="K159" s="42">
        <f>1822.45176071503*Deflactores!$AA$5</f>
        <v>1822.4517607150301</v>
      </c>
    </row>
    <row r="160" spans="3:11" x14ac:dyDescent="0.2">
      <c r="C160" s="88" t="s">
        <v>141</v>
      </c>
      <c r="D160" s="50">
        <f>1602.98854737534*Deflactores!$T$5</f>
        <v>2487.7197582124945</v>
      </c>
      <c r="E160" s="50">
        <f>1781.51894623452*Deflactores!$U$5</f>
        <v>2720.9779973683221</v>
      </c>
      <c r="F160" s="50">
        <f>2194.09617402772*Deflactores!$V$5</f>
        <v>3172.8101160979618</v>
      </c>
      <c r="G160" s="50">
        <f>2530.70825635387*Deflactores!$W$5</f>
        <v>3235.1253066681525</v>
      </c>
      <c r="H160" s="50">
        <f>2976.67962251757*Deflactores!$X$5</f>
        <v>3482.0935367962356</v>
      </c>
      <c r="I160" s="50">
        <f>3395.93174375014*Deflactores!$Y$5</f>
        <v>3776.1701197722791</v>
      </c>
      <c r="J160" s="50">
        <f>3628.71197118004*Deflactores!$Z$5</f>
        <v>3839.1772655084828</v>
      </c>
      <c r="K160" s="50">
        <f>1045.75667224215*Deflactores!$AA$5</f>
        <v>1045.75667224215</v>
      </c>
    </row>
    <row r="161" spans="1:11" x14ac:dyDescent="0.2">
      <c r="C161" s="87" t="s">
        <v>142</v>
      </c>
      <c r="D161" s="42">
        <f>190.85883588481*Deflactores!$T$5</f>
        <v>296.1988080560518</v>
      </c>
      <c r="E161" s="42">
        <f>364.97699249817*Deflactores!$U$5</f>
        <v>557.44249491829555</v>
      </c>
      <c r="F161" s="42">
        <f>495.987163479659*Deflactores!$V$5</f>
        <v>717.23067948028518</v>
      </c>
      <c r="G161" s="42">
        <f>582.284589841019*Deflactores!$W$5</f>
        <v>744.36221857971395</v>
      </c>
      <c r="H161" s="42">
        <f>496.18384191627*Deflactores!$X$5</f>
        <v>580.43147671300017</v>
      </c>
      <c r="I161" s="42">
        <f>483.80546440751*Deflactores!$Y$5</f>
        <v>537.97657795698285</v>
      </c>
      <c r="J161" s="42">
        <f>446.95614318052*Deflactores!$Z$5</f>
        <v>472.87959948499014</v>
      </c>
      <c r="K161" s="42">
        <f>198.25453270311*Deflactores!$AA$5</f>
        <v>198.25453270310999</v>
      </c>
    </row>
    <row r="162" spans="1:11" x14ac:dyDescent="0.2">
      <c r="C162" s="88" t="s">
        <v>143</v>
      </c>
      <c r="D162" s="50">
        <f>571.41931260076*Deflactores!$T$5</f>
        <v>886.80054296623791</v>
      </c>
      <c r="E162" s="50">
        <f>1732.48362359133*Deflactores!$U$5</f>
        <v>2646.0845844815344</v>
      </c>
      <c r="F162" s="50">
        <f>3587.29638675409*Deflactores!$V$5</f>
        <v>5187.4709960600148</v>
      </c>
      <c r="G162" s="50">
        <f>919.23644559331*Deflactores!$W$5</f>
        <v>1175.1038787201733</v>
      </c>
      <c r="H162" s="50">
        <f>733.51434310156*Deflactores!$X$5</f>
        <v>858.05860124814376</v>
      </c>
      <c r="I162" s="50">
        <f>713.69842254485*Deflactores!$Y$5</f>
        <v>793.61037297125495</v>
      </c>
      <c r="J162" s="50">
        <f>1330.47563549567*Deflactores!$Z$5</f>
        <v>1407.6432223544191</v>
      </c>
      <c r="K162" s="50">
        <f>217.80820473186*Deflactores!$AA$5</f>
        <v>217.80820473186</v>
      </c>
    </row>
    <row r="163" spans="1:11" x14ac:dyDescent="0.2">
      <c r="C163" s="87" t="s">
        <v>144</v>
      </c>
      <c r="D163" s="42">
        <f>4147.32285530746*Deflactores!$T$5</f>
        <v>6436.3385675635836</v>
      </c>
      <c r="E163" s="42">
        <f>4314.73352545996*Deflactores!$U$5</f>
        <v>6590.0477859630382</v>
      </c>
      <c r="F163" s="42">
        <f>4675.53911346223*Deflactores!$V$5</f>
        <v>6761.1429129711614</v>
      </c>
      <c r="G163" s="42">
        <f>5178.99546720401*Deflactores!$W$5</f>
        <v>6620.5574099682108</v>
      </c>
      <c r="H163" s="42">
        <f>6266.11140587502*Deflactores!$X$5</f>
        <v>7330.0417895791852</v>
      </c>
      <c r="I163" s="42">
        <f>7662.25595568172*Deflactores!$Y$5</f>
        <v>8520.1895012002187</v>
      </c>
      <c r="J163" s="42">
        <f>8732.32619687421*Deflactores!$Z$5</f>
        <v>9238.8011162929142</v>
      </c>
      <c r="K163" s="42">
        <f>2381.57082808074*Deflactores!$AA$5</f>
        <v>2381.5708280807398</v>
      </c>
    </row>
    <row r="164" spans="1:11" x14ac:dyDescent="0.2">
      <c r="C164" s="88" t="s">
        <v>145</v>
      </c>
      <c r="D164" s="50">
        <f>1338.81878379526*Deflactores!$T$5</f>
        <v>2077.7478083463989</v>
      </c>
      <c r="E164" s="50">
        <f>534.03175917673*Deflactores!$U$5</f>
        <v>815.64592377031943</v>
      </c>
      <c r="F164" s="50">
        <f>1148.35464884171*Deflactores!$V$5</f>
        <v>1660.597785020826</v>
      </c>
      <c r="G164" s="50">
        <f>2920.45972506698*Deflactores!$W$5</f>
        <v>3733.3632353504186</v>
      </c>
      <c r="H164" s="50">
        <f>2483.89143939984*Deflactores!$X$5</f>
        <v>2905.6342717603393</v>
      </c>
      <c r="I164" s="50">
        <f>788.22006667305*Deflactores!$Y$5</f>
        <v>876.47611559140967</v>
      </c>
      <c r="J164" s="50">
        <f>2058.98609633044*Deflactores!$Z$5</f>
        <v>2178.4072899176058</v>
      </c>
      <c r="K164" s="50">
        <f>656.47186768864*Deflactores!$AA$5</f>
        <v>656.47186768864003</v>
      </c>
    </row>
    <row r="165" spans="1:11" x14ac:dyDescent="0.2">
      <c r="C165" s="87" t="s">
        <v>146</v>
      </c>
      <c r="D165" s="42">
        <f>863.083427856437*Deflactores!$T$5</f>
        <v>1339.4416946894632</v>
      </c>
      <c r="E165" s="42">
        <f>813.93072248072*Deflactores!$U$5</f>
        <v>1243.1456830325501</v>
      </c>
      <c r="F165" s="42">
        <f>1013.40184365795*Deflactores!$V$5</f>
        <v>1465.4469841802145</v>
      </c>
      <c r="G165" s="42">
        <f>1260.86017246513*Deflactores!$W$5</f>
        <v>1611.8178149814908</v>
      </c>
      <c r="H165" s="42">
        <f>1302.18723162908*Deflactores!$X$5</f>
        <v>1523.2871245711087</v>
      </c>
      <c r="I165" s="42">
        <f>1419.01067346674*Deflactores!$Y$5</f>
        <v>1577.8955848110518</v>
      </c>
      <c r="J165" s="42">
        <f>1582.66067975384*Deflactores!$Z$5</f>
        <v>1674.4549991795627</v>
      </c>
      <c r="K165" s="42">
        <f>526.315112676549*Deflactores!$AA$5</f>
        <v>526.31511267654901</v>
      </c>
    </row>
    <row r="166" spans="1:11" x14ac:dyDescent="0.2">
      <c r="C166" s="88" t="s">
        <v>162</v>
      </c>
      <c r="D166" s="50">
        <f>28795.1450550206*Deflactores!$T$5</f>
        <v>44687.937048121894</v>
      </c>
      <c r="E166" s="50">
        <f>33768.3958912633*Deflactores!$U$5</f>
        <v>51575.686254001128</v>
      </c>
      <c r="F166" s="50">
        <f>42583.8340262913*Deflactores!$V$5</f>
        <v>61579.077973063664</v>
      </c>
      <c r="G166" s="50">
        <f>41177.2058983625*Deflactores!$W$5</f>
        <v>52638.790158927884</v>
      </c>
      <c r="H166" s="50">
        <f>48660.4301664704*Deflactores!$X$5</f>
        <v>56922.54151190268</v>
      </c>
      <c r="I166" s="50">
        <f>56879.0915248487*Deflactores!$Y$5</f>
        <v>63247.774709022371</v>
      </c>
      <c r="J166" s="50">
        <f>63413.6240013666*Deflactores!$Z$5</f>
        <v>67091.614193445872</v>
      </c>
      <c r="K166" s="50">
        <f>23098.1510194153*Deflactores!$AA$5</f>
        <v>23098.151019415302</v>
      </c>
    </row>
    <row r="167" spans="1:11" x14ac:dyDescent="0.2">
      <c r="C167" s="87" t="s">
        <v>148</v>
      </c>
      <c r="D167" s="42">
        <f>261.13458804366*Deflactores!$T$5</f>
        <v>405.26158174527643</v>
      </c>
      <c r="E167" s="42">
        <f>312.86440454456*Deflactores!$U$5</f>
        <v>477.84906398263155</v>
      </c>
      <c r="F167" s="42">
        <f>356.96159296429*Deflactores!$V$5</f>
        <v>516.19038701319641</v>
      </c>
      <c r="G167" s="42">
        <f>358.201944011099*Deflactores!$W$5</f>
        <v>457.90666350360834</v>
      </c>
      <c r="H167" s="42">
        <f>439.06493918917*Deflactores!$X$5</f>
        <v>513.61428869237238</v>
      </c>
      <c r="I167" s="42">
        <f>576.45136574244*Deflactores!$Y$5</f>
        <v>640.99592897432592</v>
      </c>
      <c r="J167" s="42">
        <f>642.43666857635*Deflactores!$Z$5</f>
        <v>679.69799535377831</v>
      </c>
      <c r="K167" s="42">
        <f>201.085727121669*Deflactores!$AA$5</f>
        <v>201.08572712166901</v>
      </c>
    </row>
    <row r="168" spans="1:11" x14ac:dyDescent="0.2">
      <c r="C168" s="88" t="s">
        <v>149</v>
      </c>
      <c r="D168" s="50">
        <f>471.87672926694*Deflactores!$T$5</f>
        <v>732.31781023023518</v>
      </c>
      <c r="E168" s="50">
        <f>305.55287475045*Deflactores!$U$5</f>
        <v>466.68190141109335</v>
      </c>
      <c r="F168" s="50">
        <f>705.37592186894*Deflactores!$V$5</f>
        <v>1020.0208573580165</v>
      </c>
      <c r="G168" s="50">
        <f>782.55862903342*Deflactores!$W$5</f>
        <v>1000.3820939775471</v>
      </c>
      <c r="H168" s="50">
        <f>977.15633054271*Deflactores!$X$5</f>
        <v>1143.0688466716954</v>
      </c>
      <c r="I168" s="50">
        <f>747.09526212896*Deflactores!$Y$5</f>
        <v>830.74661634965639</v>
      </c>
      <c r="J168" s="50">
        <f>662.38485180802*Deflactores!$Z$5</f>
        <v>700.80317321288521</v>
      </c>
      <c r="K168" s="50">
        <f>187.63021728418*Deflactores!$AA$5</f>
        <v>187.63021728417999</v>
      </c>
    </row>
    <row r="169" spans="1:11" x14ac:dyDescent="0.2">
      <c r="C169" s="87" t="s">
        <v>163</v>
      </c>
      <c r="D169" s="42">
        <f>18245.9415818559*Deflactores!$T$5</f>
        <v>28316.352886422461</v>
      </c>
      <c r="E169" s="42">
        <f>22972.6077130273*Deflactores!$U$5</f>
        <v>35086.890465824166</v>
      </c>
      <c r="F169" s="42">
        <f>22320.536643617*Deflactores!$V$5</f>
        <v>32276.991910341188</v>
      </c>
      <c r="G169" s="42">
        <f>18396.7723556309*Deflactores!$W$5</f>
        <v>23517.473284124171</v>
      </c>
      <c r="H169" s="42">
        <f>22306.8215424723*Deflactores!$X$5</f>
        <v>26094.322859581222</v>
      </c>
      <c r="I169" s="42">
        <f>27655.8215617685*Deflactores!$Y$5</f>
        <v>30752.410501625181</v>
      </c>
      <c r="J169" s="42">
        <f>38784.2505052736*Deflactores!$Z$5</f>
        <v>41033.73703457947</v>
      </c>
      <c r="K169" s="42">
        <f>8160.77172981937*Deflactores!$AA$5</f>
        <v>8160.7717298193702</v>
      </c>
    </row>
    <row r="170" spans="1:11" x14ac:dyDescent="0.2">
      <c r="C170" s="88" t="s">
        <v>150</v>
      </c>
      <c r="D170" s="50">
        <f>899.15426537356*Deflactores!$T$5</f>
        <v>1395.4209687357725</v>
      </c>
      <c r="E170" s="50">
        <f>834.181042032*Deflactores!$U$5</f>
        <v>1274.0747248230812</v>
      </c>
      <c r="F170" s="50">
        <f>924.9981015312*Deflactores!$V$5</f>
        <v>1337.6092482409672</v>
      </c>
      <c r="G170" s="50">
        <f>1041.58968843729*Deflactores!$W$5</f>
        <v>1331.5138763102414</v>
      </c>
      <c r="H170" s="50">
        <f>1397.23399763066*Deflactores!$X$5</f>
        <v>1634.4719921275205</v>
      </c>
      <c r="I170" s="50">
        <f>1271.4276849658*Deflactores!$Y$5</f>
        <v>1413.7879073261918</v>
      </c>
      <c r="J170" s="50">
        <f>1413.98725184224*Deflactores!$Z$5</f>
        <v>1495.9985124490902</v>
      </c>
      <c r="K170" s="50">
        <f>672.6223195499*Deflactores!$AA$5</f>
        <v>672.6223195499</v>
      </c>
    </row>
    <row r="171" spans="1:11" x14ac:dyDescent="0.2">
      <c r="C171" s="87" t="s">
        <v>151</v>
      </c>
      <c r="D171" s="42">
        <f>2184.37924621438*Deflactores!$T$5</f>
        <v>3389.9951556949131</v>
      </c>
      <c r="E171" s="42">
        <f>2339.43149135068*Deflactores!$U$5</f>
        <v>3573.0979048918844</v>
      </c>
      <c r="F171" s="42">
        <f>2722.94042561438*Deflactores!$V$5</f>
        <v>3937.5543470649368</v>
      </c>
      <c r="G171" s="42">
        <f>2651.12126017479*Deflactores!$W$5</f>
        <v>3389.0550039910017</v>
      </c>
      <c r="H171" s="42">
        <f>2924.4423574912*Deflactores!$X$5</f>
        <v>3420.986845450529</v>
      </c>
      <c r="I171" s="42">
        <f>3756.2286585442*Deflactores!$Y$5</f>
        <v>4176.809044979007</v>
      </c>
      <c r="J171" s="42">
        <f>4332.14239693372*Deflactores!$Z$5</f>
        <v>4583.406655955876</v>
      </c>
      <c r="K171" s="42">
        <f>1367.10528305649*Deflactores!$AA$5</f>
        <v>1367.10528305649</v>
      </c>
    </row>
    <row r="172" spans="1:11" x14ac:dyDescent="0.2">
      <c r="C172" s="79" t="s">
        <v>179</v>
      </c>
      <c r="D172" s="44">
        <f t="shared" ref="D172:K172" si="6">+SUM(D141:D171)</f>
        <v>229289.95350511163</v>
      </c>
      <c r="E172" s="44">
        <f t="shared" si="6"/>
        <v>272977.93236900942</v>
      </c>
      <c r="F172" s="44">
        <f t="shared" si="6"/>
        <v>288972.33257119235</v>
      </c>
      <c r="G172" s="44">
        <f t="shared" si="6"/>
        <v>240465.73077846799</v>
      </c>
      <c r="H172" s="44">
        <f t="shared" si="6"/>
        <v>276266.67542920081</v>
      </c>
      <c r="I172" s="44">
        <f t="shared" si="6"/>
        <v>289489.98892849393</v>
      </c>
      <c r="J172" s="44">
        <f t="shared" si="6"/>
        <v>310841.95497375436</v>
      </c>
      <c r="K172" s="44">
        <f t="shared" si="6"/>
        <v>92761.171285987512</v>
      </c>
    </row>
    <row r="173" spans="1:11" s="31" customFormat="1" x14ac:dyDescent="0.2">
      <c r="A173" s="5"/>
      <c r="B173" s="5"/>
      <c r="C173" s="72" t="str">
        <f>+'C1 Aprop Resumen 2000-2026'!B20</f>
        <v>* Información con corte a 30 de abril</v>
      </c>
      <c r="D173" s="121">
        <f>+D172-'C5 Ejecución PGN 2019-2026'!D79</f>
        <v>7.2759576141834259E-10</v>
      </c>
      <c r="E173" s="121">
        <f>+E172-'C5 Ejecución PGN 2019-2026'!E79</f>
        <v>1.0477378964424133E-9</v>
      </c>
      <c r="F173" s="121">
        <f>+F172-'C5 Ejecución PGN 2019-2026'!F79</f>
        <v>0</v>
      </c>
      <c r="G173" s="121">
        <f>+G172-'C5 Ejecución PGN 2019-2026'!G79</f>
        <v>0</v>
      </c>
      <c r="H173" s="121">
        <f>+H172-'C5 Ejecución PGN 2019-2026'!H79</f>
        <v>4.6566128730773926E-10</v>
      </c>
      <c r="I173" s="121">
        <f>+I172-'C5 Ejecución PGN 2019-2026'!I79</f>
        <v>5.2386894822120667E-10</v>
      </c>
      <c r="J173" s="121">
        <f>+J172-'C5 Ejecución PGN 2019-2026'!J79</f>
        <v>0</v>
      </c>
      <c r="K173" s="121">
        <f>+K172-'C5 Ejecución PGN 2019-2026'!K79</f>
        <v>-1.3096723705530167E-10</v>
      </c>
    </row>
    <row r="174" spans="1:11" x14ac:dyDescent="0.2">
      <c r="C174" s="1" t="s">
        <v>52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customHeight="1" x14ac:dyDescent="0.2">
      <c r="D178" s="155" t="s">
        <v>183</v>
      </c>
      <c r="E178" s="178"/>
      <c r="F178" s="178"/>
      <c r="G178" s="178"/>
      <c r="H178" s="178"/>
      <c r="I178" s="178"/>
      <c r="J178" s="178"/>
      <c r="K178" s="178"/>
      <c r="L178" s="178"/>
    </row>
    <row r="179" spans="3:12" ht="2.25" customHeight="1" x14ac:dyDescent="0.2">
      <c r="D179" s="28"/>
      <c r="E179" s="28"/>
      <c r="F179" s="28"/>
    </row>
    <row r="180" spans="3:12" x14ac:dyDescent="0.2">
      <c r="D180" s="29"/>
      <c r="E180" s="29"/>
      <c r="F180" s="29"/>
    </row>
    <row r="181" spans="3:12" x14ac:dyDescent="0.2">
      <c r="C181" s="176" t="s">
        <v>120</v>
      </c>
      <c r="D181" s="153">
        <v>2019</v>
      </c>
      <c r="E181" s="153">
        <v>2020</v>
      </c>
      <c r="F181" s="153">
        <v>2021</v>
      </c>
      <c r="G181" s="153">
        <v>2022</v>
      </c>
      <c r="H181" s="153">
        <v>2023</v>
      </c>
      <c r="I181" s="153">
        <v>2024</v>
      </c>
      <c r="J181" s="153" t="s">
        <v>187</v>
      </c>
      <c r="K181" s="153" t="s">
        <v>10</v>
      </c>
    </row>
    <row r="182" spans="3:12" ht="12" customHeight="1" thickBot="1" x14ac:dyDescent="0.25">
      <c r="C182" s="160"/>
      <c r="D182" s="154"/>
      <c r="E182" s="154"/>
      <c r="F182" s="154"/>
      <c r="G182" s="154"/>
      <c r="H182" s="154"/>
      <c r="I182" s="154"/>
      <c r="J182" s="154"/>
      <c r="K182" s="154"/>
    </row>
    <row r="183" spans="3:12" x14ac:dyDescent="0.2">
      <c r="C183" s="87" t="s">
        <v>123</v>
      </c>
      <c r="D183" s="47">
        <f t="shared" ref="D183:K192" si="7">+IFERROR(IF(D141&gt;0,+((D141/D15)*100)," "),"")</f>
        <v>74.76156177557101</v>
      </c>
      <c r="E183" s="47">
        <f t="shared" si="7"/>
        <v>80.369488441651271</v>
      </c>
      <c r="F183" s="47">
        <f t="shared" si="7"/>
        <v>92.810495906733109</v>
      </c>
      <c r="G183" s="47">
        <f t="shared" si="7"/>
        <v>91.810105679355473</v>
      </c>
      <c r="H183" s="47">
        <f t="shared" si="7"/>
        <v>75.937511031836522</v>
      </c>
      <c r="I183" s="47">
        <f t="shared" si="7"/>
        <v>77.216791308319699</v>
      </c>
      <c r="J183" s="47">
        <f t="shared" si="7"/>
        <v>91.40705404262448</v>
      </c>
      <c r="K183" s="47">
        <f t="shared" si="7"/>
        <v>24.32133506435072</v>
      </c>
    </row>
    <row r="184" spans="3:12" x14ac:dyDescent="0.2">
      <c r="C184" s="88" t="s">
        <v>124</v>
      </c>
      <c r="D184" s="116">
        <f t="shared" si="7"/>
        <v>95.306211908175982</v>
      </c>
      <c r="E184" s="116">
        <f t="shared" si="7"/>
        <v>96.665839428231791</v>
      </c>
      <c r="F184" s="116">
        <f t="shared" si="7"/>
        <v>93.615219286532863</v>
      </c>
      <c r="G184" s="116">
        <f t="shared" si="7"/>
        <v>92.622717334510057</v>
      </c>
      <c r="H184" s="116">
        <f t="shared" si="7"/>
        <v>94.679582265960889</v>
      </c>
      <c r="I184" s="116">
        <f t="shared" si="7"/>
        <v>96.377944247620178</v>
      </c>
      <c r="J184" s="116">
        <f t="shared" si="7"/>
        <v>97.639949900800076</v>
      </c>
      <c r="K184" s="116">
        <f t="shared" si="7"/>
        <v>43.516018705230351</v>
      </c>
    </row>
    <row r="185" spans="3:12" x14ac:dyDescent="0.2">
      <c r="C185" s="87" t="s">
        <v>125</v>
      </c>
      <c r="D185" s="47">
        <f t="shared" si="7"/>
        <v>95.122909680239729</v>
      </c>
      <c r="E185" s="47">
        <f t="shared" si="7"/>
        <v>90.81113475716441</v>
      </c>
      <c r="F185" s="47">
        <f t="shared" si="7"/>
        <v>94.850996911981227</v>
      </c>
      <c r="G185" s="47">
        <f t="shared" si="7"/>
        <v>86.826685511570204</v>
      </c>
      <c r="H185" s="47">
        <f t="shared" si="7"/>
        <v>94.01225793248021</v>
      </c>
      <c r="I185" s="47">
        <f t="shared" si="7"/>
        <v>94.226930002660907</v>
      </c>
      <c r="J185" s="47">
        <f t="shared" si="7"/>
        <v>90.147929508342244</v>
      </c>
      <c r="K185" s="47">
        <f t="shared" si="7"/>
        <v>18.134951898217103</v>
      </c>
    </row>
    <row r="186" spans="3:12" x14ac:dyDescent="0.2">
      <c r="C186" s="88" t="s">
        <v>126</v>
      </c>
      <c r="D186" s="116">
        <f t="shared" si="7"/>
        <v>91.753307858077051</v>
      </c>
      <c r="E186" s="116">
        <f t="shared" si="7"/>
        <v>94.569169635595614</v>
      </c>
      <c r="F186" s="116">
        <f t="shared" si="7"/>
        <v>91.577351798899969</v>
      </c>
      <c r="G186" s="116">
        <f t="shared" si="7"/>
        <v>95.502048547661843</v>
      </c>
      <c r="H186" s="116">
        <f t="shared" si="7"/>
        <v>92.723393825704619</v>
      </c>
      <c r="I186" s="116">
        <f t="shared" si="7"/>
        <v>75.747789016222995</v>
      </c>
      <c r="J186" s="116">
        <f t="shared" si="7"/>
        <v>88.557839847987921</v>
      </c>
      <c r="K186" s="116">
        <f t="shared" si="7"/>
        <v>21.906112575505059</v>
      </c>
    </row>
    <row r="187" spans="3:12" x14ac:dyDescent="0.2">
      <c r="C187" s="87" t="s">
        <v>127</v>
      </c>
      <c r="D187" s="47">
        <f t="shared" si="7"/>
        <v>95.907207545724816</v>
      </c>
      <c r="E187" s="47">
        <f t="shared" si="7"/>
        <v>94.588960814732332</v>
      </c>
      <c r="F187" s="47">
        <f t="shared" si="7"/>
        <v>93.898056337318522</v>
      </c>
      <c r="G187" s="47">
        <f t="shared" si="7"/>
        <v>94.817074610467614</v>
      </c>
      <c r="H187" s="47">
        <f t="shared" si="7"/>
        <v>94.075512625851971</v>
      </c>
      <c r="I187" s="47">
        <f t="shared" si="7"/>
        <v>86.306266862421992</v>
      </c>
      <c r="J187" s="47">
        <f t="shared" si="7"/>
        <v>80.284837329113145</v>
      </c>
      <c r="K187" s="47">
        <f t="shared" si="7"/>
        <v>33.169395997567911</v>
      </c>
    </row>
    <row r="188" spans="3:12" x14ac:dyDescent="0.2">
      <c r="C188" s="88" t="s">
        <v>128</v>
      </c>
      <c r="D188" s="116">
        <f t="shared" si="7"/>
        <v>97.474330757479265</v>
      </c>
      <c r="E188" s="116">
        <f t="shared" si="7"/>
        <v>97.057446248743844</v>
      </c>
      <c r="F188" s="116">
        <f t="shared" si="7"/>
        <v>89.040961551123715</v>
      </c>
      <c r="G188" s="116">
        <f t="shared" si="7"/>
        <v>93.33503005391826</v>
      </c>
      <c r="H188" s="116">
        <f t="shared" si="7"/>
        <v>91.564582876526885</v>
      </c>
      <c r="I188" s="116">
        <f t="shared" si="7"/>
        <v>92.894514262449732</v>
      </c>
      <c r="J188" s="116">
        <f t="shared" si="7"/>
        <v>90.777834107708657</v>
      </c>
      <c r="K188" s="116">
        <f t="shared" si="7"/>
        <v>34.370549322242091</v>
      </c>
    </row>
    <row r="189" spans="3:12" x14ac:dyDescent="0.2">
      <c r="C189" s="87" t="s">
        <v>129</v>
      </c>
      <c r="D189" s="47">
        <f t="shared" si="7"/>
        <v>97.2832587893717</v>
      </c>
      <c r="E189" s="47">
        <f t="shared" si="7"/>
        <v>97.69886306610789</v>
      </c>
      <c r="F189" s="47">
        <f t="shared" si="7"/>
        <v>95.412954387503518</v>
      </c>
      <c r="G189" s="47">
        <f t="shared" si="7"/>
        <v>96.305689672971738</v>
      </c>
      <c r="H189" s="47">
        <f t="shared" si="7"/>
        <v>95.451678592522455</v>
      </c>
      <c r="I189" s="47">
        <f t="shared" si="7"/>
        <v>92.901708850895645</v>
      </c>
      <c r="J189" s="47">
        <f t="shared" si="7"/>
        <v>94.4014622939563</v>
      </c>
      <c r="K189" s="47">
        <f t="shared" si="7"/>
        <v>27.380933726985546</v>
      </c>
    </row>
    <row r="190" spans="3:12" x14ac:dyDescent="0.2">
      <c r="C190" s="88" t="s">
        <v>130</v>
      </c>
      <c r="D190" s="116">
        <f t="shared" si="7"/>
        <v>93.531782249009296</v>
      </c>
      <c r="E190" s="116">
        <f t="shared" si="7"/>
        <v>94.783026652524143</v>
      </c>
      <c r="F190" s="116">
        <f t="shared" si="7"/>
        <v>89.394584068622109</v>
      </c>
      <c r="G190" s="116">
        <f t="shared" si="7"/>
        <v>92.17090053874665</v>
      </c>
      <c r="H190" s="116">
        <f t="shared" si="7"/>
        <v>83.374166406582532</v>
      </c>
      <c r="I190" s="116">
        <f t="shared" si="7"/>
        <v>93.023513732877689</v>
      </c>
      <c r="J190" s="116">
        <f t="shared" si="7"/>
        <v>89.901315579483807</v>
      </c>
      <c r="K190" s="116">
        <f t="shared" si="7"/>
        <v>25.212788299899046</v>
      </c>
    </row>
    <row r="191" spans="3:12" x14ac:dyDescent="0.2">
      <c r="C191" s="87" t="s">
        <v>131</v>
      </c>
      <c r="D191" s="47">
        <f t="shared" si="7"/>
        <v>99.937182980888934</v>
      </c>
      <c r="E191" s="47">
        <f t="shared" si="7"/>
        <v>99.965804216013964</v>
      </c>
      <c r="F191" s="47">
        <f t="shared" si="7"/>
        <v>99.933958021948925</v>
      </c>
      <c r="G191" s="47">
        <f t="shared" si="7"/>
        <v>99.895857804338988</v>
      </c>
      <c r="H191" s="47">
        <f t="shared" si="7"/>
        <v>98.994518199047789</v>
      </c>
      <c r="I191" s="47">
        <f t="shared" si="7"/>
        <v>99.670900560853852</v>
      </c>
      <c r="J191" s="47">
        <f t="shared" si="7"/>
        <v>97.925319097959076</v>
      </c>
      <c r="K191" s="47">
        <f t="shared" si="7"/>
        <v>30.797757696861062</v>
      </c>
    </row>
    <row r="192" spans="3:12" x14ac:dyDescent="0.2">
      <c r="C192" s="88" t="s">
        <v>132</v>
      </c>
      <c r="D192" s="116">
        <f t="shared" si="7"/>
        <v>89.21250049602429</v>
      </c>
      <c r="E192" s="116">
        <f t="shared" si="7"/>
        <v>86.240307790214786</v>
      </c>
      <c r="F192" s="116">
        <f t="shared" si="7"/>
        <v>55.303522702266569</v>
      </c>
      <c r="G192" s="116">
        <f t="shared" si="7"/>
        <v>78.684144591854718</v>
      </c>
      <c r="H192" s="116">
        <f t="shared" si="7"/>
        <v>88.99216482824481</v>
      </c>
      <c r="I192" s="116">
        <f t="shared" si="7"/>
        <v>85.676009258650765</v>
      </c>
      <c r="J192" s="116">
        <f t="shared" si="7"/>
        <v>88.262703352431345</v>
      </c>
      <c r="K192" s="116">
        <f t="shared" si="7"/>
        <v>21.146973464290163</v>
      </c>
    </row>
    <row r="193" spans="3:11" x14ac:dyDescent="0.2">
      <c r="C193" s="87" t="s">
        <v>133</v>
      </c>
      <c r="D193" s="47">
        <f t="shared" ref="D193:K202" si="8">+IFERROR(IF(D151&gt;0,+((D151/D25)*100)," "),"")</f>
        <v>95.494039452246255</v>
      </c>
      <c r="E193" s="47">
        <f t="shared" si="8"/>
        <v>95.439634719257143</v>
      </c>
      <c r="F193" s="47">
        <f t="shared" si="8"/>
        <v>92.427943598946754</v>
      </c>
      <c r="G193" s="47">
        <f t="shared" si="8"/>
        <v>95.202026853827391</v>
      </c>
      <c r="H193" s="47">
        <f t="shared" si="8"/>
        <v>95.488692550714205</v>
      </c>
      <c r="I193" s="47">
        <f t="shared" si="8"/>
        <v>93.875620181204752</v>
      </c>
      <c r="J193" s="47">
        <f t="shared" si="8"/>
        <v>93.874719426915959</v>
      </c>
      <c r="K193" s="47">
        <f t="shared" si="8"/>
        <v>25.751262643024802</v>
      </c>
    </row>
    <row r="194" spans="3:11" x14ac:dyDescent="0.2">
      <c r="C194" s="88" t="s">
        <v>134</v>
      </c>
      <c r="D194" s="116">
        <f t="shared" si="8"/>
        <v>91.551928455653936</v>
      </c>
      <c r="E194" s="116">
        <f t="shared" si="8"/>
        <v>41.927914153022513</v>
      </c>
      <c r="F194" s="116">
        <f t="shared" si="8"/>
        <v>81.884378874619642</v>
      </c>
      <c r="G194" s="116">
        <f t="shared" si="8"/>
        <v>83.643044759551259</v>
      </c>
      <c r="H194" s="116">
        <f t="shared" si="8"/>
        <v>89.49899948248769</v>
      </c>
      <c r="I194" s="116">
        <f t="shared" si="8"/>
        <v>74.153211824801872</v>
      </c>
      <c r="J194" s="116">
        <f t="shared" si="8"/>
        <v>74.665927952092005</v>
      </c>
      <c r="K194" s="116">
        <f t="shared" si="8"/>
        <v>15.134023580811299</v>
      </c>
    </row>
    <row r="195" spans="3:11" x14ac:dyDescent="0.2">
      <c r="C195" s="87" t="s">
        <v>135</v>
      </c>
      <c r="D195" s="47" t="str">
        <f t="shared" si="8"/>
        <v xml:space="preserve"> </v>
      </c>
      <c r="E195" s="47" t="str">
        <f t="shared" si="8"/>
        <v xml:space="preserve"> </v>
      </c>
      <c r="F195" s="47" t="str">
        <f t="shared" si="8"/>
        <v xml:space="preserve"> </v>
      </c>
      <c r="G195" s="47" t="str">
        <f t="shared" si="8"/>
        <v xml:space="preserve"> </v>
      </c>
      <c r="H195" s="47">
        <f t="shared" si="8"/>
        <v>0.58282805051800002</v>
      </c>
      <c r="I195" s="47">
        <f t="shared" si="8"/>
        <v>38.454044234865535</v>
      </c>
      <c r="J195" s="47">
        <f t="shared" si="8"/>
        <v>95.785478947442925</v>
      </c>
      <c r="K195" s="47">
        <f t="shared" si="8"/>
        <v>18.575054227875707</v>
      </c>
    </row>
    <row r="196" spans="3:11" x14ac:dyDescent="0.2">
      <c r="C196" s="88" t="s">
        <v>136</v>
      </c>
      <c r="D196" s="116">
        <f t="shared" si="8"/>
        <v>94.005180063801603</v>
      </c>
      <c r="E196" s="116">
        <f t="shared" si="8"/>
        <v>98.194119917175726</v>
      </c>
      <c r="F196" s="116">
        <f t="shared" si="8"/>
        <v>96.761404485400632</v>
      </c>
      <c r="G196" s="116">
        <f t="shared" si="8"/>
        <v>94.822658456773738</v>
      </c>
      <c r="H196" s="116">
        <f t="shared" si="8"/>
        <v>89.419575507987147</v>
      </c>
      <c r="I196" s="116">
        <f t="shared" si="8"/>
        <v>48.156513094105406</v>
      </c>
      <c r="J196" s="116">
        <f t="shared" si="8"/>
        <v>55.075238485409017</v>
      </c>
      <c r="K196" s="116">
        <f t="shared" si="8"/>
        <v>8.1331168845670412</v>
      </c>
    </row>
    <row r="197" spans="3:11" x14ac:dyDescent="0.2">
      <c r="C197" s="87" t="s">
        <v>137</v>
      </c>
      <c r="D197" s="47">
        <f t="shared" si="8"/>
        <v>89.813585659809149</v>
      </c>
      <c r="E197" s="47">
        <f t="shared" si="8"/>
        <v>87.833181815619</v>
      </c>
      <c r="F197" s="47">
        <f t="shared" si="8"/>
        <v>79.828795716891918</v>
      </c>
      <c r="G197" s="47">
        <f t="shared" si="8"/>
        <v>86.705489239882951</v>
      </c>
      <c r="H197" s="47">
        <f t="shared" si="8"/>
        <v>91.166245669205765</v>
      </c>
      <c r="I197" s="47">
        <f t="shared" si="8"/>
        <v>93.94301087298021</v>
      </c>
      <c r="J197" s="47">
        <f t="shared" si="8"/>
        <v>93.518580179334805</v>
      </c>
      <c r="K197" s="47">
        <f t="shared" si="8"/>
        <v>26.138200409397953</v>
      </c>
    </row>
    <row r="198" spans="3:11" x14ac:dyDescent="0.2">
      <c r="C198" s="88" t="s">
        <v>138</v>
      </c>
      <c r="D198" s="116">
        <f t="shared" si="8"/>
        <v>95.715796722991129</v>
      </c>
      <c r="E198" s="116">
        <f t="shared" si="8"/>
        <v>98.028113822928461</v>
      </c>
      <c r="F198" s="116">
        <f t="shared" si="8"/>
        <v>94.611263222058611</v>
      </c>
      <c r="G198" s="116">
        <f t="shared" si="8"/>
        <v>95.93883466240213</v>
      </c>
      <c r="H198" s="116">
        <f t="shared" si="8"/>
        <v>88.10958910991863</v>
      </c>
      <c r="I198" s="116">
        <f t="shared" si="8"/>
        <v>94.73583467881322</v>
      </c>
      <c r="J198" s="116">
        <f t="shared" si="8"/>
        <v>96.140341651529283</v>
      </c>
      <c r="K198" s="116">
        <f t="shared" si="8"/>
        <v>24.939312863612997</v>
      </c>
    </row>
    <row r="199" spans="3:11" x14ac:dyDescent="0.2">
      <c r="C199" s="87" t="s">
        <v>160</v>
      </c>
      <c r="D199" s="47">
        <f t="shared" si="8"/>
        <v>87.359674856080332</v>
      </c>
      <c r="E199" s="47">
        <f t="shared" si="8"/>
        <v>83.364710304259361</v>
      </c>
      <c r="F199" s="47">
        <f t="shared" si="8"/>
        <v>81.892458702706435</v>
      </c>
      <c r="G199" s="47">
        <f t="shared" si="8"/>
        <v>70.628601424082888</v>
      </c>
      <c r="H199" s="47">
        <f t="shared" si="8"/>
        <v>72.62674484034028</v>
      </c>
      <c r="I199" s="47">
        <f t="shared" si="8"/>
        <v>75.223850822082269</v>
      </c>
      <c r="J199" s="47">
        <f t="shared" si="8"/>
        <v>81.878302638074203</v>
      </c>
      <c r="K199" s="47">
        <f t="shared" si="8"/>
        <v>23.926831629791366</v>
      </c>
    </row>
    <row r="200" spans="3:11" x14ac:dyDescent="0.2">
      <c r="C200" s="88" t="s">
        <v>161</v>
      </c>
      <c r="D200" s="116">
        <f t="shared" si="8"/>
        <v>85.610130166903133</v>
      </c>
      <c r="E200" s="116">
        <f t="shared" si="8"/>
        <v>88.848935679876675</v>
      </c>
      <c r="F200" s="116">
        <f t="shared" si="8"/>
        <v>75.330491199255661</v>
      </c>
      <c r="G200" s="116">
        <f t="shared" si="8"/>
        <v>78.59948572388133</v>
      </c>
      <c r="H200" s="116">
        <f t="shared" si="8"/>
        <v>76.054035156249284</v>
      </c>
      <c r="I200" s="116">
        <f t="shared" si="8"/>
        <v>84.385127767276998</v>
      </c>
      <c r="J200" s="116">
        <f t="shared" si="8"/>
        <v>88.61795090241921</v>
      </c>
      <c r="K200" s="116">
        <f t="shared" si="8"/>
        <v>22.433665675829847</v>
      </c>
    </row>
    <row r="201" spans="3:11" x14ac:dyDescent="0.2">
      <c r="C201" s="87" t="s">
        <v>140</v>
      </c>
      <c r="D201" s="47">
        <f t="shared" si="8"/>
        <v>90.13751316321131</v>
      </c>
      <c r="E201" s="47">
        <f t="shared" si="8"/>
        <v>92.754932035555399</v>
      </c>
      <c r="F201" s="47">
        <f t="shared" si="8"/>
        <v>90.713773364794662</v>
      </c>
      <c r="G201" s="47">
        <f t="shared" si="8"/>
        <v>90.710712700233017</v>
      </c>
      <c r="H201" s="47">
        <f t="shared" si="8"/>
        <v>95.329254267489944</v>
      </c>
      <c r="I201" s="47">
        <f t="shared" si="8"/>
        <v>98.087283746266976</v>
      </c>
      <c r="J201" s="47">
        <f t="shared" si="8"/>
        <v>97.293620989876416</v>
      </c>
      <c r="K201" s="47">
        <f t="shared" si="8"/>
        <v>56.19195484163523</v>
      </c>
    </row>
    <row r="202" spans="3:11" x14ac:dyDescent="0.2">
      <c r="C202" s="88" t="s">
        <v>141</v>
      </c>
      <c r="D202" s="116">
        <f t="shared" si="8"/>
        <v>92.195798887946651</v>
      </c>
      <c r="E202" s="116">
        <f t="shared" si="8"/>
        <v>83.136738617310257</v>
      </c>
      <c r="F202" s="116">
        <f t="shared" si="8"/>
        <v>87.415157463861092</v>
      </c>
      <c r="G202" s="116">
        <f t="shared" si="8"/>
        <v>91.799391737764907</v>
      </c>
      <c r="H202" s="116">
        <f t="shared" si="8"/>
        <v>86.165382003404773</v>
      </c>
      <c r="I202" s="116">
        <f t="shared" si="8"/>
        <v>90.094140711935125</v>
      </c>
      <c r="J202" s="116">
        <f t="shared" si="8"/>
        <v>93.542512616200483</v>
      </c>
      <c r="K202" s="116">
        <f t="shared" si="8"/>
        <v>25.253647697578131</v>
      </c>
    </row>
    <row r="203" spans="3:11" x14ac:dyDescent="0.2">
      <c r="C203" s="87" t="s">
        <v>142</v>
      </c>
      <c r="D203" s="47">
        <f t="shared" ref="D203:K212" si="9">+IFERROR(IF(D161&gt;0,+((D161/D35)*100)," "),"")</f>
        <v>94.570673062323948</v>
      </c>
      <c r="E203" s="47">
        <f t="shared" si="9"/>
        <v>89.864523541697494</v>
      </c>
      <c r="F203" s="47">
        <f t="shared" si="9"/>
        <v>50.542846852616783</v>
      </c>
      <c r="G203" s="47">
        <f t="shared" si="9"/>
        <v>82.290666850880072</v>
      </c>
      <c r="H203" s="47">
        <f t="shared" si="9"/>
        <v>90.927499849848459</v>
      </c>
      <c r="I203" s="47">
        <f t="shared" si="9"/>
        <v>89.943609599400745</v>
      </c>
      <c r="J203" s="47">
        <f t="shared" si="9"/>
        <v>89.315650816496444</v>
      </c>
      <c r="K203" s="47">
        <f t="shared" si="9"/>
        <v>33.052253298173774</v>
      </c>
    </row>
    <row r="204" spans="3:11" x14ac:dyDescent="0.2">
      <c r="C204" s="88" t="s">
        <v>143</v>
      </c>
      <c r="D204" s="116">
        <f t="shared" si="9"/>
        <v>43.312205967694254</v>
      </c>
      <c r="E204" s="116">
        <f t="shared" si="9"/>
        <v>37.48554878268834</v>
      </c>
      <c r="F204" s="116">
        <f t="shared" si="9"/>
        <v>56.352603725664011</v>
      </c>
      <c r="G204" s="116">
        <f t="shared" si="9"/>
        <v>19.369423027084785</v>
      </c>
      <c r="H204" s="116">
        <f t="shared" si="9"/>
        <v>22.314070867560591</v>
      </c>
      <c r="I204" s="116">
        <f t="shared" si="9"/>
        <v>33.774696654023202</v>
      </c>
      <c r="J204" s="116">
        <f t="shared" si="9"/>
        <v>37.086238859915944</v>
      </c>
      <c r="K204" s="116">
        <f t="shared" si="9"/>
        <v>2.3595652926151036</v>
      </c>
    </row>
    <row r="205" spans="3:11" x14ac:dyDescent="0.2">
      <c r="C205" s="87" t="s">
        <v>144</v>
      </c>
      <c r="D205" s="47">
        <f t="shared" si="9"/>
        <v>95.68540732532017</v>
      </c>
      <c r="E205" s="47">
        <f t="shared" si="9"/>
        <v>93.808135668950854</v>
      </c>
      <c r="F205" s="47">
        <f t="shared" si="9"/>
        <v>94.312895963805843</v>
      </c>
      <c r="G205" s="47">
        <f t="shared" si="9"/>
        <v>94.93669770178586</v>
      </c>
      <c r="H205" s="47">
        <f t="shared" si="9"/>
        <v>87.317600501419591</v>
      </c>
      <c r="I205" s="47">
        <f t="shared" si="9"/>
        <v>93.526775975854477</v>
      </c>
      <c r="J205" s="47">
        <f t="shared" si="9"/>
        <v>92.649004564731229</v>
      </c>
      <c r="K205" s="47">
        <f t="shared" si="9"/>
        <v>25.176543153715325</v>
      </c>
    </row>
    <row r="206" spans="3:11" x14ac:dyDescent="0.2">
      <c r="C206" s="88" t="s">
        <v>145</v>
      </c>
      <c r="D206" s="116">
        <f t="shared" si="9"/>
        <v>92.349106444667569</v>
      </c>
      <c r="E206" s="116">
        <f t="shared" si="9"/>
        <v>93.124446907041843</v>
      </c>
      <c r="F206" s="116">
        <f t="shared" si="9"/>
        <v>85.559305990725832</v>
      </c>
      <c r="G206" s="116">
        <f t="shared" si="9"/>
        <v>92.983435877775008</v>
      </c>
      <c r="H206" s="116">
        <f t="shared" si="9"/>
        <v>79.485424570367627</v>
      </c>
      <c r="I206" s="116">
        <f t="shared" si="9"/>
        <v>58.649237372345638</v>
      </c>
      <c r="J206" s="116">
        <f t="shared" si="9"/>
        <v>72.840969602838925</v>
      </c>
      <c r="K206" s="116">
        <f t="shared" si="9"/>
        <v>10.002360798310329</v>
      </c>
    </row>
    <row r="207" spans="3:11" x14ac:dyDescent="0.2">
      <c r="C207" s="87" t="s">
        <v>146</v>
      </c>
      <c r="D207" s="47">
        <f t="shared" si="9"/>
        <v>94.881983624217497</v>
      </c>
      <c r="E207" s="47">
        <f t="shared" si="9"/>
        <v>85.031526920214034</v>
      </c>
      <c r="F207" s="47">
        <f t="shared" si="9"/>
        <v>91.887179788108597</v>
      </c>
      <c r="G207" s="47">
        <f t="shared" si="9"/>
        <v>95.038005784532643</v>
      </c>
      <c r="H207" s="47">
        <f t="shared" si="9"/>
        <v>93.113936739470063</v>
      </c>
      <c r="I207" s="47">
        <f t="shared" si="9"/>
        <v>92.229239203772849</v>
      </c>
      <c r="J207" s="47">
        <f t="shared" si="9"/>
        <v>92.209636201997156</v>
      </c>
      <c r="K207" s="47">
        <f t="shared" si="9"/>
        <v>30.441159079721576</v>
      </c>
    </row>
    <row r="208" spans="3:11" x14ac:dyDescent="0.2">
      <c r="C208" s="88" t="s">
        <v>162</v>
      </c>
      <c r="D208" s="116">
        <f t="shared" si="9"/>
        <v>99.461866238539983</v>
      </c>
      <c r="E208" s="116">
        <f t="shared" si="9"/>
        <v>97.366651153343398</v>
      </c>
      <c r="F208" s="116">
        <f t="shared" si="9"/>
        <v>99.288434268220399</v>
      </c>
      <c r="G208" s="116">
        <f t="shared" si="9"/>
        <v>99.713202593140338</v>
      </c>
      <c r="H208" s="116">
        <f t="shared" si="9"/>
        <v>93.978523467309472</v>
      </c>
      <c r="I208" s="116">
        <f t="shared" si="9"/>
        <v>95.707069402531744</v>
      </c>
      <c r="J208" s="116">
        <f t="shared" si="9"/>
        <v>97.815494977078316</v>
      </c>
      <c r="K208" s="116">
        <f t="shared" si="9"/>
        <v>30.514627673907285</v>
      </c>
    </row>
    <row r="209" spans="1:12" x14ac:dyDescent="0.2">
      <c r="C209" s="87" t="s">
        <v>148</v>
      </c>
      <c r="D209" s="47">
        <f t="shared" si="9"/>
        <v>93.532884578094311</v>
      </c>
      <c r="E209" s="47">
        <f t="shared" si="9"/>
        <v>96.25071351802336</v>
      </c>
      <c r="F209" s="47">
        <f t="shared" si="9"/>
        <v>96.946058776895228</v>
      </c>
      <c r="G209" s="47">
        <f t="shared" si="9"/>
        <v>98.138786431149171</v>
      </c>
      <c r="H209" s="47">
        <f t="shared" si="9"/>
        <v>89.563425353192017</v>
      </c>
      <c r="I209" s="47">
        <f t="shared" si="9"/>
        <v>95.88318994093396</v>
      </c>
      <c r="J209" s="47">
        <f t="shared" si="9"/>
        <v>91.337649622033013</v>
      </c>
      <c r="K209" s="47">
        <f t="shared" si="9"/>
        <v>29.783577502420073</v>
      </c>
    </row>
    <row r="210" spans="1:12" x14ac:dyDescent="0.2">
      <c r="C210" s="88" t="s">
        <v>149</v>
      </c>
      <c r="D210" s="116">
        <f t="shared" si="9"/>
        <v>93.516921897124334</v>
      </c>
      <c r="E210" s="116">
        <f t="shared" si="9"/>
        <v>96.270065448082633</v>
      </c>
      <c r="F210" s="116">
        <f t="shared" si="9"/>
        <v>82.470647590702086</v>
      </c>
      <c r="G210" s="116">
        <f t="shared" si="9"/>
        <v>84.051994864798473</v>
      </c>
      <c r="H210" s="116">
        <f t="shared" si="9"/>
        <v>94.975375203629909</v>
      </c>
      <c r="I210" s="116">
        <f t="shared" si="9"/>
        <v>94.201310503618402</v>
      </c>
      <c r="J210" s="116">
        <f t="shared" si="9"/>
        <v>80.89104562974299</v>
      </c>
      <c r="K210" s="116">
        <f t="shared" si="9"/>
        <v>32.630339870236966</v>
      </c>
    </row>
    <row r="211" spans="1:12" x14ac:dyDescent="0.2">
      <c r="C211" s="87" t="s">
        <v>163</v>
      </c>
      <c r="D211" s="47">
        <f t="shared" si="9"/>
        <v>79.806128836459351</v>
      </c>
      <c r="E211" s="47">
        <f t="shared" si="9"/>
        <v>86.240887971782058</v>
      </c>
      <c r="F211" s="47">
        <f t="shared" si="9"/>
        <v>94.01858247047879</v>
      </c>
      <c r="G211" s="47">
        <f t="shared" si="9"/>
        <v>60.796814545316536</v>
      </c>
      <c r="H211" s="47">
        <f t="shared" si="9"/>
        <v>75.383695362668561</v>
      </c>
      <c r="I211" s="47">
        <f t="shared" si="9"/>
        <v>80.13485521065067</v>
      </c>
      <c r="J211" s="47">
        <f t="shared" si="9"/>
        <v>85.84161618759309</v>
      </c>
      <c r="K211" s="47">
        <f t="shared" si="9"/>
        <v>16.3186782911738</v>
      </c>
    </row>
    <row r="212" spans="1:12" x14ac:dyDescent="0.2">
      <c r="C212" s="88" t="s">
        <v>150</v>
      </c>
      <c r="D212" s="116">
        <f t="shared" si="9"/>
        <v>92.032341522744872</v>
      </c>
      <c r="E212" s="116">
        <f t="shared" si="9"/>
        <v>91.144756398755405</v>
      </c>
      <c r="F212" s="116">
        <f t="shared" si="9"/>
        <v>84.250722317047817</v>
      </c>
      <c r="G212" s="116">
        <f t="shared" si="9"/>
        <v>85.460756364955742</v>
      </c>
      <c r="H212" s="116">
        <f t="shared" si="9"/>
        <v>86.21824682463064</v>
      </c>
      <c r="I212" s="116">
        <f t="shared" si="9"/>
        <v>81.767328283335189</v>
      </c>
      <c r="J212" s="116">
        <f t="shared" si="9"/>
        <v>92.726110562471533</v>
      </c>
      <c r="K212" s="116">
        <f t="shared" si="9"/>
        <v>30.046316996444126</v>
      </c>
    </row>
    <row r="213" spans="1:12" x14ac:dyDescent="0.2">
      <c r="C213" s="87" t="s">
        <v>151</v>
      </c>
      <c r="D213" s="47">
        <f t="shared" ref="D213:K214" si="10">+IFERROR(IF(D171&gt;0,+((D171/D45)*100)," "),"")</f>
        <v>99.56793011914543</v>
      </c>
      <c r="E213" s="47">
        <f t="shared" si="10"/>
        <v>98.639315522602161</v>
      </c>
      <c r="F213" s="47">
        <f t="shared" si="10"/>
        <v>99.258780807990931</v>
      </c>
      <c r="G213" s="47">
        <f t="shared" si="10"/>
        <v>99.698220975307194</v>
      </c>
      <c r="H213" s="47">
        <f t="shared" si="10"/>
        <v>99.404395731704881</v>
      </c>
      <c r="I213" s="47">
        <f t="shared" si="10"/>
        <v>99.522863946330332</v>
      </c>
      <c r="J213" s="47">
        <f t="shared" si="10"/>
        <v>99.767844425377646</v>
      </c>
      <c r="K213" s="47">
        <f t="shared" si="10"/>
        <v>29.095880172175153</v>
      </c>
    </row>
    <row r="214" spans="1:12" x14ac:dyDescent="0.2">
      <c r="C214" s="91" t="s">
        <v>179</v>
      </c>
      <c r="D214" s="64">
        <f t="shared" si="10"/>
        <v>94.298409362867218</v>
      </c>
      <c r="E214" s="64">
        <f t="shared" si="10"/>
        <v>84.36833415048217</v>
      </c>
      <c r="F214" s="64">
        <f t="shared" si="10"/>
        <v>93.430412339415554</v>
      </c>
      <c r="G214" s="64">
        <f t="shared" si="10"/>
        <v>89.01852036653942</v>
      </c>
      <c r="H214" s="64">
        <f t="shared" si="10"/>
        <v>90.369362550806827</v>
      </c>
      <c r="I214" s="64">
        <f t="shared" si="10"/>
        <v>89.722654158756029</v>
      </c>
      <c r="J214" s="64">
        <f t="shared" si="10"/>
        <v>91.883546064464866</v>
      </c>
      <c r="K214" s="64">
        <f t="shared" si="10"/>
        <v>25.359047649491799</v>
      </c>
    </row>
    <row r="215" spans="1:12" s="31" customFormat="1" x14ac:dyDescent="0.2">
      <c r="A215" s="5"/>
      <c r="B215" s="5"/>
      <c r="C215" s="72" t="str">
        <f>+'C1 Aprop Resumen 2000-2026'!B20</f>
        <v>* Información con corte a 30 de abril</v>
      </c>
      <c r="D215" s="47"/>
      <c r="E215" s="47"/>
      <c r="F215" s="47"/>
      <c r="G215" s="47"/>
      <c r="H215" s="47"/>
      <c r="I215" s="47"/>
    </row>
    <row r="216" spans="1:12" x14ac:dyDescent="0.2">
      <c r="C216" s="1" t="s">
        <v>52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customHeight="1" x14ac:dyDescent="0.2">
      <c r="D220" s="155" t="s">
        <v>184</v>
      </c>
      <c r="E220" s="178"/>
      <c r="F220" s="178"/>
      <c r="G220" s="178"/>
      <c r="H220" s="178"/>
      <c r="I220" s="178"/>
      <c r="J220" s="178"/>
      <c r="K220" s="178"/>
      <c r="L220" s="178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76" t="s">
        <v>120</v>
      </c>
      <c r="D222" s="153">
        <v>2019</v>
      </c>
      <c r="E222" s="153">
        <v>2020</v>
      </c>
      <c r="F222" s="153">
        <v>2021</v>
      </c>
      <c r="G222" s="153">
        <v>2022</v>
      </c>
      <c r="H222" s="153">
        <v>2023</v>
      </c>
      <c r="I222" s="153">
        <v>2024</v>
      </c>
      <c r="J222" s="153" t="s">
        <v>187</v>
      </c>
      <c r="K222" s="153" t="s">
        <v>10</v>
      </c>
    </row>
    <row r="223" spans="1:12" ht="12" customHeight="1" thickBot="1" x14ac:dyDescent="0.25">
      <c r="C223" s="160"/>
      <c r="D223" s="154"/>
      <c r="E223" s="154"/>
      <c r="F223" s="154"/>
      <c r="G223" s="154"/>
      <c r="H223" s="154"/>
      <c r="I223" s="154"/>
      <c r="J223" s="154"/>
      <c r="K223" s="154"/>
    </row>
    <row r="224" spans="1:12" x14ac:dyDescent="0.2">
      <c r="C224" s="87" t="s">
        <v>123</v>
      </c>
      <c r="D224" s="42">
        <f>550.66712649648*Deflactores!$T$5</f>
        <v>854.5946838025842</v>
      </c>
      <c r="E224" s="42">
        <f>582.83199641832*Deflactores!$U$5</f>
        <v>890.1802822633224</v>
      </c>
      <c r="F224" s="42">
        <f>591.21613086241*Deflactores!$V$5</f>
        <v>854.93814856670542</v>
      </c>
      <c r="G224" s="42">
        <f>699.708013949029*Deflactores!$W$5</f>
        <v>894.47019328350825</v>
      </c>
      <c r="H224" s="42">
        <f>709.416547443719*Deflactores!$X$5</f>
        <v>829.86921268363437</v>
      </c>
      <c r="I224" s="42">
        <f>813.34995926858*Deflactores!$Y$5</f>
        <v>904.4197719110548</v>
      </c>
      <c r="J224" s="42">
        <f>784.50911376031*Deflactores!$Z$5</f>
        <v>830.01064235840806</v>
      </c>
      <c r="K224" s="42">
        <f>220.82420973214*Deflactores!$AA$5</f>
        <v>220.82420973213999</v>
      </c>
      <c r="L224" s="14"/>
    </row>
    <row r="225" spans="3:12" x14ac:dyDescent="0.2">
      <c r="C225" s="88" t="s">
        <v>124</v>
      </c>
      <c r="D225" s="50">
        <f>302.00651647512*Deflactores!$T$5</f>
        <v>468.69179407066872</v>
      </c>
      <c r="E225" s="50">
        <f>334.524774583969*Deflactores!$U$5</f>
        <v>510.93172662658498</v>
      </c>
      <c r="F225" s="50">
        <f>385.9339369024*Deflactores!$V$5</f>
        <v>558.08633807588831</v>
      </c>
      <c r="G225" s="50">
        <f>410.66203359347*Deflactores!$W$5</f>
        <v>524.96890308492004</v>
      </c>
      <c r="H225" s="50">
        <f>487.78865783487*Deflactores!$X$5</f>
        <v>570.61086450840764</v>
      </c>
      <c r="I225" s="50">
        <f>578.00278915885*Deflactores!$Y$5</f>
        <v>642.72106339699042</v>
      </c>
      <c r="J225" s="50">
        <f>767.11884690793*Deflactores!$Z$5</f>
        <v>811.61174002859002</v>
      </c>
      <c r="K225" s="50">
        <f>296.14548974028*Deflactores!$AA$5</f>
        <v>296.14548974028003</v>
      </c>
      <c r="L225" s="14"/>
    </row>
    <row r="226" spans="3:12" x14ac:dyDescent="0.2">
      <c r="C226" s="87" t="s">
        <v>125</v>
      </c>
      <c r="D226" s="42">
        <f>22.25149053408*Deflactores!$T$5</f>
        <v>34.532668834063486</v>
      </c>
      <c r="E226" s="42">
        <f>21.95107669705*Deflactores!$U$5</f>
        <v>33.526669383708523</v>
      </c>
      <c r="F226" s="42">
        <f>24.25307473745*Deflactores!$V$5</f>
        <v>35.071571512839753</v>
      </c>
      <c r="G226" s="42">
        <f>23.96039671316*Deflactores!$W$5</f>
        <v>30.629720186013174</v>
      </c>
      <c r="H226" s="42">
        <f>25.56892056175*Deflactores!$X$5</f>
        <v>29.910297486306163</v>
      </c>
      <c r="I226" s="42">
        <f>25.32357174979*Deflactores!$Y$5</f>
        <v>28.159021494897928</v>
      </c>
      <c r="J226" s="42">
        <f>23.99464129079*Deflactores!$Z$5</f>
        <v>25.386330485655822</v>
      </c>
      <c r="K226" s="42">
        <f>5.67418517321*Deflactores!$AA$5</f>
        <v>5.6741851732099997</v>
      </c>
      <c r="L226" s="14"/>
    </row>
    <row r="227" spans="3:12" x14ac:dyDescent="0.2">
      <c r="C227" s="88" t="s">
        <v>126</v>
      </c>
      <c r="D227" s="50">
        <f>598.31926147892*Deflactores!$T$5</f>
        <v>928.54727561050765</v>
      </c>
      <c r="E227" s="50">
        <f>674.56375690688*Deflactores!$U$5</f>
        <v>1030.2855011703657</v>
      </c>
      <c r="F227" s="50">
        <f>623.683508732549*Deflactores!$V$5</f>
        <v>901.88815293248979</v>
      </c>
      <c r="G227" s="50">
        <f>639.24594569026*Deflactores!$W$5</f>
        <v>817.17864194552192</v>
      </c>
      <c r="H227" s="50">
        <f>735.5223724059*Deflactores!$X$5</f>
        <v>860.40757619642045</v>
      </c>
      <c r="I227" s="50">
        <f>843.75795774866*Deflactores!$Y$5</f>
        <v>938.23251725668308</v>
      </c>
      <c r="J227" s="50">
        <f>938.28302413873*Deflactores!$Z$5</f>
        <v>992.70343953877637</v>
      </c>
      <c r="K227" s="50">
        <f>313.73563520039*Deflactores!$AA$5</f>
        <v>313.73563520038999</v>
      </c>
      <c r="L227" s="14"/>
    </row>
    <row r="228" spans="3:12" x14ac:dyDescent="0.2">
      <c r="C228" s="87" t="s">
        <v>127</v>
      </c>
      <c r="D228" s="42">
        <f>534.54812548138*Deflactores!$T$5</f>
        <v>829.57918548628686</v>
      </c>
      <c r="E228" s="42">
        <f>574.04592685615*Deflactores!$U$5</f>
        <v>876.76100204037425</v>
      </c>
      <c r="F228" s="42">
        <f>619.06556045522*Deflactores!$V$5</f>
        <v>895.21029022830839</v>
      </c>
      <c r="G228" s="42">
        <f>722.313306968599*Deflactores!$W$5</f>
        <v>923.36761965758728</v>
      </c>
      <c r="H228" s="42">
        <f>853.21862736429*Deflactores!$X$5</f>
        <v>998.08761592777478</v>
      </c>
      <c r="I228" s="42">
        <f>956.774522803159*Deflactores!$Y$5</f>
        <v>1063.903410608272</v>
      </c>
      <c r="J228" s="42">
        <f>1096.79041804132*Deflactores!$Z$5</f>
        <v>1160.4042622877166</v>
      </c>
      <c r="K228" s="42">
        <f>375.10895354457*Deflactores!$AA$5</f>
        <v>375.10895354457</v>
      </c>
      <c r="L228" s="14"/>
    </row>
    <row r="229" spans="3:12" x14ac:dyDescent="0.2">
      <c r="C229" s="88" t="s">
        <v>128</v>
      </c>
      <c r="D229" s="50">
        <f>229.974579602719*Deflactores!$T$5</f>
        <v>356.90355149514113</v>
      </c>
      <c r="E229" s="50">
        <f>228.951644979519*Deflactores!$U$5</f>
        <v>349.68608656522605</v>
      </c>
      <c r="F229" s="50">
        <f>200.84353147442*Deflactores!$V$5</f>
        <v>290.43320705723465</v>
      </c>
      <c r="G229" s="50">
        <f>182.57472450534*Deflactores!$W$5</f>
        <v>233.39399558295048</v>
      </c>
      <c r="H229" s="50">
        <f>273.8755099897*Deflactores!$X$5</f>
        <v>320.37715312316186</v>
      </c>
      <c r="I229" s="50">
        <f>302.89218979829*Deflactores!$Y$5</f>
        <v>336.80666248186265</v>
      </c>
      <c r="J229" s="50">
        <f>310.13891886897*Deflactores!$Z$5</f>
        <v>328.12697616337027</v>
      </c>
      <c r="K229" s="50">
        <f>142.28265457312*Deflactores!$AA$5</f>
        <v>142.28265457312</v>
      </c>
      <c r="L229" s="14"/>
    </row>
    <row r="230" spans="3:12" x14ac:dyDescent="0.2">
      <c r="C230" s="87" t="s">
        <v>129</v>
      </c>
      <c r="D230" s="42">
        <f>31303.726877375*Deflactores!$T$5</f>
        <v>48581.070642109138</v>
      </c>
      <c r="E230" s="42">
        <f>33064.3119085846*Deflactores!$U$5</f>
        <v>50500.313449677313</v>
      </c>
      <c r="F230" s="42">
        <f>34908.722829742*Deflactores!$V$5</f>
        <v>50480.3527964522</v>
      </c>
      <c r="G230" s="42">
        <f>38674.0689622985*Deflactores!$W$5</f>
        <v>49438.910588619925</v>
      </c>
      <c r="H230" s="42">
        <f>43636.233539055*Deflactores!$X$5</f>
        <v>51045.280663413978</v>
      </c>
      <c r="I230" s="42">
        <f>48719.9393392468*Deflactores!$Y$5</f>
        <v>54175.052107147982</v>
      </c>
      <c r="J230" s="42">
        <f>54290.5060244459*Deflactores!$Z$5</f>
        <v>57439.355373863764</v>
      </c>
      <c r="K230" s="42">
        <f>16806.5967447868*Deflactores!$AA$5</f>
        <v>16806.596744786799</v>
      </c>
      <c r="L230" s="14"/>
    </row>
    <row r="231" spans="3:12" x14ac:dyDescent="0.2">
      <c r="C231" s="88" t="s">
        <v>130</v>
      </c>
      <c r="D231" s="50">
        <f>35.19635672401*Deflactores!$T$5</f>
        <v>54.622144483052871</v>
      </c>
      <c r="E231" s="50">
        <f>37.52763321301*Deflactores!$U$5</f>
        <v>57.317304697621125</v>
      </c>
      <c r="F231" s="50">
        <f>35.65260900663*Deflactores!$V$5</f>
        <v>51.556062063527328</v>
      </c>
      <c r="G231" s="50">
        <f>48.6718256948099*Deflactores!$W$5</f>
        <v>62.219520812676045</v>
      </c>
      <c r="H231" s="50">
        <f>47.58309044185*Deflactores!$X$5</f>
        <v>55.662279015510215</v>
      </c>
      <c r="I231" s="50">
        <f>60.11913009778*Deflactores!$Y$5</f>
        <v>66.850596487914103</v>
      </c>
      <c r="J231" s="50">
        <f>44.59167876021*Deflactores!$Z$5</f>
        <v>47.177996128302183</v>
      </c>
      <c r="K231" s="50">
        <f>13.6639971899099*Deflactores!$AA$5</f>
        <v>13.6639971899099</v>
      </c>
      <c r="L231" s="14"/>
    </row>
    <row r="232" spans="3:12" x14ac:dyDescent="0.2">
      <c r="C232" s="87" t="s">
        <v>131</v>
      </c>
      <c r="D232" s="42">
        <f>37374.6389102855*Deflactores!$T$5</f>
        <v>58002.677452319949</v>
      </c>
      <c r="E232" s="42">
        <f>40601.9440362689*Deflactores!$U$5</f>
        <v>62012.810251934534</v>
      </c>
      <c r="F232" s="42">
        <f>43204.3925396314*Deflactores!$V$5</f>
        <v>62476.447173221306</v>
      </c>
      <c r="G232" s="42">
        <f>44173.5040483049*Deflactores!$W$5</f>
        <v>56469.10127711558</v>
      </c>
      <c r="H232" s="42">
        <f>51123.1574022098*Deflactores!$X$5</f>
        <v>59803.418085111924</v>
      </c>
      <c r="I232" s="42">
        <f>61827.2106177621*Deflactores!$Y$5</f>
        <v>68749.92872084018</v>
      </c>
      <c r="J232" s="42">
        <f>71901.5484214835*Deflactores!$Z$5</f>
        <v>76071.838229929548</v>
      </c>
      <c r="K232" s="42">
        <f>24320.3683657366*Deflactores!$AA$5</f>
        <v>24320.368365736598</v>
      </c>
      <c r="L232" s="14"/>
    </row>
    <row r="233" spans="3:12" x14ac:dyDescent="0.2">
      <c r="C233" s="88" t="s">
        <v>132</v>
      </c>
      <c r="D233" s="50">
        <f>77.32665713347*Deflactores!$T$5</f>
        <v>120.00525711954052</v>
      </c>
      <c r="E233" s="50">
        <f>76.7354875896*Deflactores!$U$5</f>
        <v>117.20087164380098</v>
      </c>
      <c r="F233" s="50">
        <f>91.5847407433399*Deflactores!$V$5</f>
        <v>132.43767312954938</v>
      </c>
      <c r="G233" s="50">
        <f>136.89238026433*Deflactores!$W$5</f>
        <v>174.99607178001321</v>
      </c>
      <c r="H233" s="50">
        <f>160.018942383669*Deflactores!$X$5</f>
        <v>187.18874575016653</v>
      </c>
      <c r="I233" s="50">
        <f>177.04966258538*Deflactores!$Y$5</f>
        <v>196.87369947912205</v>
      </c>
      <c r="J233" s="50">
        <f>195.275979377269*Deflactores!$Z$5</f>
        <v>206.60198618115064</v>
      </c>
      <c r="K233" s="50">
        <f>51.35261108454*Deflactores!$AA$5</f>
        <v>51.352611084540001</v>
      </c>
      <c r="L233" s="14"/>
    </row>
    <row r="234" spans="3:12" x14ac:dyDescent="0.2">
      <c r="C234" s="87" t="s">
        <v>133</v>
      </c>
      <c r="D234" s="42">
        <f>3529.18318391437*Deflactores!$T$5</f>
        <v>5477.0314805744583</v>
      </c>
      <c r="E234" s="42">
        <f>3649.9688496191*Deflactores!$U$5</f>
        <v>5574.7287739402764</v>
      </c>
      <c r="F234" s="42">
        <f>3970.85956631971*Deflactores!$V$5</f>
        <v>5742.1290601386245</v>
      </c>
      <c r="G234" s="42">
        <f>4349.09429101342*Deflactores!$W$5</f>
        <v>5559.6550754588861</v>
      </c>
      <c r="H234" s="42">
        <f>4981.16824919831*Deflactores!$X$5</f>
        <v>5826.9266316132343</v>
      </c>
      <c r="I234" s="42">
        <f>5404.48892685839*Deflactores!$Y$5</f>
        <v>6009.6230249038736</v>
      </c>
      <c r="J234" s="42">
        <f>6108.36931515902*Deflactores!$Z$5</f>
        <v>6462.6547354382428</v>
      </c>
      <c r="K234" s="42">
        <f>1748.90392453816*Deflactores!$AA$5</f>
        <v>1748.90392453816</v>
      </c>
      <c r="L234" s="14"/>
    </row>
    <row r="235" spans="3:12" x14ac:dyDescent="0.2">
      <c r="C235" s="88" t="s">
        <v>134</v>
      </c>
      <c r="D235" s="50">
        <f>7947.52274427015*Deflactores!$T$5</f>
        <v>12333.967945146276</v>
      </c>
      <c r="E235" s="50">
        <f>16337.5069694785*Deflactores!$U$5</f>
        <v>24952.862325580158</v>
      </c>
      <c r="F235" s="50">
        <f>17882.5317187254*Deflactores!$V$5</f>
        <v>25859.339353598363</v>
      </c>
      <c r="G235" s="50">
        <f>13086.6686943021*Deflactores!$W$5</f>
        <v>16729.31400394443</v>
      </c>
      <c r="H235" s="50">
        <f>32963.6199437911*Deflactores!$X$5</f>
        <v>38560.551524387294</v>
      </c>
      <c r="I235" s="50">
        <f>21875.9784449936*Deflactores!$Y$5</f>
        <v>24325.405331481605</v>
      </c>
      <c r="J235" s="50">
        <f>16532.4570809773*Deflactores!$Z$5</f>
        <v>17491.339591673983</v>
      </c>
      <c r="K235" s="50">
        <f>4367.81398772593*Deflactores!$AA$5</f>
        <v>4367.81398772593</v>
      </c>
      <c r="L235" s="14"/>
    </row>
    <row r="236" spans="3:12" x14ac:dyDescent="0.2">
      <c r="C236" s="87" t="s">
        <v>135</v>
      </c>
      <c r="D236" s="42">
        <f>0*Deflactores!$T$5</f>
        <v>0</v>
      </c>
      <c r="E236" s="42">
        <f>0*Deflactores!$U$5</f>
        <v>0</v>
      </c>
      <c r="F236" s="42">
        <f>0*Deflactores!$V$5</f>
        <v>0</v>
      </c>
      <c r="G236" s="42">
        <f>0*Deflactores!$W$5</f>
        <v>0</v>
      </c>
      <c r="H236" s="42">
        <f>2.127776892*Deflactores!$X$5</f>
        <v>2.4890546188881464</v>
      </c>
      <c r="I236" s="42">
        <f>939.076347601489*Deflactores!$Y$5</f>
        <v>1044.2235921036636</v>
      </c>
      <c r="J236" s="42">
        <f>1202.6834153551*Deflactores!$Z$5</f>
        <v>1272.4390534456957</v>
      </c>
      <c r="K236" s="42">
        <f>301.310132477599*Deflactores!$AA$5</f>
        <v>301.31013247759898</v>
      </c>
      <c r="L236" s="14"/>
    </row>
    <row r="237" spans="3:12" x14ac:dyDescent="0.2">
      <c r="C237" s="88" t="s">
        <v>136</v>
      </c>
      <c r="D237" s="50">
        <f>1388.02835020398*Deflactores!$T$5</f>
        <v>2154.1174186274498</v>
      </c>
      <c r="E237" s="50">
        <f>7369.59242845061*Deflactores!$U$5</f>
        <v>11255.843722442552</v>
      </c>
      <c r="F237" s="50">
        <f>9176.99087415286*Deflactores!$V$5</f>
        <v>13270.543846490027</v>
      </c>
      <c r="G237" s="50">
        <f>1562.55292323179*Deflactores!$W$5</f>
        <v>1997.4860761858642</v>
      </c>
      <c r="H237" s="50">
        <f>1855.10332746871*Deflactores!$X$5</f>
        <v>2170.0834909484311</v>
      </c>
      <c r="I237" s="50">
        <f>1089.4495620064*Deflactores!$Y$5</f>
        <v>1211.4339137171578</v>
      </c>
      <c r="J237" s="50">
        <f>1140.5491932095*Deflactores!$Z$5</f>
        <v>1206.701046415651</v>
      </c>
      <c r="K237" s="50">
        <f>162.026458197229*Deflactores!$AA$5</f>
        <v>162.026458197229</v>
      </c>
      <c r="L237" s="14"/>
    </row>
    <row r="238" spans="3:12" x14ac:dyDescent="0.2">
      <c r="C238" s="87" t="s">
        <v>137</v>
      </c>
      <c r="D238" s="42">
        <f>142.2682397831*Deflactores!$T$5</f>
        <v>220.7897939470802</v>
      </c>
      <c r="E238" s="42">
        <f>147.29471016858*Deflactores!$U$5</f>
        <v>224.96851147419156</v>
      </c>
      <c r="F238" s="42">
        <f>151.88497884683*Deflactores!$V$5</f>
        <v>219.63585875267967</v>
      </c>
      <c r="G238" s="42">
        <f>172.50483227118*Deflactores!$W$5</f>
        <v>220.52117109978064</v>
      </c>
      <c r="H238" s="42">
        <f>204.96641317379*Deflactores!$X$5</f>
        <v>239.76790017097252</v>
      </c>
      <c r="I238" s="42">
        <f>233.55035319239*Deflactores!$Y$5</f>
        <v>259.70070417653665</v>
      </c>
      <c r="J238" s="42">
        <f>256.002497180859*Deflactores!$Z$5</f>
        <v>270.85064201734883</v>
      </c>
      <c r="K238" s="42">
        <f>80.76768853434*Deflactores!$AA$5</f>
        <v>80.767688534339996</v>
      </c>
      <c r="L238" s="14"/>
    </row>
    <row r="239" spans="3:12" x14ac:dyDescent="0.2">
      <c r="C239" s="88" t="s">
        <v>138</v>
      </c>
      <c r="D239" s="50">
        <f>86.1550347765099*Deflactores!$T$5</f>
        <v>133.70624676885041</v>
      </c>
      <c r="E239" s="50">
        <f>90.77501368117*Deflactores!$U$5</f>
        <v>138.64394507806554</v>
      </c>
      <c r="F239" s="50">
        <f>103.43565574278*Deflactores!$V$5</f>
        <v>149.57489046775598</v>
      </c>
      <c r="G239" s="50">
        <f>97.92361061966*Deflactores!$W$5</f>
        <v>125.18043122536946</v>
      </c>
      <c r="H239" s="50">
        <f>101.14452172284*Deflactores!$X$5</f>
        <v>118.31796835279634</v>
      </c>
      <c r="I239" s="50">
        <f>121.15914611053*Deflactores!$Y$5</f>
        <v>134.72518937452753</v>
      </c>
      <c r="J239" s="50">
        <f>135.22252019535*Deflactores!$Z$5</f>
        <v>143.0654263666803</v>
      </c>
      <c r="K239" s="50">
        <f>38.5321057157*Deflactores!$AA$5</f>
        <v>38.532105715699998</v>
      </c>
      <c r="L239" s="14"/>
    </row>
    <row r="240" spans="3:12" x14ac:dyDescent="0.2">
      <c r="C240" s="87" t="s">
        <v>160</v>
      </c>
      <c r="D240" s="42">
        <f>1122.0618064631*Deflactores!$T$5</f>
        <v>1741.3569987410879</v>
      </c>
      <c r="E240" s="42">
        <f>1313.12609290395*Deflactores!$U$5</f>
        <v>2005.5847366169573</v>
      </c>
      <c r="F240" s="42">
        <f>1520.99906983797*Deflactores!$V$5</f>
        <v>2199.4665924323026</v>
      </c>
      <c r="G240" s="42">
        <f>1681.42012023929*Deflactores!$W$5</f>
        <v>2149.4396947849973</v>
      </c>
      <c r="H240" s="42">
        <f>2093.91197580753*Deflactores!$X$5</f>
        <v>2449.4397389709679</v>
      </c>
      <c r="I240" s="42">
        <f>2669.07114421047*Deflactores!$Y$5</f>
        <v>2967.9238167442827</v>
      </c>
      <c r="J240" s="42">
        <f>3247.75416769551*Deflactores!$Z$5</f>
        <v>3436.1239094218499</v>
      </c>
      <c r="K240" s="42">
        <f>903.81842368679*Deflactores!$AA$5</f>
        <v>903.81842368678997</v>
      </c>
      <c r="L240" s="14"/>
    </row>
    <row r="241" spans="1:12" x14ac:dyDescent="0.2">
      <c r="C241" s="88" t="s">
        <v>161</v>
      </c>
      <c r="D241" s="50">
        <f>2022.7450143203*Deflactores!$T$5</f>
        <v>3139.1507732164578</v>
      </c>
      <c r="E241" s="50">
        <f>2244.58470187636*Deflactores!$U$5</f>
        <v>3428.2349901156322</v>
      </c>
      <c r="F241" s="50">
        <f>2243.56615114411*Deflactores!$V$5</f>
        <v>3244.3470184890207</v>
      </c>
      <c r="G241" s="50">
        <f>2528.83674847668*Deflactores!$W$5</f>
        <v>3232.7328687093614</v>
      </c>
      <c r="H241" s="50">
        <f>2954.12009791699*Deflactores!$X$5</f>
        <v>3455.7036041307788</v>
      </c>
      <c r="I241" s="50">
        <f>3524.34347524794*Deflactores!$Y$5</f>
        <v>3918.9599577608165</v>
      </c>
      <c r="J241" s="50">
        <f>3851.92619342908*Deflactores!$Z$5</f>
        <v>4075.3379126479667</v>
      </c>
      <c r="K241" s="50">
        <f>1089.0408750908*Deflactores!$AA$5</f>
        <v>1089.0408750908</v>
      </c>
      <c r="L241" s="14"/>
    </row>
    <row r="242" spans="1:12" x14ac:dyDescent="0.2">
      <c r="C242" s="87" t="s">
        <v>140</v>
      </c>
      <c r="D242" s="42">
        <f>611.13921542121*Deflactores!$T$5</f>
        <v>948.44289668267822</v>
      </c>
      <c r="E242" s="42">
        <f>1113.06667943966*Deflactores!$U$5</f>
        <v>1700.0267949777078</v>
      </c>
      <c r="F242" s="42">
        <f>1145.32869003176*Deflactores!$V$5</f>
        <v>1656.2220457817018</v>
      </c>
      <c r="G242" s="42">
        <f>902.20661466711*Deflactores!$W$5</f>
        <v>1153.3338319914342</v>
      </c>
      <c r="H242" s="42">
        <f>1686.08437847115*Deflactores!$X$5</f>
        <v>1972.3666169360608</v>
      </c>
      <c r="I242" s="42">
        <f>4402.49664406245*Deflactores!$Y$5</f>
        <v>4895.4388763267007</v>
      </c>
      <c r="J242" s="42">
        <f>3635.0857275211*Deflactores!$Z$5</f>
        <v>3845.9206997173242</v>
      </c>
      <c r="K242" s="42">
        <f>1820.77607051882*Deflactores!$AA$5</f>
        <v>1820.77607051882</v>
      </c>
      <c r="L242" s="14"/>
    </row>
    <row r="243" spans="1:12" x14ac:dyDescent="0.2">
      <c r="C243" s="88" t="s">
        <v>141</v>
      </c>
      <c r="D243" s="50">
        <f>1600.45947890501*Deflactores!$T$5</f>
        <v>2483.7948308548948</v>
      </c>
      <c r="E243" s="50">
        <f>1761.23543356335*Deflactores!$U$5</f>
        <v>2689.998258531276</v>
      </c>
      <c r="F243" s="50">
        <f>2166.7765067092*Deflactores!$V$5</f>
        <v>3133.3040461896812</v>
      </c>
      <c r="G243" s="50">
        <f>2498.21293593999*Deflactores!$W$5</f>
        <v>3193.5849856314262</v>
      </c>
      <c r="H243" s="50">
        <f>2962.30505250405*Deflactores!$X$5</f>
        <v>3465.278291729328</v>
      </c>
      <c r="I243" s="50">
        <f>3387.97152926469*Deflactores!$Y$5</f>
        <v>3767.318609684582</v>
      </c>
      <c r="J243" s="50">
        <f>3615.83488970978*Deflactores!$Z$5</f>
        <v>3825.5533133129475</v>
      </c>
      <c r="K243" s="50">
        <f>1044.30318669115*Deflactores!$AA$5</f>
        <v>1044.3031866911499</v>
      </c>
      <c r="L243" s="14"/>
    </row>
    <row r="244" spans="1:12" x14ac:dyDescent="0.2">
      <c r="C244" s="87" t="s">
        <v>142</v>
      </c>
      <c r="D244" s="42">
        <f>188.98482964045*Deflactores!$T$5</f>
        <v>293.29048886141919</v>
      </c>
      <c r="E244" s="42">
        <f>350.83018750299*Deflactores!$U$5</f>
        <v>535.83557055394601</v>
      </c>
      <c r="F244" s="42">
        <f>492.59271124277*Deflactores!$V$5</f>
        <v>712.32207404935639</v>
      </c>
      <c r="G244" s="42">
        <f>577.02835983284*Deflactores!$W$5</f>
        <v>737.64292856497786</v>
      </c>
      <c r="H244" s="42">
        <f>492.59168764182*Deflactores!$X$5</f>
        <v>576.22940636333374</v>
      </c>
      <c r="I244" s="42">
        <f>478.22869665993*Deflactores!$Y$5</f>
        <v>531.77538625986529</v>
      </c>
      <c r="J244" s="42">
        <f>444.86133175793*Deflactores!$Z$5</f>
        <v>470.66328899988991</v>
      </c>
      <c r="K244" s="42">
        <f>196.86910127718*Deflactores!$AA$5</f>
        <v>196.86910127717999</v>
      </c>
      <c r="L244" s="14"/>
    </row>
    <row r="245" spans="1:12" x14ac:dyDescent="0.2">
      <c r="C245" s="88" t="s">
        <v>143</v>
      </c>
      <c r="D245" s="50">
        <f>568.046921213329*Deflactores!$T$5</f>
        <v>881.56684076626004</v>
      </c>
      <c r="E245" s="50">
        <f>1729.4800182068*Deflactores!$U$5</f>
        <v>2641.4970698882394</v>
      </c>
      <c r="F245" s="50">
        <f>3585.53548047188*Deflactores!$V$5</f>
        <v>5184.9246075598967</v>
      </c>
      <c r="G245" s="50">
        <f>914.48165824006*Deflactores!$W$5</f>
        <v>1169.0256068151823</v>
      </c>
      <c r="H245" s="50">
        <f>726.77095557776*Deflactores!$X$5</f>
        <v>850.17024607041151</v>
      </c>
      <c r="I245" s="50">
        <f>712.29303404206*Deflactores!$Y$5</f>
        <v>792.04762481511955</v>
      </c>
      <c r="J245" s="50">
        <f>1328.96235205607*Deflactores!$Z$5</f>
        <v>1406.0421684753221</v>
      </c>
      <c r="K245" s="50">
        <f>217.6229485716*Deflactores!$AA$5</f>
        <v>217.62294857160001</v>
      </c>
      <c r="L245" s="14"/>
    </row>
    <row r="246" spans="1:12" x14ac:dyDescent="0.2">
      <c r="C246" s="87" t="s">
        <v>144</v>
      </c>
      <c r="D246" s="42">
        <f>4146.96161893015*Deflactores!$T$5</f>
        <v>6435.777955402823</v>
      </c>
      <c r="E246" s="42">
        <f>4303.76763789497*Deflactores!$U$5</f>
        <v>6573.2991912601756</v>
      </c>
      <c r="F246" s="42">
        <f>4651.07505393403*Deflactores!$V$5</f>
        <v>6725.7662433106843</v>
      </c>
      <c r="G246" s="42">
        <f>5148.81283218463*Deflactores!$W$5</f>
        <v>6581.9735051945299</v>
      </c>
      <c r="H246" s="42">
        <f>6254.43319146432*Deflactores!$X$5</f>
        <v>7316.3807174862377</v>
      </c>
      <c r="I246" s="42">
        <f>7643.24711338602*Deflactores!$Y$5</f>
        <v>8499.0522617899787</v>
      </c>
      <c r="J246" s="42">
        <f>8727.96979723988*Deflactores!$Z$5</f>
        <v>9234.1920454797946</v>
      </c>
      <c r="K246" s="42">
        <f>2380.66517537243*Deflactores!$AA$5</f>
        <v>2380.66517537243</v>
      </c>
      <c r="L246" s="14"/>
    </row>
    <row r="247" spans="1:12" x14ac:dyDescent="0.2">
      <c r="C247" s="88" t="s">
        <v>145</v>
      </c>
      <c r="D247" s="50">
        <f>1330.36334044576*Deflactores!$T$5</f>
        <v>2064.6255851593155</v>
      </c>
      <c r="E247" s="50">
        <f>528.194697707019*Deflactores!$U$5</f>
        <v>806.73076973171669</v>
      </c>
      <c r="F247" s="50">
        <f>1142.9755845837*Deflactores!$V$5</f>
        <v>1652.8192975985423</v>
      </c>
      <c r="G247" s="50">
        <f>2919.22849633598*Deflactores!$W$5</f>
        <v>3731.789296823149</v>
      </c>
      <c r="H247" s="50">
        <f>2470.33673072893*Deflactores!$X$5</f>
        <v>2889.778093252216</v>
      </c>
      <c r="I247" s="50">
        <f>784.57408582461*Deflactores!$Y$5</f>
        <v>872.42189867068407</v>
      </c>
      <c r="J247" s="50">
        <f>2057.17551693507*Deflactores!$Z$5</f>
        <v>2176.4916969173041</v>
      </c>
      <c r="K247" s="50">
        <f>655.99126834664*Deflactores!$AA$5</f>
        <v>655.99126834664003</v>
      </c>
      <c r="L247" s="14"/>
    </row>
    <row r="248" spans="1:12" x14ac:dyDescent="0.2">
      <c r="C248" s="87" t="s">
        <v>146</v>
      </c>
      <c r="D248" s="42">
        <f>843.826416613937*Deflactores!$T$5</f>
        <v>1309.5562364118439</v>
      </c>
      <c r="E248" s="42">
        <f>812.6721861162*Deflactores!$U$5</f>
        <v>1241.2234751525918</v>
      </c>
      <c r="F248" s="42">
        <f>1009.89527711684*Deflactores!$V$5</f>
        <v>1460.3762539514748</v>
      </c>
      <c r="G248" s="42">
        <f>1260.19409086284*Deflactores!$W$5</f>
        <v>1610.9663310372375</v>
      </c>
      <c r="H248" s="42">
        <f>1297.37593716779*Deflactores!$X$5</f>
        <v>1517.6589147965169</v>
      </c>
      <c r="I248" s="42">
        <f>1401.03355553227*Deflactores!$Y$5</f>
        <v>1557.9055906927356</v>
      </c>
      <c r="J248" s="42">
        <f>1579.01758937052*Deflactores!$Z$5</f>
        <v>1670.6006095540101</v>
      </c>
      <c r="K248" s="42">
        <f>515.60714940849*Deflactores!$AA$5</f>
        <v>515.60714940849005</v>
      </c>
      <c r="L248" s="14"/>
    </row>
    <row r="249" spans="1:12" x14ac:dyDescent="0.2">
      <c r="C249" s="88" t="s">
        <v>162</v>
      </c>
      <c r="D249" s="50">
        <f>28791.5371825324*Deflactores!$T$5</f>
        <v>44682.337896656521</v>
      </c>
      <c r="E249" s="50">
        <f>33766.7886293309*Deflactores!$U$5</f>
        <v>51573.231425011894</v>
      </c>
      <c r="F249" s="50">
        <f>42567.154144801*Deflactores!$V$5</f>
        <v>61554.957746542066</v>
      </c>
      <c r="G249" s="50">
        <f>41174.9199566663*Deflactores!$W$5</f>
        <v>52635.867930412453</v>
      </c>
      <c r="H249" s="50">
        <f>48655.7360299608*Deflactores!$X$5</f>
        <v>56917.050352465398</v>
      </c>
      <c r="I249" s="50">
        <f>56874.5182216903*Deflactores!$Y$5</f>
        <v>63242.689338632576</v>
      </c>
      <c r="J249" s="50">
        <f>63410.7738352664*Deflactores!$Z$5</f>
        <v>67088.598717711851</v>
      </c>
      <c r="K249" s="50">
        <f>23096.1107751519*Deflactores!$AA$5</f>
        <v>23096.110775151901</v>
      </c>
      <c r="L249" s="14"/>
    </row>
    <row r="250" spans="1:12" x14ac:dyDescent="0.2">
      <c r="C250" s="87" t="s">
        <v>148</v>
      </c>
      <c r="D250" s="42">
        <f>259.78888794685*Deflactores!$T$5</f>
        <v>403.17315464768791</v>
      </c>
      <c r="E250" s="42">
        <f>312.25130553392*Deflactores!$U$5</f>
        <v>476.91265580034099</v>
      </c>
      <c r="F250" s="42">
        <f>356.32473052329*Deflactores!$V$5</f>
        <v>515.26944124095235</v>
      </c>
      <c r="G250" s="42">
        <f>357.949919800099*Deflactores!$W$5</f>
        <v>457.58448891044765</v>
      </c>
      <c r="H250" s="42">
        <f>437.92387793794*Deflactores!$X$5</f>
        <v>512.27948531684615</v>
      </c>
      <c r="I250" s="42">
        <f>573.84912724069*Deflactores!$Y$5</f>
        <v>638.10232097030348</v>
      </c>
      <c r="J250" s="42">
        <f>640.88192650466*Deflactores!$Z$5</f>
        <v>678.05307824193028</v>
      </c>
      <c r="K250" s="42">
        <f>201.01527105767*Deflactores!$AA$5</f>
        <v>201.01527105766999</v>
      </c>
      <c r="L250" s="14"/>
    </row>
    <row r="251" spans="1:12" x14ac:dyDescent="0.2">
      <c r="C251" s="88" t="s">
        <v>149</v>
      </c>
      <c r="D251" s="50">
        <f>449.09408081736*Deflactores!$T$5</f>
        <v>696.96082356602642</v>
      </c>
      <c r="E251" s="50">
        <f>293.19843298268*Deflactores!$U$5</f>
        <v>447.81251790500011</v>
      </c>
      <c r="F251" s="50">
        <f>701.15731856198*Deflactores!$V$5</f>
        <v>1013.9204742451119</v>
      </c>
      <c r="G251" s="50">
        <f>771.4861883724*Deflactores!$W$5</f>
        <v>986.2276639285235</v>
      </c>
      <c r="H251" s="50">
        <f>966.37252394161*Deflactores!$X$5</f>
        <v>1130.4540449363337</v>
      </c>
      <c r="I251" s="50">
        <f>742.95118709403*Deflactores!$Y$5</f>
        <v>826.13853423793648</v>
      </c>
      <c r="J251" s="50">
        <f>656.91224446385*Deflactores!$Z$5</f>
        <v>695.01315464275331</v>
      </c>
      <c r="K251" s="50">
        <f>141.49523425601*Deflactores!$AA$5</f>
        <v>141.49523425601001</v>
      </c>
      <c r="L251" s="14"/>
    </row>
    <row r="252" spans="1:12" x14ac:dyDescent="0.2">
      <c r="C252" s="87" t="s">
        <v>163</v>
      </c>
      <c r="D252" s="42">
        <f>18245.8119319509*Deflactores!$T$5</f>
        <v>28316.151679351551</v>
      </c>
      <c r="E252" s="42">
        <f>22972.5315302363*Deflactores!$U$5</f>
        <v>35086.774109105914</v>
      </c>
      <c r="F252" s="42">
        <f>22320.5115860576*Deflactores!$V$5</f>
        <v>32276.955675430938</v>
      </c>
      <c r="G252" s="42">
        <f>18394.2872316495*Deflactores!$W$5</f>
        <v>23514.296431374652</v>
      </c>
      <c r="H252" s="42">
        <f>22302.5985519811*Deflactores!$X$5</f>
        <v>26089.382842595813</v>
      </c>
      <c r="I252" s="42">
        <f>27653.4859092775*Deflactores!$Y$5</f>
        <v>30749.813328945576</v>
      </c>
      <c r="J252" s="42">
        <f>38783.8562966318*Deflactores!$Z$5</f>
        <v>41033.319961836445</v>
      </c>
      <c r="K252" s="42">
        <f>8156.93559485797*Deflactores!$AA$5</f>
        <v>8156.9355948579696</v>
      </c>
      <c r="L252" s="14"/>
    </row>
    <row r="253" spans="1:12" x14ac:dyDescent="0.2">
      <c r="C253" s="88" t="s">
        <v>150</v>
      </c>
      <c r="D253" s="50">
        <f>891.68141859344*Deflactores!$T$5</f>
        <v>1383.8236628065204</v>
      </c>
      <c r="E253" s="50">
        <f>819.90809351197*Deflactores!$U$5</f>
        <v>1252.2751369137534</v>
      </c>
      <c r="F253" s="50">
        <f>905.40723841583*Deflactores!$V$5</f>
        <v>1309.2795471953507</v>
      </c>
      <c r="G253" s="50">
        <f>1021.23143321411*Deflactores!$W$5</f>
        <v>1305.4889457372446</v>
      </c>
      <c r="H253" s="50">
        <f>1375.01315591173*Deflactores!$X$5</f>
        <v>1608.4782477062727</v>
      </c>
      <c r="I253" s="50">
        <f>1245.22793527831*Deflactores!$Y$5</f>
        <v>1384.6546033080851</v>
      </c>
      <c r="J253" s="50">
        <f>1397.78485356464*Deflactores!$Z$5</f>
        <v>1478.856375071389</v>
      </c>
      <c r="K253" s="50">
        <f>669.6778103116*Deflactores!$AA$5</f>
        <v>669.67781031159996</v>
      </c>
      <c r="L253" s="14"/>
    </row>
    <row r="254" spans="1:12" x14ac:dyDescent="0.2">
      <c r="C254" s="87" t="s">
        <v>151</v>
      </c>
      <c r="D254" s="42">
        <f>2184.34873721739*Deflactores!$T$5</f>
        <v>3389.9478079863225</v>
      </c>
      <c r="E254" s="42">
        <f>2334.07401490468*Deflactores!$U$5</f>
        <v>3564.9152383186229</v>
      </c>
      <c r="F254" s="42">
        <f>2718.89761447776*Deflactores!$V$5</f>
        <v>3931.7081712119452</v>
      </c>
      <c r="G254" s="42">
        <f>2645.99908813304*Deflactores!$W$5</f>
        <v>3382.5070866813835</v>
      </c>
      <c r="H254" s="42">
        <f>2922.82673025365*Deflactores!$X$5</f>
        <v>3419.0968989748699</v>
      </c>
      <c r="I254" s="42">
        <f>3756.1458252721*Deflactores!$Y$5</f>
        <v>4176.7169369654694</v>
      </c>
      <c r="J254" s="42">
        <f>4331.82240967672*Deflactores!$Z$5</f>
        <v>4583.0681094379697</v>
      </c>
      <c r="K254" s="42">
        <f>1367.10457754549*Deflactores!$AA$5</f>
        <v>1367.10457754549</v>
      </c>
      <c r="L254" s="14"/>
    </row>
    <row r="255" spans="1:12" x14ac:dyDescent="0.2">
      <c r="C255" s="79" t="s">
        <v>179</v>
      </c>
      <c r="D255" s="44">
        <f t="shared" ref="D255:K255" si="11">+SUM(D224:D254)</f>
        <v>228720.79517150644</v>
      </c>
      <c r="E255" s="44">
        <f t="shared" si="11"/>
        <v>272550.41236440191</v>
      </c>
      <c r="F255" s="44">
        <f t="shared" si="11"/>
        <v>288489.28365791653</v>
      </c>
      <c r="G255" s="44">
        <f t="shared" si="11"/>
        <v>240043.85488658</v>
      </c>
      <c r="H255" s="44">
        <f t="shared" si="11"/>
        <v>275788.69656504027</v>
      </c>
      <c r="I255" s="44">
        <f t="shared" si="11"/>
        <v>288909.01841266704</v>
      </c>
      <c r="J255" s="44">
        <f t="shared" si="11"/>
        <v>310458.1025137917</v>
      </c>
      <c r="K255" s="44">
        <f t="shared" si="11"/>
        <v>91702.140606095054</v>
      </c>
      <c r="L255" s="14"/>
    </row>
    <row r="256" spans="1:12" s="31" customFormat="1" x14ac:dyDescent="0.2">
      <c r="A256" s="5"/>
      <c r="B256" s="5"/>
      <c r="C256" s="72" t="str">
        <f>+'C1 Aprop Resumen 2000-2026'!B20</f>
        <v>* Información con corte a 30 de abril</v>
      </c>
      <c r="D256" s="121">
        <f>+D255-'C5 Ejecución PGN 2019-2026'!D112</f>
        <v>2.9103830456733704E-10</v>
      </c>
      <c r="E256" s="121">
        <f>+E255-'C5 Ejecución PGN 2019-2026'!E112</f>
        <v>1.1641532182693481E-9</v>
      </c>
      <c r="F256" s="121">
        <f>+F255-'C5 Ejecución PGN 2019-2026'!F112</f>
        <v>0</v>
      </c>
      <c r="G256" s="121">
        <f>+G255-'C5 Ejecución PGN 2019-2026'!G112</f>
        <v>0</v>
      </c>
      <c r="H256" s="121">
        <f>+H255-'C5 Ejecución PGN 2019-2026'!H112</f>
        <v>8.149072527885437E-10</v>
      </c>
      <c r="I256" s="121">
        <f>+I255-'C5 Ejecución PGN 2019-2026'!I112</f>
        <v>0</v>
      </c>
      <c r="J256" s="121">
        <f>+J255-'C5 Ejecución PGN 2019-2026'!J112</f>
        <v>0</v>
      </c>
      <c r="K256" s="121">
        <f>+K255-'C5 Ejecución PGN 2019-2026'!K112</f>
        <v>-1.4551915228366852E-10</v>
      </c>
      <c r="L256" s="6"/>
    </row>
    <row r="257" spans="2:12" x14ac:dyDescent="0.2">
      <c r="C257" s="1" t="s">
        <v>52</v>
      </c>
      <c r="E257" s="3"/>
      <c r="F257" s="3"/>
      <c r="L257" s="14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customHeight="1" x14ac:dyDescent="0.2">
      <c r="D261" s="155" t="s">
        <v>185</v>
      </c>
      <c r="E261" s="178"/>
      <c r="F261" s="178"/>
      <c r="G261" s="178"/>
      <c r="H261" s="178"/>
      <c r="I261" s="178"/>
      <c r="J261" s="178"/>
      <c r="K261" s="178"/>
      <c r="L261" s="178"/>
    </row>
    <row r="262" spans="2:12" ht="6" customHeight="1" x14ac:dyDescent="0.2">
      <c r="D262" s="28"/>
      <c r="E262" s="28"/>
      <c r="F262" s="28"/>
    </row>
    <row r="263" spans="2:12" x14ac:dyDescent="0.2">
      <c r="D263" s="29"/>
      <c r="E263" s="29"/>
      <c r="F263" s="29"/>
    </row>
    <row r="264" spans="2:12" ht="13.5" customHeight="1" x14ac:dyDescent="0.2">
      <c r="C264" s="176" t="s">
        <v>120</v>
      </c>
      <c r="D264" s="153">
        <v>2019</v>
      </c>
      <c r="E264" s="153">
        <v>2020</v>
      </c>
      <c r="F264" s="153">
        <v>2021</v>
      </c>
      <c r="G264" s="153">
        <v>2022</v>
      </c>
      <c r="H264" s="153">
        <v>2023</v>
      </c>
      <c r="I264" s="153">
        <v>2024</v>
      </c>
      <c r="J264" s="153" t="s">
        <v>187</v>
      </c>
      <c r="K264" s="153" t="s">
        <v>10</v>
      </c>
    </row>
    <row r="265" spans="2:12" ht="12" customHeight="1" thickBot="1" x14ac:dyDescent="0.25">
      <c r="C265" s="160"/>
      <c r="D265" s="154"/>
      <c r="E265" s="154"/>
      <c r="F265" s="154"/>
      <c r="G265" s="154"/>
      <c r="H265" s="154"/>
      <c r="I265" s="154"/>
      <c r="J265" s="154"/>
      <c r="K265" s="154"/>
    </row>
    <row r="266" spans="2:12" x14ac:dyDescent="0.2">
      <c r="C266" s="87" t="s">
        <v>123</v>
      </c>
      <c r="D266" s="47">
        <f t="shared" ref="D266:K275" si="12">+IFERROR(IF(D224&gt;0,+((D224/D15)*100)," "),"")</f>
        <v>74.723228769944598</v>
      </c>
      <c r="E266" s="47">
        <f t="shared" si="12"/>
        <v>80.295356757257494</v>
      </c>
      <c r="F266" s="47">
        <f t="shared" si="12"/>
        <v>92.682482598360451</v>
      </c>
      <c r="G266" s="47">
        <f t="shared" si="12"/>
        <v>91.697368741342615</v>
      </c>
      <c r="H266" s="47">
        <f t="shared" si="12"/>
        <v>75.783059719447664</v>
      </c>
      <c r="I266" s="47">
        <f t="shared" si="12"/>
        <v>76.627372049917838</v>
      </c>
      <c r="J266" s="47">
        <f t="shared" si="12"/>
        <v>91.347238804922853</v>
      </c>
      <c r="K266" s="47">
        <f t="shared" si="12"/>
        <v>24.252723521367081</v>
      </c>
    </row>
    <row r="267" spans="2:12" x14ac:dyDescent="0.2">
      <c r="C267" s="88" t="s">
        <v>124</v>
      </c>
      <c r="D267" s="116">
        <f t="shared" si="12"/>
        <v>94.545003275917111</v>
      </c>
      <c r="E267" s="116">
        <f t="shared" si="12"/>
        <v>95.530152171221545</v>
      </c>
      <c r="F267" s="116">
        <f t="shared" si="12"/>
        <v>93.400737963717191</v>
      </c>
      <c r="G267" s="116">
        <f t="shared" si="12"/>
        <v>92.17028251339417</v>
      </c>
      <c r="H267" s="116">
        <f t="shared" si="12"/>
        <v>94.196310644318871</v>
      </c>
      <c r="I267" s="116">
        <f t="shared" si="12"/>
        <v>95.690913124464544</v>
      </c>
      <c r="J267" s="116">
        <f t="shared" si="12"/>
        <v>97.40086617194946</v>
      </c>
      <c r="K267" s="116">
        <f t="shared" si="12"/>
        <v>43.417708414116454</v>
      </c>
    </row>
    <row r="268" spans="2:12" x14ac:dyDescent="0.2">
      <c r="C268" s="87" t="s">
        <v>125</v>
      </c>
      <c r="D268" s="47">
        <f t="shared" si="12"/>
        <v>94.812715484948839</v>
      </c>
      <c r="E268" s="47">
        <f t="shared" si="12"/>
        <v>90.810079500649664</v>
      </c>
      <c r="F268" s="47">
        <f t="shared" si="12"/>
        <v>94.850061437409792</v>
      </c>
      <c r="G268" s="47">
        <f t="shared" si="12"/>
        <v>86.804687626077097</v>
      </c>
      <c r="H268" s="47">
        <f t="shared" si="12"/>
        <v>93.917073936684005</v>
      </c>
      <c r="I268" s="47">
        <f t="shared" si="12"/>
        <v>91.046179967840629</v>
      </c>
      <c r="J268" s="47">
        <f t="shared" si="12"/>
        <v>88.784844663570624</v>
      </c>
      <c r="K268" s="47">
        <f t="shared" si="12"/>
        <v>18.134951898217103</v>
      </c>
    </row>
    <row r="269" spans="2:12" x14ac:dyDescent="0.2">
      <c r="C269" s="88" t="s">
        <v>126</v>
      </c>
      <c r="D269" s="116">
        <f t="shared" si="12"/>
        <v>91.24452521802958</v>
      </c>
      <c r="E269" s="116">
        <f t="shared" si="12"/>
        <v>93.660519652112598</v>
      </c>
      <c r="F269" s="116">
        <f t="shared" si="12"/>
        <v>91.347378195650592</v>
      </c>
      <c r="G269" s="116">
        <f t="shared" si="12"/>
        <v>95.16925677155146</v>
      </c>
      <c r="H269" s="116">
        <f t="shared" si="12"/>
        <v>92.314940085382204</v>
      </c>
      <c r="I269" s="116">
        <f t="shared" si="12"/>
        <v>74.906177757137684</v>
      </c>
      <c r="J269" s="116">
        <f t="shared" si="12"/>
        <v>88.017267581281871</v>
      </c>
      <c r="K269" s="116">
        <f t="shared" si="12"/>
        <v>21.848947366924236</v>
      </c>
    </row>
    <row r="270" spans="2:12" x14ac:dyDescent="0.2">
      <c r="C270" s="87" t="s">
        <v>127</v>
      </c>
      <c r="D270" s="47">
        <f t="shared" si="12"/>
        <v>95.905951640728645</v>
      </c>
      <c r="E270" s="47">
        <f t="shared" si="12"/>
        <v>94.521209645619919</v>
      </c>
      <c r="F270" s="47">
        <f t="shared" si="12"/>
        <v>93.707735036540626</v>
      </c>
      <c r="G270" s="47">
        <f t="shared" si="12"/>
        <v>94.716716560699552</v>
      </c>
      <c r="H270" s="47">
        <f t="shared" si="12"/>
        <v>94.054959809721439</v>
      </c>
      <c r="I270" s="47">
        <f t="shared" si="12"/>
        <v>86.304133003113733</v>
      </c>
      <c r="J270" s="47">
        <f t="shared" si="12"/>
        <v>80.252742544090779</v>
      </c>
      <c r="K270" s="47">
        <f t="shared" si="12"/>
        <v>33.114250135470336</v>
      </c>
    </row>
    <row r="271" spans="2:12" x14ac:dyDescent="0.2">
      <c r="C271" s="88" t="s">
        <v>128</v>
      </c>
      <c r="D271" s="116">
        <f t="shared" si="12"/>
        <v>97.253013974412681</v>
      </c>
      <c r="E271" s="116">
        <f t="shared" si="12"/>
        <v>96.296648282073036</v>
      </c>
      <c r="F271" s="116">
        <f t="shared" si="12"/>
        <v>82.702512090009364</v>
      </c>
      <c r="G271" s="116">
        <f t="shared" si="12"/>
        <v>93.236529102560922</v>
      </c>
      <c r="H271" s="116">
        <f t="shared" si="12"/>
        <v>91.431078949341099</v>
      </c>
      <c r="I271" s="116">
        <f t="shared" si="12"/>
        <v>89.469479980981419</v>
      </c>
      <c r="J271" s="116">
        <f t="shared" si="12"/>
        <v>90.753239429251622</v>
      </c>
      <c r="K271" s="116">
        <f t="shared" si="12"/>
        <v>34.300951259346448</v>
      </c>
    </row>
    <row r="272" spans="2:12" x14ac:dyDescent="0.2">
      <c r="C272" s="87" t="s">
        <v>129</v>
      </c>
      <c r="D272" s="47">
        <f t="shared" si="12"/>
        <v>96.524828964459999</v>
      </c>
      <c r="E272" s="47">
        <f t="shared" si="12"/>
        <v>97.210698632124377</v>
      </c>
      <c r="F272" s="47">
        <f t="shared" si="12"/>
        <v>95.069858430263196</v>
      </c>
      <c r="G272" s="47">
        <f t="shared" si="12"/>
        <v>95.946746808086573</v>
      </c>
      <c r="H272" s="47">
        <f t="shared" si="12"/>
        <v>94.922478331916764</v>
      </c>
      <c r="I272" s="47">
        <f t="shared" si="12"/>
        <v>92.279946588519451</v>
      </c>
      <c r="J272" s="47">
        <f t="shared" si="12"/>
        <v>94.017537177611445</v>
      </c>
      <c r="K272" s="47">
        <f t="shared" si="12"/>
        <v>27.075329950302567</v>
      </c>
    </row>
    <row r="273" spans="3:11" x14ac:dyDescent="0.2">
      <c r="C273" s="88" t="s">
        <v>130</v>
      </c>
      <c r="D273" s="116">
        <f t="shared" si="12"/>
        <v>93.531782249009296</v>
      </c>
      <c r="E273" s="116">
        <f t="shared" si="12"/>
        <v>94.781225347129165</v>
      </c>
      <c r="F273" s="116">
        <f t="shared" si="12"/>
        <v>89.394584068622109</v>
      </c>
      <c r="G273" s="116">
        <f t="shared" si="12"/>
        <v>92.117205415162957</v>
      </c>
      <c r="H273" s="116">
        <f t="shared" si="12"/>
        <v>83.374166406582532</v>
      </c>
      <c r="I273" s="116">
        <f t="shared" si="12"/>
        <v>93.023513732877689</v>
      </c>
      <c r="J273" s="116">
        <f t="shared" si="12"/>
        <v>89.901315579483807</v>
      </c>
      <c r="K273" s="116">
        <f t="shared" si="12"/>
        <v>25.212788299899046</v>
      </c>
    </row>
    <row r="274" spans="3:11" x14ac:dyDescent="0.2">
      <c r="C274" s="87" t="s">
        <v>131</v>
      </c>
      <c r="D274" s="47">
        <f t="shared" si="12"/>
        <v>99.936978649452868</v>
      </c>
      <c r="E274" s="47">
        <f t="shared" si="12"/>
        <v>99.963906763841408</v>
      </c>
      <c r="F274" s="47">
        <f t="shared" si="12"/>
        <v>99.932635888612779</v>
      </c>
      <c r="G274" s="47">
        <f t="shared" si="12"/>
        <v>99.893634149476412</v>
      </c>
      <c r="H274" s="47">
        <f t="shared" si="12"/>
        <v>98.984525786013307</v>
      </c>
      <c r="I274" s="47">
        <f t="shared" si="12"/>
        <v>99.650259047785795</v>
      </c>
      <c r="J274" s="47">
        <f t="shared" si="12"/>
        <v>97.904917972601453</v>
      </c>
      <c r="K274" s="47">
        <f t="shared" si="12"/>
        <v>29.870908108057144</v>
      </c>
    </row>
    <row r="275" spans="3:11" x14ac:dyDescent="0.2">
      <c r="C275" s="88" t="s">
        <v>132</v>
      </c>
      <c r="D275" s="116">
        <f t="shared" si="12"/>
        <v>88.396968966894434</v>
      </c>
      <c r="E275" s="116">
        <f t="shared" si="12"/>
        <v>85.553586394419568</v>
      </c>
      <c r="F275" s="116">
        <f t="shared" si="12"/>
        <v>54.969690125497742</v>
      </c>
      <c r="G275" s="116">
        <f t="shared" si="12"/>
        <v>78.415457595220786</v>
      </c>
      <c r="H275" s="116">
        <f t="shared" si="12"/>
        <v>87.458845754180544</v>
      </c>
      <c r="I275" s="116">
        <f t="shared" si="12"/>
        <v>84.742760784428214</v>
      </c>
      <c r="J275" s="116">
        <f t="shared" si="12"/>
        <v>88.054193774380963</v>
      </c>
      <c r="K275" s="116">
        <f t="shared" si="12"/>
        <v>20.570496336652567</v>
      </c>
    </row>
    <row r="276" spans="3:11" x14ac:dyDescent="0.2">
      <c r="C276" s="87" t="s">
        <v>133</v>
      </c>
      <c r="D276" s="47">
        <f t="shared" ref="D276:K285" si="13">+IFERROR(IF(D234&gt;0,+((D234/D25)*100)," "),"")</f>
        <v>95.435814166482245</v>
      </c>
      <c r="E276" s="47">
        <f t="shared" si="13"/>
        <v>95.374690999137755</v>
      </c>
      <c r="F276" s="47">
        <f t="shared" si="13"/>
        <v>92.314223895395102</v>
      </c>
      <c r="G276" s="47">
        <f t="shared" si="13"/>
        <v>95.08300334511371</v>
      </c>
      <c r="H276" s="47">
        <f t="shared" si="13"/>
        <v>95.358547402754468</v>
      </c>
      <c r="I276" s="47">
        <f t="shared" si="13"/>
        <v>93.718180419162152</v>
      </c>
      <c r="J276" s="47">
        <f t="shared" si="13"/>
        <v>93.725126551608042</v>
      </c>
      <c r="K276" s="47">
        <f t="shared" si="13"/>
        <v>25.74512552475467</v>
      </c>
    </row>
    <row r="277" spans="3:11" x14ac:dyDescent="0.2">
      <c r="C277" s="88" t="s">
        <v>134</v>
      </c>
      <c r="D277" s="116">
        <f t="shared" si="13"/>
        <v>91.303648231017462</v>
      </c>
      <c r="E277" s="116">
        <f t="shared" si="13"/>
        <v>41.925370709674816</v>
      </c>
      <c r="F277" s="116">
        <f t="shared" si="13"/>
        <v>81.692373413910275</v>
      </c>
      <c r="G277" s="116">
        <f t="shared" si="13"/>
        <v>83.624685034131332</v>
      </c>
      <c r="H277" s="116">
        <f t="shared" si="13"/>
        <v>89.463001009042785</v>
      </c>
      <c r="I277" s="116">
        <f t="shared" si="13"/>
        <v>74.109696072199284</v>
      </c>
      <c r="J277" s="116">
        <f t="shared" si="13"/>
        <v>74.640140814787188</v>
      </c>
      <c r="K277" s="116">
        <f t="shared" si="13"/>
        <v>15.133272735329406</v>
      </c>
    </row>
    <row r="278" spans="3:11" x14ac:dyDescent="0.2">
      <c r="C278" s="87" t="s">
        <v>135</v>
      </c>
      <c r="D278" s="47" t="str">
        <f t="shared" si="13"/>
        <v xml:space="preserve"> </v>
      </c>
      <c r="E278" s="47" t="str">
        <f t="shared" si="13"/>
        <v xml:space="preserve"> </v>
      </c>
      <c r="F278" s="47" t="str">
        <f t="shared" si="13"/>
        <v xml:space="preserve"> </v>
      </c>
      <c r="G278" s="47" t="str">
        <f t="shared" si="13"/>
        <v xml:space="preserve"> </v>
      </c>
      <c r="H278" s="47">
        <f t="shared" si="13"/>
        <v>0.42555537840000002</v>
      </c>
      <c r="I278" s="47">
        <f t="shared" si="13"/>
        <v>38.355376656699278</v>
      </c>
      <c r="J278" s="47">
        <f t="shared" si="13"/>
        <v>95.653898908120667</v>
      </c>
      <c r="K278" s="47">
        <f t="shared" si="13"/>
        <v>18.57504487531914</v>
      </c>
    </row>
    <row r="279" spans="3:11" x14ac:dyDescent="0.2">
      <c r="C279" s="88" t="s">
        <v>136</v>
      </c>
      <c r="D279" s="116">
        <f t="shared" si="13"/>
        <v>93.936068865208426</v>
      </c>
      <c r="E279" s="116">
        <f t="shared" si="13"/>
        <v>98.175772939697353</v>
      </c>
      <c r="F279" s="116">
        <f t="shared" si="13"/>
        <v>96.753141626896593</v>
      </c>
      <c r="G279" s="116">
        <f t="shared" si="13"/>
        <v>93.264212997837376</v>
      </c>
      <c r="H279" s="116">
        <f t="shared" si="13"/>
        <v>88.852934507555346</v>
      </c>
      <c r="I279" s="116">
        <f t="shared" si="13"/>
        <v>48.030152880055248</v>
      </c>
      <c r="J279" s="116">
        <f t="shared" si="13"/>
        <v>55.061783086914865</v>
      </c>
      <c r="K279" s="116">
        <f t="shared" si="13"/>
        <v>8.1247186316632369</v>
      </c>
    </row>
    <row r="280" spans="3:11" x14ac:dyDescent="0.2">
      <c r="C280" s="87" t="s">
        <v>137</v>
      </c>
      <c r="D280" s="47">
        <f t="shared" si="13"/>
        <v>89.768355745535757</v>
      </c>
      <c r="E280" s="47">
        <f t="shared" si="13"/>
        <v>87.820221536522595</v>
      </c>
      <c r="F280" s="47">
        <f t="shared" si="13"/>
        <v>79.671407318582681</v>
      </c>
      <c r="G280" s="47">
        <f t="shared" si="13"/>
        <v>86.590986894346884</v>
      </c>
      <c r="H280" s="47">
        <f t="shared" si="13"/>
        <v>90.93089147895158</v>
      </c>
      <c r="I280" s="47">
        <f t="shared" si="13"/>
        <v>93.784180997859551</v>
      </c>
      <c r="J280" s="47">
        <f t="shared" si="13"/>
        <v>93.500154221437128</v>
      </c>
      <c r="K280" s="47">
        <f t="shared" si="13"/>
        <v>26.127127076721656</v>
      </c>
    </row>
    <row r="281" spans="3:11" x14ac:dyDescent="0.2">
      <c r="C281" s="88" t="s">
        <v>138</v>
      </c>
      <c r="D281" s="116">
        <f t="shared" si="13"/>
        <v>95.317949236626845</v>
      </c>
      <c r="E281" s="116">
        <f t="shared" si="13"/>
        <v>98.028113822928461</v>
      </c>
      <c r="F281" s="116">
        <f t="shared" si="13"/>
        <v>94.611263222058611</v>
      </c>
      <c r="G281" s="116">
        <f t="shared" si="13"/>
        <v>94.335103290489769</v>
      </c>
      <c r="H281" s="116">
        <f t="shared" si="13"/>
        <v>88.10958910991863</v>
      </c>
      <c r="I281" s="116">
        <f t="shared" si="13"/>
        <v>94.620839309417619</v>
      </c>
      <c r="J281" s="116">
        <f t="shared" si="13"/>
        <v>96.140341651529283</v>
      </c>
      <c r="K281" s="116">
        <f t="shared" si="13"/>
        <v>24.939312863612997</v>
      </c>
    </row>
    <row r="282" spans="3:11" x14ac:dyDescent="0.2">
      <c r="C282" s="87" t="s">
        <v>160</v>
      </c>
      <c r="D282" s="47">
        <f t="shared" si="13"/>
        <v>86.803237363186625</v>
      </c>
      <c r="E282" s="47">
        <f t="shared" si="13"/>
        <v>83.282410366945257</v>
      </c>
      <c r="F282" s="47">
        <f t="shared" si="13"/>
        <v>80.741657482229044</v>
      </c>
      <c r="G282" s="47">
        <f t="shared" si="13"/>
        <v>70.232902352665064</v>
      </c>
      <c r="H282" s="47">
        <f t="shared" si="13"/>
        <v>72.451793180410334</v>
      </c>
      <c r="I282" s="47">
        <f t="shared" si="13"/>
        <v>75.047484445495442</v>
      </c>
      <c r="J282" s="47">
        <f t="shared" si="13"/>
        <v>81.027123382063806</v>
      </c>
      <c r="K282" s="47">
        <f t="shared" si="13"/>
        <v>23.484832103702811</v>
      </c>
    </row>
    <row r="283" spans="3:11" x14ac:dyDescent="0.2">
      <c r="C283" s="88" t="s">
        <v>161</v>
      </c>
      <c r="D283" s="116">
        <f t="shared" si="13"/>
        <v>85.568461315888555</v>
      </c>
      <c r="E283" s="116">
        <f t="shared" si="13"/>
        <v>88.7739397259909</v>
      </c>
      <c r="F283" s="116">
        <f t="shared" si="13"/>
        <v>75.2240532537853</v>
      </c>
      <c r="G283" s="116">
        <f t="shared" si="13"/>
        <v>78.138844790873961</v>
      </c>
      <c r="H283" s="116">
        <f t="shared" si="13"/>
        <v>75.877343300046235</v>
      </c>
      <c r="I283" s="116">
        <f t="shared" si="13"/>
        <v>84.164831502824683</v>
      </c>
      <c r="J283" s="116">
        <f t="shared" si="13"/>
        <v>88.509723528293023</v>
      </c>
      <c r="K283" s="116">
        <f t="shared" si="13"/>
        <v>22.01775985478945</v>
      </c>
    </row>
    <row r="284" spans="3:11" x14ac:dyDescent="0.2">
      <c r="C284" s="87" t="s">
        <v>140</v>
      </c>
      <c r="D284" s="47">
        <f t="shared" si="13"/>
        <v>88.86918397945</v>
      </c>
      <c r="E284" s="47">
        <f t="shared" si="13"/>
        <v>92.641795169377488</v>
      </c>
      <c r="F284" s="47">
        <f t="shared" si="13"/>
        <v>90.466310539051932</v>
      </c>
      <c r="G284" s="47">
        <f t="shared" si="13"/>
        <v>90.618898273103994</v>
      </c>
      <c r="H284" s="47">
        <f t="shared" si="13"/>
        <v>95.049236974218772</v>
      </c>
      <c r="I284" s="47">
        <f t="shared" si="13"/>
        <v>97.902687943964864</v>
      </c>
      <c r="J284" s="47">
        <f t="shared" si="13"/>
        <v>97.09983059079498</v>
      </c>
      <c r="K284" s="47">
        <f t="shared" si="13"/>
        <v>56.140288010247019</v>
      </c>
    </row>
    <row r="285" spans="3:11" x14ac:dyDescent="0.2">
      <c r="C285" s="88" t="s">
        <v>141</v>
      </c>
      <c r="D285" s="116">
        <f t="shared" si="13"/>
        <v>92.050339652791052</v>
      </c>
      <c r="E285" s="116">
        <f t="shared" si="13"/>
        <v>82.19018394005117</v>
      </c>
      <c r="F285" s="116">
        <f t="shared" si="13"/>
        <v>86.326712459135194</v>
      </c>
      <c r="G285" s="116">
        <f t="shared" si="13"/>
        <v>90.620650315940253</v>
      </c>
      <c r="H285" s="116">
        <f t="shared" si="13"/>
        <v>85.749284044128231</v>
      </c>
      <c r="I285" s="116">
        <f t="shared" si="13"/>
        <v>89.882956053919187</v>
      </c>
      <c r="J285" s="116">
        <f t="shared" si="13"/>
        <v>93.210561619411948</v>
      </c>
      <c r="K285" s="116">
        <f t="shared" si="13"/>
        <v>25.218547933921087</v>
      </c>
    </row>
    <row r="286" spans="3:11" x14ac:dyDescent="0.2">
      <c r="C286" s="87" t="s">
        <v>142</v>
      </c>
      <c r="D286" s="47">
        <f t="shared" ref="D286:K295" si="14">+IFERROR(IF(D244&gt;0,+((D244/D35)*100)," "),"")</f>
        <v>93.642101791151134</v>
      </c>
      <c r="E286" s="47">
        <f t="shared" si="14"/>
        <v>86.381301539599576</v>
      </c>
      <c r="F286" s="47">
        <f t="shared" si="14"/>
        <v>50.196940159479887</v>
      </c>
      <c r="G286" s="47">
        <f t="shared" si="14"/>
        <v>81.547836489161654</v>
      </c>
      <c r="H286" s="47">
        <f t="shared" si="14"/>
        <v>90.269224469519159</v>
      </c>
      <c r="I286" s="47">
        <f t="shared" si="14"/>
        <v>88.906840364623406</v>
      </c>
      <c r="J286" s="47">
        <f t="shared" si="14"/>
        <v>88.897042753040665</v>
      </c>
      <c r="K286" s="47">
        <f t="shared" si="14"/>
        <v>32.821279358800275</v>
      </c>
    </row>
    <row r="287" spans="3:11" x14ac:dyDescent="0.2">
      <c r="C287" s="88" t="s">
        <v>143</v>
      </c>
      <c r="D287" s="116">
        <f t="shared" si="14"/>
        <v>43.056586832752373</v>
      </c>
      <c r="E287" s="116">
        <f t="shared" si="14"/>
        <v>37.420560118649867</v>
      </c>
      <c r="F287" s="116">
        <f t="shared" si="14"/>
        <v>56.324941764336856</v>
      </c>
      <c r="G287" s="116">
        <f t="shared" si="14"/>
        <v>19.269233910247184</v>
      </c>
      <c r="H287" s="116">
        <f t="shared" si="14"/>
        <v>22.108931829028304</v>
      </c>
      <c r="I287" s="116">
        <f t="shared" si="14"/>
        <v>33.708188772173706</v>
      </c>
      <c r="J287" s="116">
        <f t="shared" si="14"/>
        <v>37.044056959243363</v>
      </c>
      <c r="K287" s="116">
        <f t="shared" si="14"/>
        <v>2.3575583709450463</v>
      </c>
    </row>
    <row r="288" spans="3:11" x14ac:dyDescent="0.2">
      <c r="C288" s="87" t="s">
        <v>144</v>
      </c>
      <c r="D288" s="47">
        <f t="shared" si="14"/>
        <v>95.677073021213772</v>
      </c>
      <c r="E288" s="47">
        <f t="shared" si="14"/>
        <v>93.569722459338479</v>
      </c>
      <c r="F288" s="47">
        <f t="shared" si="14"/>
        <v>93.819417833232151</v>
      </c>
      <c r="G288" s="47">
        <f t="shared" si="14"/>
        <v>94.383416720015617</v>
      </c>
      <c r="H288" s="47">
        <f t="shared" si="14"/>
        <v>87.154865817269638</v>
      </c>
      <c r="I288" s="47">
        <f t="shared" si="14"/>
        <v>93.294750871859904</v>
      </c>
      <c r="J288" s="47">
        <f t="shared" si="14"/>
        <v>92.602783651711391</v>
      </c>
      <c r="K288" s="47">
        <f t="shared" si="14"/>
        <v>25.166969134658579</v>
      </c>
    </row>
    <row r="289" spans="1:11" x14ac:dyDescent="0.2">
      <c r="C289" s="88" t="s">
        <v>145</v>
      </c>
      <c r="D289" s="116">
        <f t="shared" si="14"/>
        <v>91.765866466732476</v>
      </c>
      <c r="E289" s="116">
        <f t="shared" si="14"/>
        <v>92.106580251007713</v>
      </c>
      <c r="F289" s="116">
        <f t="shared" si="14"/>
        <v>85.158533454768346</v>
      </c>
      <c r="G289" s="116">
        <f t="shared" si="14"/>
        <v>92.944235242074697</v>
      </c>
      <c r="H289" s="116">
        <f t="shared" si="14"/>
        <v>79.051668989690853</v>
      </c>
      <c r="I289" s="116">
        <f t="shared" si="14"/>
        <v>58.37795019598925</v>
      </c>
      <c r="J289" s="116">
        <f t="shared" si="14"/>
        <v>72.776916543453666</v>
      </c>
      <c r="K289" s="116">
        <f t="shared" si="14"/>
        <v>9.9950381265330304</v>
      </c>
    </row>
    <row r="290" spans="1:11" x14ac:dyDescent="0.2">
      <c r="C290" s="87" t="s">
        <v>146</v>
      </c>
      <c r="D290" s="47">
        <f t="shared" si="14"/>
        <v>92.764988480538079</v>
      </c>
      <c r="E290" s="47">
        <f t="shared" si="14"/>
        <v>84.900047341173703</v>
      </c>
      <c r="F290" s="47">
        <f t="shared" si="14"/>
        <v>91.569232359634512</v>
      </c>
      <c r="G290" s="47">
        <f t="shared" si="14"/>
        <v>94.987799529664869</v>
      </c>
      <c r="H290" s="47">
        <f t="shared" si="14"/>
        <v>92.76990129109366</v>
      </c>
      <c r="I290" s="47">
        <f t="shared" si="14"/>
        <v>91.060808309506186</v>
      </c>
      <c r="J290" s="47">
        <f t="shared" si="14"/>
        <v>91.997380951586067</v>
      </c>
      <c r="K290" s="47">
        <f t="shared" si="14"/>
        <v>29.821828938116617</v>
      </c>
    </row>
    <row r="291" spans="1:11" x14ac:dyDescent="0.2">
      <c r="C291" s="88" t="s">
        <v>162</v>
      </c>
      <c r="D291" s="116">
        <f t="shared" si="14"/>
        <v>99.449404216551855</v>
      </c>
      <c r="E291" s="116">
        <f t="shared" si="14"/>
        <v>97.362016828621876</v>
      </c>
      <c r="F291" s="116">
        <f t="shared" si="14"/>
        <v>99.249543469521328</v>
      </c>
      <c r="G291" s="116">
        <f t="shared" si="14"/>
        <v>99.707667041067367</v>
      </c>
      <c r="H291" s="116">
        <f t="shared" si="14"/>
        <v>93.969457620241997</v>
      </c>
      <c r="I291" s="116">
        <f t="shared" si="14"/>
        <v>95.699374176904087</v>
      </c>
      <c r="J291" s="116">
        <f t="shared" si="14"/>
        <v>97.811098596769668</v>
      </c>
      <c r="K291" s="116">
        <f t="shared" si="14"/>
        <v>30.511932337210894</v>
      </c>
    </row>
    <row r="292" spans="1:11" x14ac:dyDescent="0.2">
      <c r="C292" s="87" t="s">
        <v>148</v>
      </c>
      <c r="D292" s="47">
        <f t="shared" si="14"/>
        <v>93.050883274572556</v>
      </c>
      <c r="E292" s="47">
        <f t="shared" si="14"/>
        <v>96.062097566914474</v>
      </c>
      <c r="F292" s="47">
        <f t="shared" si="14"/>
        <v>96.773095340898465</v>
      </c>
      <c r="G292" s="47">
        <f t="shared" si="14"/>
        <v>98.069737810301817</v>
      </c>
      <c r="H292" s="47">
        <f t="shared" si="14"/>
        <v>89.330663989037802</v>
      </c>
      <c r="I292" s="47">
        <f t="shared" si="14"/>
        <v>95.450350427727926</v>
      </c>
      <c r="J292" s="47">
        <f t="shared" si="14"/>
        <v>91.116606064679189</v>
      </c>
      <c r="K292" s="47">
        <f t="shared" si="14"/>
        <v>29.773141984829305</v>
      </c>
    </row>
    <row r="293" spans="1:11" x14ac:dyDescent="0.2">
      <c r="C293" s="88" t="s">
        <v>149</v>
      </c>
      <c r="D293" s="116">
        <f t="shared" si="14"/>
        <v>89.001837716179793</v>
      </c>
      <c r="E293" s="116">
        <f t="shared" si="14"/>
        <v>92.3775708396483</v>
      </c>
      <c r="F293" s="116">
        <f t="shared" si="14"/>
        <v>81.977419886343455</v>
      </c>
      <c r="G293" s="116">
        <f t="shared" si="14"/>
        <v>82.862741189670828</v>
      </c>
      <c r="H293" s="116">
        <f t="shared" si="14"/>
        <v>93.927235774912305</v>
      </c>
      <c r="I293" s="116">
        <f t="shared" si="14"/>
        <v>93.678783700271666</v>
      </c>
      <c r="J293" s="116">
        <f t="shared" si="14"/>
        <v>80.22272580150026</v>
      </c>
      <c r="K293" s="116">
        <f t="shared" si="14"/>
        <v>24.607111000674024</v>
      </c>
    </row>
    <row r="294" spans="1:11" x14ac:dyDescent="0.2">
      <c r="C294" s="87" t="s">
        <v>163</v>
      </c>
      <c r="D294" s="47">
        <f t="shared" si="14"/>
        <v>79.805561759283549</v>
      </c>
      <c r="E294" s="47">
        <f t="shared" si="14"/>
        <v>86.240601975885284</v>
      </c>
      <c r="F294" s="47">
        <f t="shared" si="14"/>
        <v>94.018476923006844</v>
      </c>
      <c r="G294" s="47">
        <f t="shared" si="14"/>
        <v>60.788601820883223</v>
      </c>
      <c r="H294" s="47">
        <f t="shared" si="14"/>
        <v>75.369424184316145</v>
      </c>
      <c r="I294" s="47">
        <f t="shared" si="14"/>
        <v>80.128087479170688</v>
      </c>
      <c r="J294" s="47">
        <f t="shared" si="14"/>
        <v>85.840743681189409</v>
      </c>
      <c r="K294" s="47">
        <f t="shared" si="14"/>
        <v>16.311007368081086</v>
      </c>
    </row>
    <row r="295" spans="1:11" x14ac:dyDescent="0.2">
      <c r="C295" s="88" t="s">
        <v>150</v>
      </c>
      <c r="D295" s="116">
        <f t="shared" si="14"/>
        <v>91.267463221545427</v>
      </c>
      <c r="E295" s="116">
        <f t="shared" si="14"/>
        <v>89.585257500553155</v>
      </c>
      <c r="F295" s="116">
        <f t="shared" si="14"/>
        <v>82.466346364759815</v>
      </c>
      <c r="G295" s="116">
        <f t="shared" si="14"/>
        <v>83.790394312645034</v>
      </c>
      <c r="H295" s="116">
        <f t="shared" si="14"/>
        <v>84.847079204015543</v>
      </c>
      <c r="I295" s="116">
        <f t="shared" si="14"/>
        <v>80.082385003453865</v>
      </c>
      <c r="J295" s="116">
        <f t="shared" si="14"/>
        <v>91.663593646489048</v>
      </c>
      <c r="K295" s="116">
        <f t="shared" si="14"/>
        <v>29.914784551858993</v>
      </c>
    </row>
    <row r="296" spans="1:11" x14ac:dyDescent="0.2">
      <c r="C296" s="87" t="s">
        <v>151</v>
      </c>
      <c r="D296" s="47">
        <f t="shared" ref="D296:K297" si="15">+IFERROR(IF(D254&gt;0,+((D254/D45)*100)," "),"")</f>
        <v>99.566539464255456</v>
      </c>
      <c r="E296" s="47">
        <f t="shared" si="15"/>
        <v>98.413423970951371</v>
      </c>
      <c r="F296" s="47">
        <f t="shared" si="15"/>
        <v>99.111409054763044</v>
      </c>
      <c r="G296" s="47">
        <f t="shared" si="15"/>
        <v>99.505596274293609</v>
      </c>
      <c r="H296" s="47">
        <f t="shared" si="15"/>
        <v>99.349479125513312</v>
      </c>
      <c r="I296" s="47">
        <f t="shared" si="15"/>
        <v>99.520669243819157</v>
      </c>
      <c r="J296" s="47">
        <f t="shared" si="15"/>
        <v>99.760475221886765</v>
      </c>
      <c r="K296" s="47">
        <f t="shared" si="15"/>
        <v>29.095865156898881</v>
      </c>
    </row>
    <row r="297" spans="1:11" x14ac:dyDescent="0.2">
      <c r="C297" s="91" t="s">
        <v>179</v>
      </c>
      <c r="D297" s="64">
        <f t="shared" si="15"/>
        <v>94.064335759928525</v>
      </c>
      <c r="E297" s="64">
        <f t="shared" si="15"/>
        <v>84.236202038953152</v>
      </c>
      <c r="F297" s="64">
        <f t="shared" si="15"/>
        <v>93.274233169091886</v>
      </c>
      <c r="G297" s="64">
        <f t="shared" si="15"/>
        <v>88.86234523275796</v>
      </c>
      <c r="H297" s="64">
        <f t="shared" si="15"/>
        <v>90.213011281874955</v>
      </c>
      <c r="I297" s="64">
        <f t="shared" si="15"/>
        <v>89.542591915978974</v>
      </c>
      <c r="J297" s="64">
        <f t="shared" si="15"/>
        <v>91.770080926884219</v>
      </c>
      <c r="K297" s="64">
        <f t="shared" si="15"/>
        <v>25.069529857711569</v>
      </c>
    </row>
    <row r="298" spans="1:11" s="31" customFormat="1" x14ac:dyDescent="0.2">
      <c r="A298" s="5"/>
      <c r="B298" s="5"/>
      <c r="C298" s="72" t="str">
        <f>+'C1 Aprop Resumen 2000-2026'!B20</f>
        <v>* Información con corte a 30 de abril</v>
      </c>
      <c r="D298" s="47"/>
      <c r="E298" s="47"/>
      <c r="F298" s="47"/>
      <c r="G298" s="47"/>
      <c r="H298" s="47"/>
      <c r="I298" s="47"/>
      <c r="K298" s="60"/>
    </row>
    <row r="299" spans="1:11" x14ac:dyDescent="0.2">
      <c r="C299" s="1" t="s">
        <v>52</v>
      </c>
      <c r="D299" s="11"/>
      <c r="K299" s="60" t="str">
        <f>+IFERROR(IF(K257&gt;0,+((K257/K48)*100)," "),"")</f>
        <v xml:space="preserve"> </v>
      </c>
    </row>
  </sheetData>
  <mergeCells count="82">
    <mergeCell ref="A9:C9"/>
    <mergeCell ref="D178:L178"/>
    <mergeCell ref="C13:C14"/>
    <mergeCell ref="H181:H182"/>
    <mergeCell ref="J181:J182"/>
    <mergeCell ref="C55:C56"/>
    <mergeCell ref="D97:D98"/>
    <mergeCell ref="F97:F98"/>
    <mergeCell ref="I55:I56"/>
    <mergeCell ref="I13:I14"/>
    <mergeCell ref="C181:C182"/>
    <mergeCell ref="I181:I182"/>
    <mergeCell ref="D13:D14"/>
    <mergeCell ref="I264:I265"/>
    <mergeCell ref="K264:K265"/>
    <mergeCell ref="D137:L137"/>
    <mergeCell ref="K13:K14"/>
    <mergeCell ref="H264:H265"/>
    <mergeCell ref="J264:J265"/>
    <mergeCell ref="D55:D56"/>
    <mergeCell ref="E97:E98"/>
    <mergeCell ref="H97:H98"/>
    <mergeCell ref="I139:I140"/>
    <mergeCell ref="F139:F140"/>
    <mergeCell ref="D220:L220"/>
    <mergeCell ref="G55:G56"/>
    <mergeCell ref="D181:D182"/>
    <mergeCell ref="F181:F182"/>
    <mergeCell ref="D264:D265"/>
    <mergeCell ref="F264:F265"/>
    <mergeCell ref="D94:L94"/>
    <mergeCell ref="I97:I98"/>
    <mergeCell ref="J55:J56"/>
    <mergeCell ref="G139:G140"/>
    <mergeCell ref="E181:E182"/>
    <mergeCell ref="G181:G182"/>
    <mergeCell ref="F222:F223"/>
    <mergeCell ref="K139:K140"/>
    <mergeCell ref="I222:I223"/>
    <mergeCell ref="G264:G265"/>
    <mergeCell ref="C264:C265"/>
    <mergeCell ref="E264:E265"/>
    <mergeCell ref="D261:L261"/>
    <mergeCell ref="K222:K223"/>
    <mergeCell ref="H8:H9"/>
    <mergeCell ref="J8:J9"/>
    <mergeCell ref="K55:K56"/>
    <mergeCell ref="D11:L11"/>
    <mergeCell ref="E55:E56"/>
    <mergeCell ref="E13:E14"/>
    <mergeCell ref="G13:G14"/>
    <mergeCell ref="C97:C98"/>
    <mergeCell ref="D139:D140"/>
    <mergeCell ref="H222:H223"/>
    <mergeCell ref="C139:C140"/>
    <mergeCell ref="J222:J223"/>
    <mergeCell ref="A7:C8"/>
    <mergeCell ref="F13:F14"/>
    <mergeCell ref="H13:H14"/>
    <mergeCell ref="C222:C223"/>
    <mergeCell ref="E222:E223"/>
    <mergeCell ref="G222:G223"/>
    <mergeCell ref="H139:H140"/>
    <mergeCell ref="D8:D9"/>
    <mergeCell ref="D52:L52"/>
    <mergeCell ref="K181:K182"/>
    <mergeCell ref="F8:F9"/>
    <mergeCell ref="I8:I9"/>
    <mergeCell ref="K8:K9"/>
    <mergeCell ref="E139:E140"/>
    <mergeCell ref="K97:K98"/>
    <mergeCell ref="D222:D223"/>
    <mergeCell ref="D2:K4"/>
    <mergeCell ref="J139:J140"/>
    <mergeCell ref="D6:K6"/>
    <mergeCell ref="J97:J98"/>
    <mergeCell ref="E8:E9"/>
    <mergeCell ref="G8:G9"/>
    <mergeCell ref="F55:F56"/>
    <mergeCell ref="H55:H56"/>
    <mergeCell ref="G97:G98"/>
    <mergeCell ref="J13:J14"/>
  </mergeCells>
  <pageMargins left="0.7" right="0.7" top="0.75" bottom="0.75" header="0.3" footer="0.3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V277"/>
  <sheetViews>
    <sheetView showGridLines="0" zoomScaleNormal="100" workbookViewId="0">
      <pane xSplit="3" ySplit="7" topLeftCell="D1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79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20.25" customHeight="1" x14ac:dyDescent="0.25">
      <c r="A5" s="165" t="s">
        <v>27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0.2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10" spans="1:22" ht="18" customHeight="1" x14ac:dyDescent="0.2">
      <c r="D10" s="155" t="s">
        <v>164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76" t="s">
        <v>120</v>
      </c>
      <c r="D12" s="153" t="s">
        <v>1</v>
      </c>
      <c r="E12" s="153" t="s">
        <v>2</v>
      </c>
      <c r="F12" s="153" t="s">
        <v>3</v>
      </c>
      <c r="G12" s="153" t="s">
        <v>4</v>
      </c>
      <c r="H12" s="153" t="s">
        <v>121</v>
      </c>
      <c r="I12" s="153" t="s">
        <v>5</v>
      </c>
      <c r="J12" s="153" t="s">
        <v>6</v>
      </c>
      <c r="K12" s="153" t="s">
        <v>7</v>
      </c>
      <c r="L12" s="153" t="s">
        <v>8</v>
      </c>
      <c r="M12" s="153" t="s">
        <v>122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9.9499999999999993" customHeight="1" thickBot="1" x14ac:dyDescent="0.25">
      <c r="C13" s="160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C14" s="87" t="s">
        <v>123</v>
      </c>
      <c r="D14" s="56">
        <f>226.147478655*Deflactores!$A$5</f>
        <v>842.10830036924449</v>
      </c>
      <c r="E14" s="56">
        <f>229.324387711*Deflactores!$B$5</f>
        <v>793.26674553253406</v>
      </c>
      <c r="F14" s="56">
        <f>233.160262339*Deflactores!$C$5</f>
        <v>753.82907360638205</v>
      </c>
      <c r="G14" s="56">
        <f>276.164926097*Deflactores!$D$5</f>
        <v>838.44096287210039</v>
      </c>
      <c r="H14" s="56">
        <f>265.073613227*Deflactores!$E$5</f>
        <v>762.83467532936356</v>
      </c>
      <c r="I14" s="56">
        <f>284.29359958*Deflactores!$F$5</f>
        <v>780.26330091949819</v>
      </c>
      <c r="J14" s="56">
        <f>392.9501*Deflactores!$G$5</f>
        <v>1032.2546935620489</v>
      </c>
      <c r="K14" s="56">
        <f>430.651948*Deflactores!$H$5</f>
        <v>1070.3446665598758</v>
      </c>
      <c r="L14" s="56">
        <f>736.4319*Deflactores!$I$5</f>
        <v>1699.8769340577339</v>
      </c>
      <c r="M14" s="56">
        <f>337.2967*Deflactores!$J$5</f>
        <v>763.28918826380334</v>
      </c>
      <c r="N14" s="56">
        <f>407.8586*Deflactores!$K$5</f>
        <v>894.59829738992414</v>
      </c>
      <c r="O14" s="56">
        <f>280.7302*Deflactores!$L$5</f>
        <v>593.63169270082653</v>
      </c>
      <c r="P14" s="56">
        <f>433.7912118*Deflactores!$M$5</f>
        <v>895.44542813984958</v>
      </c>
      <c r="Q14" s="56">
        <f>1399.788201392*Deflactores!$N$5</f>
        <v>2834.4974680858313</v>
      </c>
      <c r="R14" s="56">
        <f>403.162426402*Deflactores!$O$5</f>
        <v>787.55807832206222</v>
      </c>
      <c r="S14" s="56">
        <f>519.077663936*Deflactores!$P$5</f>
        <v>949.69825285536911</v>
      </c>
      <c r="T14" s="56">
        <f>517.399056735*Deflactores!$Q$5</f>
        <v>895.15564378533929</v>
      </c>
      <c r="U14" s="56">
        <f>584.735675535*Deflactores!$R$5</f>
        <v>971.90430216796244</v>
      </c>
      <c r="V14" s="56">
        <f>675.337306883*Deflactores!$S$5</f>
        <v>1087.9003865587663</v>
      </c>
    </row>
    <row r="15" spans="1:22" x14ac:dyDescent="0.2">
      <c r="C15" s="88" t="s">
        <v>124</v>
      </c>
      <c r="D15" s="57">
        <f>93.775796859*Deflactores!$A$5</f>
        <v>349.19415143768197</v>
      </c>
      <c r="E15" s="57">
        <f>97.251305587*Deflactores!$B$5</f>
        <v>336.40655253383227</v>
      </c>
      <c r="F15" s="57">
        <f>102.819736516*Deflactores!$C$5</f>
        <v>332.42588573526388</v>
      </c>
      <c r="G15" s="57">
        <f>110.4942676*Deflactores!$D$5</f>
        <v>335.46229576543578</v>
      </c>
      <c r="H15" s="57">
        <f>111.317485167*Deflactores!$E$5</f>
        <v>320.35190761567731</v>
      </c>
      <c r="I15" s="57">
        <f>118.847202884*Deflactores!$F$5</f>
        <v>326.18430722435033</v>
      </c>
      <c r="J15" s="57">
        <f>124.194613801*Deflactores!$G$5</f>
        <v>326.2512797711675</v>
      </c>
      <c r="K15" s="57">
        <f>134.082646611*Deflactores!$H$5</f>
        <v>333.2497306579383</v>
      </c>
      <c r="L15" s="57">
        <f>1053.453945815*Deflactores!$I$5</f>
        <v>2431.6465155610781</v>
      </c>
      <c r="M15" s="57">
        <f>1263.270433444*Deflactores!$J$5</f>
        <v>2858.7313890148753</v>
      </c>
      <c r="N15" s="57">
        <f>1397.872596732*Deflactores!$K$5</f>
        <v>3066.0980178044038</v>
      </c>
      <c r="O15" s="57">
        <f>1107.068853688*Deflactores!$L$5</f>
        <v>2341.0062670534594</v>
      </c>
      <c r="P15" s="57">
        <f>230.425748668*Deflactores!$M$5</f>
        <v>475.6520592344159</v>
      </c>
      <c r="Q15" s="57">
        <f>251.178179*Deflactores!$N$5</f>
        <v>508.62259855162876</v>
      </c>
      <c r="R15" s="57">
        <f>252.920629344*Deflactores!$O$5</f>
        <v>494.06807720606349</v>
      </c>
      <c r="S15" s="57">
        <f>254.100826172*Deflactores!$P$5</f>
        <v>464.89981640667901</v>
      </c>
      <c r="T15" s="57">
        <f>263.118971981*Deflactores!$Q$5</f>
        <v>455.22393148935146</v>
      </c>
      <c r="U15" s="57">
        <f>278.83379775*Deflactores!$R$5</f>
        <v>463.45687284277136</v>
      </c>
      <c r="V15" s="57">
        <f>292.088027472*Deflactores!$S$5</f>
        <v>470.52439537599497</v>
      </c>
    </row>
    <row r="16" spans="1:22" x14ac:dyDescent="0.2">
      <c r="C16" s="87" t="s">
        <v>125</v>
      </c>
      <c r="D16" s="56">
        <f>6.559897136*Deflactores!$A$5</f>
        <v>24.427174075291859</v>
      </c>
      <c r="E16" s="56">
        <f>3.732766761*Deflactores!$B$5</f>
        <v>12.912188580928911</v>
      </c>
      <c r="F16" s="56">
        <f>4.127397104*Deflactores!$C$5</f>
        <v>13.344263315291172</v>
      </c>
      <c r="G16" s="56">
        <f>4.541631518*Deflactores!$D$5</f>
        <v>13.78846313606355</v>
      </c>
      <c r="H16" s="56">
        <f>4.792757016*Deflactores!$E$5</f>
        <v>13.792701573437814</v>
      </c>
      <c r="I16" s="56">
        <f>4.803558529*Deflactores!$F$5</f>
        <v>13.183696149103257</v>
      </c>
      <c r="J16" s="56">
        <f>5.048685536*Deflactores!$G$5</f>
        <v>13.262572883566712</v>
      </c>
      <c r="K16" s="56">
        <f>5.491990493*Deflactores!$H$5</f>
        <v>13.649822693894079</v>
      </c>
      <c r="L16" s="56">
        <f>5.285664815*Deflactores!$I$5</f>
        <v>12.200693234743142</v>
      </c>
      <c r="M16" s="56">
        <f>25.837213018*Deflactores!$J$5</f>
        <v>58.46859857065958</v>
      </c>
      <c r="N16" s="56">
        <f>26.312060741*Deflactores!$K$5</f>
        <v>57.712954292783984</v>
      </c>
      <c r="O16" s="56">
        <f>10.479912615*Deflactores!$L$5</f>
        <v>22.160808723105653</v>
      </c>
      <c r="P16" s="56">
        <f>16.938482499*Deflactores!$M$5</f>
        <v>34.964946962432691</v>
      </c>
      <c r="Q16" s="56">
        <f>17.628*Deflactores!$N$5</f>
        <v>35.695772630265438</v>
      </c>
      <c r="R16" s="56">
        <f>22.785*Deflactores!$O$5</f>
        <v>44.509382917234994</v>
      </c>
      <c r="S16" s="56">
        <f>21.30448316*Deflactores!$P$5</f>
        <v>38.978426237067389</v>
      </c>
      <c r="T16" s="56">
        <f>21.872865769*Deflactores!$Q$5</f>
        <v>37.842394538627346</v>
      </c>
      <c r="U16" s="56">
        <f>23.431825456*Deflactores!$R$5</f>
        <v>38.946643622349058</v>
      </c>
      <c r="V16" s="56">
        <f>23.7000418*Deflactores!$S$5</f>
        <v>38.178380452104641</v>
      </c>
    </row>
    <row r="17" spans="3:22" x14ac:dyDescent="0.2">
      <c r="C17" s="88" t="s">
        <v>126</v>
      </c>
      <c r="D17" s="57">
        <f>119.401607607*Deflactores!$A$5</f>
        <v>444.61731539655676</v>
      </c>
      <c r="E17" s="57">
        <f>118.7445314*Deflactores!$B$5</f>
        <v>410.75477804031874</v>
      </c>
      <c r="F17" s="57">
        <f>117.558142188899*Deflactores!$C$5</f>
        <v>380.07653848106895</v>
      </c>
      <c r="G17" s="57">
        <f>121.92927106*Deflactores!$D$5</f>
        <v>370.17914213310479</v>
      </c>
      <c r="H17" s="57">
        <f>116.773985026*Deflactores!$E$5</f>
        <v>336.05474294395441</v>
      </c>
      <c r="I17" s="57">
        <f>130.088374508*Deflactores!$F$5</f>
        <v>357.0364744574598</v>
      </c>
      <c r="J17" s="57">
        <f>208.048776922*Deflactores!$G$5</f>
        <v>546.53078461509017</v>
      </c>
      <c r="K17" s="57">
        <f>192.846158052*Deflactores!$H$5</f>
        <v>479.3008778809031</v>
      </c>
      <c r="L17" s="57">
        <f>169.030876788*Deflactores!$I$5</f>
        <v>390.16735776312242</v>
      </c>
      <c r="M17" s="57">
        <f>207.19752*Deflactores!$J$5</f>
        <v>468.87985222231094</v>
      </c>
      <c r="N17" s="57">
        <f>145.269*Deflactores!$K$5</f>
        <v>318.63346773498682</v>
      </c>
      <c r="O17" s="57">
        <f>272.9286*Deflactores!$L$5</f>
        <v>577.13444012958632</v>
      </c>
      <c r="P17" s="57">
        <f>372.836020731*Deflactores!$M$5</f>
        <v>769.61981047083111</v>
      </c>
      <c r="Q17" s="57">
        <f>549.345123692*Deflactores!$N$5</f>
        <v>1112.3949756554728</v>
      </c>
      <c r="R17" s="57">
        <f>450.301311412*Deflactores!$O$5</f>
        <v>879.64158427780512</v>
      </c>
      <c r="S17" s="57">
        <f>406.16963459*Deflactores!$P$5</f>
        <v>743.12307990310001</v>
      </c>
      <c r="T17" s="57">
        <f>376.69049176*Deflactores!$Q$5</f>
        <v>651.71479396790482</v>
      </c>
      <c r="U17" s="57">
        <f>441.265262397*Deflactores!$R$5</f>
        <v>733.43841476497835</v>
      </c>
      <c r="V17" s="57">
        <f>390.246565032*Deflactores!$S$5</f>
        <v>628.64791360489028</v>
      </c>
    </row>
    <row r="18" spans="3:22" x14ac:dyDescent="0.2">
      <c r="C18" s="87" t="s">
        <v>127</v>
      </c>
      <c r="D18" s="56">
        <f>194.10744778*Deflactores!$A$5</f>
        <v>722.80042170354602</v>
      </c>
      <c r="E18" s="56">
        <f>198.518820268*Deflactores!$B$5</f>
        <v>686.70576231696907</v>
      </c>
      <c r="F18" s="56">
        <f>194.468797251*Deflactores!$C$5</f>
        <v>628.73592526640402</v>
      </c>
      <c r="G18" s="56">
        <f>213.374907985*Deflactores!$D$5</f>
        <v>647.80950221336832</v>
      </c>
      <c r="H18" s="56">
        <f>230.193360479*Deflactores!$E$5</f>
        <v>662.4555166628212</v>
      </c>
      <c r="I18" s="56">
        <f>243.807433626*Deflactores!$F$5</f>
        <v>669.14623906685085</v>
      </c>
      <c r="J18" s="56">
        <f>259.254682913*Deflactores!$G$5</f>
        <v>681.04541331045584</v>
      </c>
      <c r="K18" s="56">
        <f>276.467705615*Deflactores!$H$5</f>
        <v>687.13432170765668</v>
      </c>
      <c r="L18" s="56">
        <f>302.109*Deflactores!$I$5</f>
        <v>697.34638147973749</v>
      </c>
      <c r="M18" s="56">
        <f>328.419350642*Deflactores!$J$5</f>
        <v>743.20009523264696</v>
      </c>
      <c r="N18" s="56">
        <f>339.682733535*Deflactores!$K$5</f>
        <v>745.06114391891276</v>
      </c>
      <c r="O18" s="56">
        <f>353.797018673*Deflactores!$L$5</f>
        <v>748.13868642333068</v>
      </c>
      <c r="P18" s="56">
        <f>382.936160401*Deflactores!$M$5</f>
        <v>790.4688356356038</v>
      </c>
      <c r="Q18" s="56">
        <f>405.385*Deflactores!$N$5</f>
        <v>820.88329859996327</v>
      </c>
      <c r="R18" s="56">
        <f>411.6535*Deflactores!$O$5</f>
        <v>804.14497523458397</v>
      </c>
      <c r="S18" s="56">
        <f>420.938028437*Deflactores!$P$5</f>
        <v>770.1431557191637</v>
      </c>
      <c r="T18" s="56">
        <f>448.293177029*Deflactores!$Q$5</f>
        <v>775.5950890600526</v>
      </c>
      <c r="U18" s="56">
        <f>486.381577794*Deflactores!$R$5</f>
        <v>808.4274104204801</v>
      </c>
      <c r="V18" s="56">
        <f>515.535488892*Deflactores!$S$5</f>
        <v>830.47575179722003</v>
      </c>
    </row>
    <row r="19" spans="3:22" x14ac:dyDescent="0.2">
      <c r="C19" s="88" t="s">
        <v>128</v>
      </c>
      <c r="D19" s="57">
        <f>39.907327219*Deflactores!$A$5</f>
        <v>148.60343213438858</v>
      </c>
      <c r="E19" s="57">
        <f>42.814156713*Deflactores!$B$5</f>
        <v>148.10045759826662</v>
      </c>
      <c r="F19" s="57">
        <f>49.465568195*Deflactores!$C$5</f>
        <v>159.92683776292449</v>
      </c>
      <c r="G19" s="57">
        <f>53.926091843*Deflactores!$D$5</f>
        <v>163.72044418447751</v>
      </c>
      <c r="H19" s="57">
        <f>59.641121198*Deflactores!$E$5</f>
        <v>171.63653059044415</v>
      </c>
      <c r="I19" s="57">
        <f>71.563549296*Deflactores!$F$5</f>
        <v>196.41107390987645</v>
      </c>
      <c r="J19" s="57">
        <f>73.690468468*Deflactores!$G$5</f>
        <v>193.58013128608229</v>
      </c>
      <c r="K19" s="57">
        <f>84.186701502*Deflactores!$H$5</f>
        <v>209.23808046477009</v>
      </c>
      <c r="L19" s="57">
        <f>105.96497785*Deflactores!$I$5</f>
        <v>244.59481136701663</v>
      </c>
      <c r="M19" s="57">
        <f>104.662230912*Deflactores!$J$5</f>
        <v>236.84651902820048</v>
      </c>
      <c r="N19" s="57">
        <f>115.408069204*Deflactores!$K$5</f>
        <v>253.13641103793555</v>
      </c>
      <c r="O19" s="57">
        <f>121.526855763*Deflactores!$L$5</f>
        <v>256.98052113808518</v>
      </c>
      <c r="P19" s="57">
        <f>153.143769183*Deflactores!$M$5</f>
        <v>316.1241727189406</v>
      </c>
      <c r="Q19" s="57">
        <f>213.904187454*Deflactores!$N$5</f>
        <v>433.14472657247904</v>
      </c>
      <c r="R19" s="57">
        <f>198.124438357*Deflactores!$O$5</f>
        <v>387.02639859968548</v>
      </c>
      <c r="S19" s="57">
        <f>218.294458603*Deflactores!$P$5</f>
        <v>399.38891681696145</v>
      </c>
      <c r="T19" s="57">
        <f>205.981609702*Deflactores!$Q$5</f>
        <v>356.37019055327033</v>
      </c>
      <c r="U19" s="57">
        <f>213.104884948*Deflactores!$R$5</f>
        <v>354.20714548410109</v>
      </c>
      <c r="V19" s="57">
        <f>257.852744855*Deflactores!$S$5</f>
        <v>415.37480299691526</v>
      </c>
    </row>
    <row r="20" spans="3:22" x14ac:dyDescent="0.2">
      <c r="C20" s="87" t="s">
        <v>129</v>
      </c>
      <c r="D20" s="56">
        <f>5510.544482964*Deflactores!$A$5</f>
        <v>20519.685986582335</v>
      </c>
      <c r="E20" s="56">
        <f>6197.875402664*Deflactores!$B$5</f>
        <v>21439.361504295786</v>
      </c>
      <c r="F20" s="56">
        <f>6953.92735701*Deflactores!$C$5</f>
        <v>22482.701661397554</v>
      </c>
      <c r="G20" s="56">
        <f>8021.8827487978*Deflactores!$D$5</f>
        <v>24354.559396824803</v>
      </c>
      <c r="H20" s="56">
        <f>9298.91988716411*Deflactores!$E$5</f>
        <v>26760.636212265799</v>
      </c>
      <c r="I20" s="56">
        <f>10157.060573865*Deflactores!$F$5</f>
        <v>27876.750031345877</v>
      </c>
      <c r="J20" s="56">
        <f>11090.89353162*Deflactores!$G$5</f>
        <v>29135.065505293707</v>
      </c>
      <c r="K20" s="56">
        <f>12533.9760557938*Deflactores!$H$5</f>
        <v>31152.011466364205</v>
      </c>
      <c r="L20" s="56">
        <f>14010.480768*Deflactores!$I$5</f>
        <v>32339.844448051044</v>
      </c>
      <c r="M20" s="56">
        <f>15926.4378829999*Deflactores!$J$5</f>
        <v>36040.90358325142</v>
      </c>
      <c r="N20" s="56">
        <f>17218.875126911*Deflactores!$K$5</f>
        <v>37767.933228585331</v>
      </c>
      <c r="O20" s="56">
        <f>18609.220561601*Deflactores!$L$5</f>
        <v>39351.032065044041</v>
      </c>
      <c r="P20" s="56">
        <f>20034.690008723*Deflactores!$M$5</f>
        <v>41356.235637114245</v>
      </c>
      <c r="Q20" s="56">
        <f>21482.654541711*Deflactores!$N$5</f>
        <v>43501.245292458298</v>
      </c>
      <c r="R20" s="56">
        <f>22731.1872424103*Deflactores!$O$5</f>
        <v>44404.262327663244</v>
      </c>
      <c r="S20" s="56">
        <f>23720.0366432213*Deflactores!$P$5</f>
        <v>43397.893846786799</v>
      </c>
      <c r="T20" s="56">
        <f>25696.6810217855*Deflactores!$Q$5</f>
        <v>44458.00343811659</v>
      </c>
      <c r="U20" s="56">
        <f>26855.9983896214*Deflactores!$R$5</f>
        <v>44638.050089910372</v>
      </c>
      <c r="V20" s="56">
        <f>28602.870050772*Deflactores!$S$5</f>
        <v>46076.342988579992</v>
      </c>
    </row>
    <row r="21" spans="3:22" x14ac:dyDescent="0.2">
      <c r="C21" s="88" t="s">
        <v>130</v>
      </c>
      <c r="D21" s="57">
        <f>5.923347078*Deflactores!$A$5</f>
        <v>22.056844365536005</v>
      </c>
      <c r="E21" s="57">
        <f>5.954537301*Deflactores!$B$5</f>
        <v>20.597619263543226</v>
      </c>
      <c r="F21" s="57">
        <f>5.289202718*Deflactores!$C$5</f>
        <v>17.100490216592874</v>
      </c>
      <c r="G21" s="57">
        <f>5.563113582*Deflactores!$D$5</f>
        <v>16.889698392114568</v>
      </c>
      <c r="H21" s="57">
        <f>6.757895187*Deflactores!$E$5</f>
        <v>19.448019431758048</v>
      </c>
      <c r="I21" s="57">
        <f>6.780885363*Deflactores!$F$5</f>
        <v>18.610605389314234</v>
      </c>
      <c r="J21" s="57">
        <f>5.960290708*Deflactores!$G$5</f>
        <v>15.657301164517497</v>
      </c>
      <c r="K21" s="57">
        <f>6.338986194*Deflactores!$H$5</f>
        <v>15.754950362246094</v>
      </c>
      <c r="L21" s="57">
        <f>6.690682211*Deflactores!$I$5</f>
        <v>15.443839903715876</v>
      </c>
      <c r="M21" s="57">
        <f>7.22001589*Deflactores!$J$5</f>
        <v>16.338612467687533</v>
      </c>
      <c r="N21" s="57">
        <f>10.763630097*Deflactores!$K$5</f>
        <v>23.608979088613417</v>
      </c>
      <c r="O21" s="57">
        <f>9.144921184*Deflactores!$L$5</f>
        <v>19.337837689260244</v>
      </c>
      <c r="P21" s="57">
        <f>20.479986817*Deflactores!$M$5</f>
        <v>42.275431278451371</v>
      </c>
      <c r="Q21" s="57">
        <f>24.652914916*Deflactores!$N$5</f>
        <v>49.920855770071213</v>
      </c>
      <c r="R21" s="57">
        <f>25.257295687*Deflactores!$O$5</f>
        <v>49.338891603533504</v>
      </c>
      <c r="S21" s="57">
        <f>28.6916633*Deflactores!$P$5</f>
        <v>52.493922202139139</v>
      </c>
      <c r="T21" s="57">
        <f>63.544100396*Deflactores!$Q$5</f>
        <v>109.93808233375887</v>
      </c>
      <c r="U21" s="57">
        <f>56.405723673*Deflactores!$R$5</f>
        <v>93.753413376955166</v>
      </c>
      <c r="V21" s="57">
        <f>38.074689811*Deflactores!$S$5</f>
        <v>61.334490692764511</v>
      </c>
    </row>
    <row r="22" spans="3:22" x14ac:dyDescent="0.2">
      <c r="C22" s="87" t="s">
        <v>131</v>
      </c>
      <c r="D22" s="56">
        <f>4969.312547057*Deflactores!$A$5</f>
        <v>18504.293604748578</v>
      </c>
      <c r="E22" s="56">
        <f>7461.1087733525*Deflactores!$B$5</f>
        <v>25809.071306277274</v>
      </c>
      <c r="F22" s="56">
        <f>8406.121610193*Deflactores!$C$5</f>
        <v>27177.782365080329</v>
      </c>
      <c r="G22" s="56">
        <f>9833.333853676*Deflactores!$D$5</f>
        <v>29854.152810205433</v>
      </c>
      <c r="H22" s="56">
        <f>11085.442595314*Deflactores!$E$5</f>
        <v>31901.930562348785</v>
      </c>
      <c r="I22" s="56">
        <f>11942.237262346*Deflactores!$F$5</f>
        <v>32776.290005993673</v>
      </c>
      <c r="J22" s="56">
        <f>12829.694502589*Deflactores!$G$5</f>
        <v>33702.784061550592</v>
      </c>
      <c r="K22" s="56">
        <f>13687.060361613*Deflactores!$H$5</f>
        <v>34017.893398535278</v>
      </c>
      <c r="L22" s="56">
        <f>15390.279790921*Deflactores!$I$5</f>
        <v>35524.780533381963</v>
      </c>
      <c r="M22" s="56">
        <f>17837.278249677*Deflactores!$J$5</f>
        <v>40365.06030456732</v>
      </c>
      <c r="N22" s="56">
        <f>19814.811063631*Deflactores!$K$5</f>
        <v>43461.867030944857</v>
      </c>
      <c r="O22" s="56">
        <f>20817.357216028*Deflactores!$L$5</f>
        <v>44020.354780883798</v>
      </c>
      <c r="P22" s="56">
        <f>22150.36265358*Deflactores!$M$5</f>
        <v>45723.47348275136</v>
      </c>
      <c r="Q22" s="56">
        <f>23694.570333369*Deflactores!$N$5</f>
        <v>47980.258406612913</v>
      </c>
      <c r="R22" s="56">
        <f>25015.108437232*Deflactores!$O$5</f>
        <v>48865.790658280224</v>
      </c>
      <c r="S22" s="56">
        <f>26588.391744854*Deflactores!$P$5</f>
        <v>48645.801853333636</v>
      </c>
      <c r="T22" s="56">
        <f>29000.868104154*Deflactores!$Q$5</f>
        <v>50174.600089006257</v>
      </c>
      <c r="U22" s="56">
        <f>32306.446969791*Deflactores!$R$5</f>
        <v>53697.381759669282</v>
      </c>
      <c r="V22" s="56">
        <f>34803.608247751*Deflactores!$S$5</f>
        <v>56065.10773279077</v>
      </c>
    </row>
    <row r="23" spans="3:22" x14ac:dyDescent="0.2">
      <c r="C23" s="88" t="s">
        <v>132</v>
      </c>
      <c r="D23" s="57">
        <f>7.672202772*Deflactores!$A$5</f>
        <v>28.569081003434309</v>
      </c>
      <c r="E23" s="57">
        <f>7.746850265*Deflactores!$B$5</f>
        <v>26.797493102167898</v>
      </c>
      <c r="F23" s="57">
        <f>7.252446*Deflactores!$C$5</f>
        <v>23.447840531297278</v>
      </c>
      <c r="G23" s="57">
        <f>7.789121*Deflactores!$D$5</f>
        <v>23.647891147746446</v>
      </c>
      <c r="H23" s="57">
        <f>7.3371408*Deflactores!$E$5</f>
        <v>21.114985199302826</v>
      </c>
      <c r="I23" s="57">
        <f>8.735347233*Deflactores!$F$5</f>
        <v>23.974760166138054</v>
      </c>
      <c r="J23" s="57">
        <f>9.285931*Deflactores!$G$5</f>
        <v>24.393544775388349</v>
      </c>
      <c r="K23" s="57">
        <f>9.811049*Deflactores!$H$5</f>
        <v>24.384433924603083</v>
      </c>
      <c r="L23" s="57">
        <f>10.617459135*Deflactores!$I$5</f>
        <v>24.507865400571429</v>
      </c>
      <c r="M23" s="57">
        <f>12.18410932*Deflactores!$J$5</f>
        <v>27.572160986396369</v>
      </c>
      <c r="N23" s="57">
        <f>13.9738678*Deflactores!$K$5</f>
        <v>30.650324259024782</v>
      </c>
      <c r="O23" s="57">
        <f>14.3252*Deflactores!$L$5</f>
        <v>30.292048109814619</v>
      </c>
      <c r="P23" s="57">
        <f>16.841026908*Deflactores!$M$5</f>
        <v>34.763776074148645</v>
      </c>
      <c r="Q23" s="57">
        <f>18.369671*Deflactores!$N$5</f>
        <v>37.197617387609526</v>
      </c>
      <c r="R23" s="57">
        <f>20.645985*Deflactores!$O$5</f>
        <v>40.330921749769139</v>
      </c>
      <c r="S23" s="57">
        <f>20.43087342*Deflactores!$P$5</f>
        <v>37.380080360528716</v>
      </c>
      <c r="T23" s="57">
        <f>21.830620029*Deflactores!$Q$5</f>
        <v>37.76930489516041</v>
      </c>
      <c r="U23" s="57">
        <f>23.8898015*Deflactores!$R$5</f>
        <v>39.707857459774345</v>
      </c>
      <c r="V23" s="57">
        <f>25.521609595*Deflactores!$S$5</f>
        <v>41.112742715415557</v>
      </c>
    </row>
    <row r="24" spans="3:22" x14ac:dyDescent="0.2">
      <c r="C24" s="87" t="s">
        <v>133</v>
      </c>
      <c r="D24" s="56">
        <f>618.32578742*Deflactores!$A$5</f>
        <v>2302.4677569502437</v>
      </c>
      <c r="E24" s="56">
        <f>633.68234715926*Deflactores!$B$5</f>
        <v>2192.0003286607775</v>
      </c>
      <c r="F24" s="56">
        <f>675.431874403*Deflactores!$C$5</f>
        <v>2183.7348228110568</v>
      </c>
      <c r="G24" s="56">
        <f>706.925544521*Deflactores!$D$5</f>
        <v>2146.2368252327819</v>
      </c>
      <c r="H24" s="56">
        <f>750.967402665*Deflactores!$E$5</f>
        <v>2161.1505114404185</v>
      </c>
      <c r="I24" s="56">
        <f>827.83500259784*Deflactores!$F$5</f>
        <v>2272.0499958421615</v>
      </c>
      <c r="J24" s="56">
        <f>910.818427626839*Deflactores!$G$5</f>
        <v>2392.6615539749446</v>
      </c>
      <c r="K24" s="56">
        <f>1030.23611795732*Deflactores!$H$5</f>
        <v>2560.5543856798445</v>
      </c>
      <c r="L24" s="56">
        <f>1191.789836764*Deflactores!$I$5</f>
        <v>2750.9618387790579</v>
      </c>
      <c r="M24" s="56">
        <f>1378.233764643*Deflactores!$J$5</f>
        <v>3118.8888935234804</v>
      </c>
      <c r="N24" s="56">
        <f>1508.498868617*Deflactores!$K$5</f>
        <v>3308.7460200162386</v>
      </c>
      <c r="O24" s="56">
        <f>1596.275298757*Deflactores!$L$5</f>
        <v>3375.4815392773394</v>
      </c>
      <c r="P24" s="56">
        <f>1908.581144413*Deflactores!$M$5</f>
        <v>3939.7530736203425</v>
      </c>
      <c r="Q24" s="56">
        <f>2132.026411004*Deflactores!$N$5</f>
        <v>4317.2413211322682</v>
      </c>
      <c r="R24" s="56">
        <f>2542.165565243*Deflactores!$O$5</f>
        <v>4965.9960755940238</v>
      </c>
      <c r="S24" s="56">
        <f>2853.361122613*Deflactores!$P$5</f>
        <v>5220.4752028110979</v>
      </c>
      <c r="T24" s="56">
        <f>3063.832208959*Deflactores!$Q$5</f>
        <v>5300.7570419009335</v>
      </c>
      <c r="U24" s="56">
        <f>3268.330361503*Deflactores!$R$5</f>
        <v>5432.3764944641289</v>
      </c>
      <c r="V24" s="56">
        <f>3601.358133438*Deflactores!$S$5</f>
        <v>5801.425251607674</v>
      </c>
    </row>
    <row r="25" spans="3:22" x14ac:dyDescent="0.2">
      <c r="C25" s="88" t="s">
        <v>134</v>
      </c>
      <c r="D25" s="57">
        <f>6361.97876887899*Deflactores!$A$5</f>
        <v>23690.182883794245</v>
      </c>
      <c r="E25" s="57">
        <f>5335.141461615*Deflactores!$B$5</f>
        <v>18455.038064004442</v>
      </c>
      <c r="F25" s="57">
        <f>5222.34703074399*Deflactores!$C$5</f>
        <v>16884.339487116336</v>
      </c>
      <c r="G25" s="57">
        <f>3939.20444557*Deflactores!$D$5</f>
        <v>11959.485279219343</v>
      </c>
      <c r="H25" s="57">
        <f>4826.168245256*Deflactores!$E$5</f>
        <v>13888.853143982969</v>
      </c>
      <c r="I25" s="57">
        <f>5500.643192605*Deflactores!$F$5</f>
        <v>15096.892863515182</v>
      </c>
      <c r="J25" s="57">
        <f>5514.334187092*Deflactores!$G$5</f>
        <v>14485.802005128342</v>
      </c>
      <c r="K25" s="57">
        <f>6676.61375060918*Deflactores!$H$5</f>
        <v>16594.091706383886</v>
      </c>
      <c r="L25" s="57">
        <f>7150.074943548*Deflactores!$I$5</f>
        <v>16504.238169641209</v>
      </c>
      <c r="M25" s="57">
        <f>7541.975338759*Deflactores!$J$5</f>
        <v>17067.194058604724</v>
      </c>
      <c r="N25" s="57">
        <f>8506.892849585*Deflactores!$K$5</f>
        <v>18659.044726082178</v>
      </c>
      <c r="O25" s="57">
        <f>6973.360240521*Deflactores!$L$5</f>
        <v>14745.857921210913</v>
      </c>
      <c r="P25" s="57">
        <f>7558.129009619*Deflactores!$M$5</f>
        <v>15601.727012567622</v>
      </c>
      <c r="Q25" s="57">
        <f>11558.067679764*Deflactores!$N$5</f>
        <v>23404.479007378904</v>
      </c>
      <c r="R25" s="57">
        <f>14352.031101597*Deflactores!$O$5</f>
        <v>28035.990693045725</v>
      </c>
      <c r="S25" s="57">
        <f>14870.4862115278*Deflactores!$P$5</f>
        <v>27206.862778705588</v>
      </c>
      <c r="T25" s="57">
        <f>16438.0262664571*Deflactores!$Q$5</f>
        <v>28439.541575444346</v>
      </c>
      <c r="U25" s="57">
        <f>19466.424603165*Deflactores!$R$5</f>
        <v>32355.648220598243</v>
      </c>
      <c r="V25" s="57">
        <f>11209.40004445*Deflactores!$S$5</f>
        <v>18057.214546214458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22.80573771*Deflactores!$A$5</f>
        <v>84.922021398845587</v>
      </c>
      <c r="E27" s="57">
        <f>18.649474847*Deflactores!$B$5</f>
        <v>64.511273159548566</v>
      </c>
      <c r="F27" s="57">
        <f>20.481876663*Deflactores!$C$5</f>
        <v>66.219835042649507</v>
      </c>
      <c r="G27" s="57">
        <f>18.617895865*Deflactores!$D$5</f>
        <v>56.52421817758367</v>
      </c>
      <c r="H27" s="57">
        <f>16.469342181*Deflactores!$E$5</f>
        <v>47.395835226995871</v>
      </c>
      <c r="I27" s="57">
        <f>17.9578920512*Deflactores!$F$5</f>
        <v>49.286667551171512</v>
      </c>
      <c r="J27" s="57">
        <f>149.485817887*Deflactores!$G$5</f>
        <v>392.68964974132189</v>
      </c>
      <c r="K27" s="57">
        <f>57.393933512*Deflactores!$H$5</f>
        <v>142.64719087596305</v>
      </c>
      <c r="L27" s="57">
        <f>100.369*Deflactores!$I$5</f>
        <v>231.67783469787318</v>
      </c>
      <c r="M27" s="57">
        <f>254.187534637*Deflactores!$J$5</f>
        <v>575.21641029945783</v>
      </c>
      <c r="N27" s="57">
        <f>367.379268967*Deflactores!$K$5</f>
        <v>805.81080922219894</v>
      </c>
      <c r="O27" s="57">
        <f>572.335924916*Deflactores!$L$5</f>
        <v>1210.2607553493644</v>
      </c>
      <c r="P27" s="57">
        <f>1124.694198676*Deflactores!$M$5</f>
        <v>2321.6290484099568</v>
      </c>
      <c r="Q27" s="57">
        <f>866.594*Deflactores!$N$5</f>
        <v>1754.8072604238851</v>
      </c>
      <c r="R27" s="57">
        <f>863.762*Deflactores!$O$5</f>
        <v>1687.3168140160951</v>
      </c>
      <c r="S27" s="57">
        <f>816.232606457*Deflactores!$P$5</f>
        <v>1493.3693628770213</v>
      </c>
      <c r="T27" s="57">
        <f>873.900029501*Deflactores!$Q$5</f>
        <v>1511.9404129734601</v>
      </c>
      <c r="U27" s="57">
        <f>834.31091384*Deflactores!$R$5</f>
        <v>1386.7297660004749</v>
      </c>
      <c r="V27" s="57">
        <f>823.913825744*Deflactores!$S$5</f>
        <v>1327.2421949485115</v>
      </c>
    </row>
    <row r="28" spans="3:22" x14ac:dyDescent="0.2">
      <c r="C28" s="87" t="s">
        <v>137</v>
      </c>
      <c r="D28" s="56">
        <f>37.441230251*Deflactores!$A$5</f>
        <v>139.42039485880446</v>
      </c>
      <c r="E28" s="56">
        <f>35.110400412*Deflactores!$B$5</f>
        <v>121.45203284820722</v>
      </c>
      <c r="F28" s="56">
        <f>36.853473007*Deflactores!$C$5</f>
        <v>119.1507469469755</v>
      </c>
      <c r="G28" s="56">
        <f>37.562566805*Deflactores!$D$5</f>
        <v>114.04053050846098</v>
      </c>
      <c r="H28" s="56">
        <f>39.760947091*Deflactores!$E$5</f>
        <v>114.42492821409775</v>
      </c>
      <c r="I28" s="56">
        <f>41.289024871*Deflactores!$F$5</f>
        <v>113.32056326694783</v>
      </c>
      <c r="J28" s="56">
        <f>42.458872902*Deflactores!$G$5</f>
        <v>111.53673414625418</v>
      </c>
      <c r="K28" s="56">
        <f>44.038862792*Deflactores!$H$5</f>
        <v>109.45442631732705</v>
      </c>
      <c r="L28" s="56">
        <f>46.289*Deflactores!$I$5</f>
        <v>106.84708715170872</v>
      </c>
      <c r="M28" s="56">
        <f>52.800896*Deflactores!$J$5</f>
        <v>119.48635443940454</v>
      </c>
      <c r="N28" s="56">
        <f>52.212741*Deflactores!$K$5</f>
        <v>114.52358538145594</v>
      </c>
      <c r="O28" s="56">
        <f>53.389813827*Deflactores!$L$5</f>
        <v>112.89802648629893</v>
      </c>
      <c r="P28" s="56">
        <f>107.449204549*Deflactores!$M$5</f>
        <v>221.8000188879474</v>
      </c>
      <c r="Q28" s="56">
        <f>150.036588071*Deflactores!$N$5</f>
        <v>303.81619775375606</v>
      </c>
      <c r="R28" s="56">
        <f>128.552*Deflactores!$O$5</f>
        <v>251.12004357148967</v>
      </c>
      <c r="S28" s="56">
        <f>124.890300444*Deflactores!$P$5</f>
        <v>228.49779208544945</v>
      </c>
      <c r="T28" s="56">
        <f>133.6877955*Deflactores!$Q$5</f>
        <v>231.2941685712006</v>
      </c>
      <c r="U28" s="56">
        <f>144.80719185*Deflactores!$R$5</f>
        <v>240.68778190266661</v>
      </c>
      <c r="V28" s="56">
        <f>150.830727036*Deflactores!$S$5</f>
        <v>242.97311073299258</v>
      </c>
    </row>
    <row r="29" spans="3:22" x14ac:dyDescent="0.2">
      <c r="C29" s="88" t="s">
        <v>138</v>
      </c>
      <c r="D29" s="57">
        <f>142.781385021*Deflactores!$A$5</f>
        <v>531.67689588894132</v>
      </c>
      <c r="E29" s="57">
        <f>155.959276*Deflactores!$B$5</f>
        <v>539.48604656928899</v>
      </c>
      <c r="F29" s="57">
        <f>168.930272999*Deflactores!$C$5</f>
        <v>546.16747262772674</v>
      </c>
      <c r="G29" s="57">
        <f>185.921260278*Deflactores!$D$5</f>
        <v>564.45980555520703</v>
      </c>
      <c r="H29" s="57">
        <f>193.76040943*Deflactores!$E$5</f>
        <v>557.60796866884516</v>
      </c>
      <c r="I29" s="57">
        <f>230.00198296728*Deflactores!$F$5</f>
        <v>631.25623198414496</v>
      </c>
      <c r="J29" s="57">
        <f>245.736133*Deflactores!$G$5</f>
        <v>645.53305029579553</v>
      </c>
      <c r="K29" s="57">
        <f>239.609713421*Deflactores!$H$5</f>
        <v>595.52726977588782</v>
      </c>
      <c r="L29" s="57">
        <f>269.187564*Deflactores!$I$5</f>
        <v>621.35511916144594</v>
      </c>
      <c r="M29" s="57">
        <f>268.490575452*Deflactores!$J$5</f>
        <v>607.58363005993976</v>
      </c>
      <c r="N29" s="57">
        <f>281.909150286*Deflactores!$K$5</f>
        <v>618.34039018546093</v>
      </c>
      <c r="O29" s="57">
        <f>285.181654793*Deflactores!$L$5</f>
        <v>603.04473285022902</v>
      </c>
      <c r="P29" s="57">
        <f>125.18747*Deflactores!$M$5</f>
        <v>258.41590291040239</v>
      </c>
      <c r="Q29" s="57">
        <f>166.47671518*Deflactores!$N$5</f>
        <v>337.10659027108795</v>
      </c>
      <c r="R29" s="57">
        <f>91.421445*Deflactores!$O$5</f>
        <v>178.58732070888473</v>
      </c>
      <c r="S29" s="57">
        <f>65.081073188*Deflactores!$P$5</f>
        <v>119.0715490085441</v>
      </c>
      <c r="T29" s="57">
        <f>83.6825*Deflactores!$Q$5</f>
        <v>144.77966510757145</v>
      </c>
      <c r="U29" s="57">
        <f>84.964*Deflactores!$R$5</f>
        <v>141.22086368998367</v>
      </c>
      <c r="V29" s="57">
        <f>88.922007596*Deflactores!$S$5</f>
        <v>143.24439868983802</v>
      </c>
    </row>
    <row r="30" spans="3:22" x14ac:dyDescent="0.2">
      <c r="C30" s="87" t="s">
        <v>139</v>
      </c>
      <c r="D30" s="56">
        <f>369.35002613*Deflactores!$A$5</f>
        <v>1375.3534843524269</v>
      </c>
      <c r="E30" s="56">
        <f>436.204439857*Deflactores!$B$5</f>
        <v>1508.8952372055392</v>
      </c>
      <c r="F30" s="56">
        <f>470.353104091*Deflactores!$C$5</f>
        <v>1520.69585600864</v>
      </c>
      <c r="G30" s="56">
        <f>527.738888081*Deflactores!$D$5</f>
        <v>1602.2233805036838</v>
      </c>
      <c r="H30" s="56">
        <f>608.4298056552*Deflactores!$E$5</f>
        <v>1750.9526791722794</v>
      </c>
      <c r="I30" s="56">
        <f>727.38217577268*Deflactores!$F$5</f>
        <v>1996.3503164927563</v>
      </c>
      <c r="J30" s="56">
        <f>887.28551747063*Deflactores!$G$5</f>
        <v>2330.8421093128341</v>
      </c>
      <c r="K30" s="56">
        <f>797.96521835616*Deflactores!$H$5</f>
        <v>1983.2670432221114</v>
      </c>
      <c r="L30" s="56">
        <f>840.102948383*Deflactores!$I$5</f>
        <v>1939.1767578104054</v>
      </c>
      <c r="M30" s="56">
        <f>1015.403214734*Deflactores!$J$5</f>
        <v>2297.8176054932387</v>
      </c>
      <c r="N30" s="56">
        <f>2031.57707364917*Deflactores!$K$5</f>
        <v>4456.0673505547065</v>
      </c>
      <c r="O30" s="56">
        <f>1936.84369207999*Deflactores!$L$5</f>
        <v>4095.6469928292813</v>
      </c>
      <c r="P30" s="56">
        <f>1598.20724615689*Deflactores!$M$5</f>
        <v>3299.0695359014799</v>
      </c>
      <c r="Q30" s="56">
        <f>1922.238567204*Deflactores!$N$5</f>
        <v>3892.4319739074872</v>
      </c>
      <c r="R30" s="56">
        <f>2218.8907886704*Deflactores!$O$5</f>
        <v>4334.494613318253</v>
      </c>
      <c r="S30" s="56">
        <f>2252.415608605*Deflactores!$P$5</f>
        <v>4120.9925157944672</v>
      </c>
      <c r="T30" s="56">
        <f>2281.441010326*Deflactores!$Q$5</f>
        <v>3947.1366825522391</v>
      </c>
      <c r="U30" s="56">
        <f>2575.88600462*Deflactores!$R$5</f>
        <v>4281.4468049924408</v>
      </c>
      <c r="V30" s="56">
        <f>2892.945998648*Deflactores!$S$5</f>
        <v>4660.2446483354779</v>
      </c>
    </row>
    <row r="31" spans="3:22" x14ac:dyDescent="0.2">
      <c r="C31" s="88" t="s">
        <v>140</v>
      </c>
      <c r="D31" s="57">
        <f>99.202090828*Deflactores!$A$5</f>
        <v>369.40011269232645</v>
      </c>
      <c r="E31" s="57">
        <f>99.384307407*Deflactores!$B$5</f>
        <v>343.78491917357542</v>
      </c>
      <c r="F31" s="57">
        <f>108.167592583*Deflactores!$C$5</f>
        <v>349.71600774973274</v>
      </c>
      <c r="G31" s="57">
        <f>78.718469011*Deflactores!$D$5</f>
        <v>238.99048255757995</v>
      </c>
      <c r="H31" s="57">
        <f>102.503757511*Deflactores!$E$5</f>
        <v>294.98756827968884</v>
      </c>
      <c r="I31" s="57">
        <f>107.655566925*Deflactores!$F$5</f>
        <v>295.46809402447701</v>
      </c>
      <c r="J31" s="57">
        <f>95.470541096*Deflactores!$G$5</f>
        <v>250.7949842569183</v>
      </c>
      <c r="K31" s="57">
        <f>78.157086*Deflactores!$H$5</f>
        <v>194.25204168346531</v>
      </c>
      <c r="L31" s="57">
        <f>59.8212*Deflactores!$I$5</f>
        <v>138.08293482079537</v>
      </c>
      <c r="M31" s="57">
        <f>56.1496*Deflactores!$J$5</f>
        <v>127.06434010572072</v>
      </c>
      <c r="N31" s="57">
        <f>65.9916*Deflactores!$K$5</f>
        <v>144.74617674369725</v>
      </c>
      <c r="O31" s="57">
        <f>54.0455*Deflactores!$L$5</f>
        <v>114.28453956098245</v>
      </c>
      <c r="P31" s="57">
        <f>72.967205637*Deflactores!$M$5</f>
        <v>150.62119497689631</v>
      </c>
      <c r="Q31" s="57">
        <f>97.2781*Deflactores!$N$5</f>
        <v>196.98303491628226</v>
      </c>
      <c r="R31" s="57">
        <f>123.41191544663*Deflactores!$O$5</f>
        <v>241.07913983600977</v>
      </c>
      <c r="S31" s="57">
        <f>113.96275591*Deflactores!$P$5</f>
        <v>208.50488799235674</v>
      </c>
      <c r="T31" s="57">
        <f>133.266948587*Deflactores!$Q$5</f>
        <v>230.56605845109553</v>
      </c>
      <c r="U31" s="57">
        <f>173.26894931*Deflactores!$R$5</f>
        <v>287.99480570846714</v>
      </c>
      <c r="V31" s="57">
        <f>187.092933987*Deflactores!$S$5</f>
        <v>301.38787407776573</v>
      </c>
    </row>
    <row r="32" spans="3:22" x14ac:dyDescent="0.2">
      <c r="C32" s="87" t="s">
        <v>141</v>
      </c>
      <c r="D32" s="56">
        <f>364.17003704*Deflactores!$A$5</f>
        <v>1356.0646917713443</v>
      </c>
      <c r="E32" s="56">
        <f>357.268739369*Deflactores!$B$5</f>
        <v>1235.8450533264563</v>
      </c>
      <c r="F32" s="56">
        <f>383.132300597*Deflactores!$C$5</f>
        <v>1238.7027889332107</v>
      </c>
      <c r="G32" s="56">
        <f>393.697666921*Deflactores!$D$5</f>
        <v>1195.2721715928594</v>
      </c>
      <c r="H32" s="56">
        <f>448.758970934*Deflactores!$E$5</f>
        <v>1291.448438515147</v>
      </c>
      <c r="I32" s="56">
        <f>464.606626845*Deflactores!$F$5</f>
        <v>1275.1447828115515</v>
      </c>
      <c r="J32" s="56">
        <f>512.479085551*Deflactores!$G$5</f>
        <v>1346.2496673557446</v>
      </c>
      <c r="K32" s="56">
        <f>579.381221961*Deflactores!$H$5</f>
        <v>1439.9972035675082</v>
      </c>
      <c r="L32" s="56">
        <f>663.046012058*Deflactores!$I$5</f>
        <v>1530.4831609227685</v>
      </c>
      <c r="M32" s="56">
        <f>754.138252741*Deflactores!$J$5</f>
        <v>1706.5852549798467</v>
      </c>
      <c r="N32" s="56">
        <f>858.982173055*Deflactores!$K$5</f>
        <v>1884.0941186560738</v>
      </c>
      <c r="O32" s="56">
        <f>886.587547802*Deflactores!$L$5</f>
        <v>1874.7768025284638</v>
      </c>
      <c r="P32" s="56">
        <f>1075.21067836*Deflactores!$M$5</f>
        <v>2219.4836133944204</v>
      </c>
      <c r="Q32" s="56">
        <f>1180.627646431*Deflactores!$N$5</f>
        <v>2390.7088738374396</v>
      </c>
      <c r="R32" s="56">
        <f>1297.008165225*Deflactores!$O$5</f>
        <v>2533.6420045108589</v>
      </c>
      <c r="S32" s="56">
        <f>1360.65636612468*Deflactores!$P$5</f>
        <v>2489.4405277366513</v>
      </c>
      <c r="T32" s="56">
        <f>1449.97042483*Deflactores!$Q$5</f>
        <v>2508.603740600131</v>
      </c>
      <c r="U32" s="56">
        <f>1525.774946473*Deflactores!$R$5</f>
        <v>2536.0300331605818</v>
      </c>
      <c r="V32" s="56">
        <f>1640.250255797*Deflactores!$S$5</f>
        <v>2642.2779685764017</v>
      </c>
    </row>
    <row r="33" spans="3:22" x14ac:dyDescent="0.2">
      <c r="C33" s="88" t="s">
        <v>142</v>
      </c>
      <c r="D33" s="57">
        <f>22.505288024*Deflactores!$A$5</f>
        <v>83.803233004967822</v>
      </c>
      <c r="E33" s="57">
        <f>22.99386148*Deflactores!$B$5</f>
        <v>79.539144726518614</v>
      </c>
      <c r="F33" s="57">
        <f>24.607751302*Deflactores!$C$5</f>
        <v>79.559176085298532</v>
      </c>
      <c r="G33" s="57">
        <f>24.602328639*Deflactores!$D$5</f>
        <v>74.69304811623249</v>
      </c>
      <c r="H33" s="57">
        <f>26.084960967*Deflactores!$E$5</f>
        <v>75.067874497187915</v>
      </c>
      <c r="I33" s="57">
        <f>24.780888432*Deflactores!$F$5</f>
        <v>68.012849519776481</v>
      </c>
      <c r="J33" s="57">
        <f>29.50153705*Deflactores!$G$5</f>
        <v>77.498644451692925</v>
      </c>
      <c r="K33" s="57">
        <f>35.28947777*Deflactores!$H$5</f>
        <v>87.708657750696617</v>
      </c>
      <c r="L33" s="57">
        <f>32.866445*Deflactores!$I$5</f>
        <v>75.864328745097993</v>
      </c>
      <c r="M33" s="57">
        <f>38.218*Deflactores!$J$5</f>
        <v>86.485833383682788</v>
      </c>
      <c r="N33" s="57">
        <f>141.708209182*Deflactores!$K$5</f>
        <v>310.82321829279169</v>
      </c>
      <c r="O33" s="57">
        <f>33.589316663*Deflactores!$L$5</f>
        <v>71.027922565227271</v>
      </c>
      <c r="P33" s="57">
        <f>51.836679243*Deflactores!$M$5</f>
        <v>107.00289949510727</v>
      </c>
      <c r="Q33" s="57">
        <f>92.845065183*Deflactores!$N$5</f>
        <v>188.00637262392453</v>
      </c>
      <c r="R33" s="57">
        <f>88.962588457*Deflactores!$O$5</f>
        <v>173.78406473298233</v>
      </c>
      <c r="S33" s="57">
        <f>80.254027642*Deflactores!$P$5</f>
        <v>146.83180404697808</v>
      </c>
      <c r="T33" s="57">
        <f>76.286193582*Deflactores!$Q$5</f>
        <v>131.98326482996237</v>
      </c>
      <c r="U33" s="57">
        <f>77.979810485*Deflactores!$R$5</f>
        <v>129.61226151161605</v>
      </c>
      <c r="V33" s="57">
        <f>80.13284642*Deflactores!$S$5</f>
        <v>129.08594521267179</v>
      </c>
    </row>
    <row r="34" spans="3:22" x14ac:dyDescent="0.2">
      <c r="C34" s="87" t="s">
        <v>143</v>
      </c>
      <c r="D34" s="56">
        <f>47.685443339*Deflactores!$A$5</f>
        <v>177.56690404592035</v>
      </c>
      <c r="E34" s="56">
        <f>51.497351627*Deflactores!$B$5</f>
        <v>178.13690439316207</v>
      </c>
      <c r="F34" s="56">
        <f>50.053656011*Deflactores!$C$5</f>
        <v>161.82818102393833</v>
      </c>
      <c r="G34" s="56">
        <f>47.347336371*Deflactores!$D$5</f>
        <v>143.74724139439408</v>
      </c>
      <c r="H34" s="56">
        <f>75.454549054*Deflactores!$E$5</f>
        <v>217.14476114391576</v>
      </c>
      <c r="I34" s="56">
        <f>91.3059031658*Deflactores!$F$5</f>
        <v>250.59531942623124</v>
      </c>
      <c r="J34" s="56">
        <f>168.998034364*Deflactores!$G$5</f>
        <v>443.94699015218322</v>
      </c>
      <c r="K34" s="56">
        <f>225.011115945*Deflactores!$H$5</f>
        <v>559.24383713322152</v>
      </c>
      <c r="L34" s="56">
        <f>238.34049656*Deflactores!$I$5</f>
        <v>550.15204060852147</v>
      </c>
      <c r="M34" s="56">
        <f>266.924622674*Deflactores!$J$5</f>
        <v>604.0399404099104</v>
      </c>
      <c r="N34" s="56">
        <f>257.543389531*Deflactores!$K$5</f>
        <v>564.89645621904901</v>
      </c>
      <c r="O34" s="56">
        <f>249.617230872*Deflactores!$L$5</f>
        <v>527.84025120859224</v>
      </c>
      <c r="P34" s="56">
        <f>490.917800242*Deflactores!$M$5</f>
        <v>1013.3679241566665</v>
      </c>
      <c r="Q34" s="56">
        <f>507.164294802*Deflactores!$N$5</f>
        <v>1026.9810161924836</v>
      </c>
      <c r="R34" s="56">
        <f>564.832994555*Deflactores!$O$5</f>
        <v>1103.3736247064737</v>
      </c>
      <c r="S34" s="56">
        <f>544.6774584718*Deflactores!$P$5</f>
        <v>996.53532914132393</v>
      </c>
      <c r="T34" s="56">
        <f>719.005515257*Deflactores!$Q$5</f>
        <v>1243.9563553838054</v>
      </c>
      <c r="U34" s="56">
        <f>1775.987384293*Deflactores!$R$5</f>
        <v>2951.9146028008618</v>
      </c>
      <c r="V34" s="56">
        <f>752.990063475*Deflactores!$S$5</f>
        <v>1212.9911568342875</v>
      </c>
    </row>
    <row r="35" spans="3:22" x14ac:dyDescent="0.2">
      <c r="C35" s="88" t="s">
        <v>144</v>
      </c>
      <c r="D35" s="57">
        <f>683.481112568*Deflactores!$A$5</f>
        <v>2545.0874865475457</v>
      </c>
      <c r="E35" s="57">
        <f>760.070378193*Deflactores!$B$5</f>
        <v>2629.1950947872183</v>
      </c>
      <c r="F35" s="57">
        <f>789.963169484*Deflactores!$C$5</f>
        <v>2554.0252796999794</v>
      </c>
      <c r="G35" s="57">
        <f>779.795028311999*Deflactores!$D$5</f>
        <v>2367.4696987087518</v>
      </c>
      <c r="H35" s="57">
        <f>970.428904733*Deflactores!$E$5</f>
        <v>2792.7216498847815</v>
      </c>
      <c r="I35" s="57">
        <f>1005.48043377299*Deflactores!$F$5</f>
        <v>2759.6100771340557</v>
      </c>
      <c r="J35" s="57">
        <f>1138.140955315*Deflactores!$G$5</f>
        <v>2989.8232448830086</v>
      </c>
      <c r="K35" s="57">
        <f>1226.455430559*Deflactores!$H$5</f>
        <v>3048.2389200111588</v>
      </c>
      <c r="L35" s="57">
        <f>1366.125711945*Deflactores!$I$5</f>
        <v>3153.3745167183893</v>
      </c>
      <c r="M35" s="57">
        <f>1599.524877745*Deflactores!$J$5</f>
        <v>3619.6619935556446</v>
      </c>
      <c r="N35" s="57">
        <f>1709.532783034*Deflactores!$K$5</f>
        <v>3749.694421141236</v>
      </c>
      <c r="O35" s="57">
        <f>1907.763642385*Deflactores!$L$5</f>
        <v>4034.1543599587849</v>
      </c>
      <c r="P35" s="57">
        <f>2247.591541903*Deflactores!$M$5</f>
        <v>4639.5489714317828</v>
      </c>
      <c r="Q35" s="57">
        <f>2500.445921539*Deflactores!$N$5</f>
        <v>5063.2714482375013</v>
      </c>
      <c r="R35" s="57">
        <f>2757.547421931*Deflactores!$O$5</f>
        <v>5386.7339967154285</v>
      </c>
      <c r="S35" s="57">
        <f>2987.891266268*Deflactores!$P$5</f>
        <v>5466.6099361316365</v>
      </c>
      <c r="T35" s="57">
        <f>3332.867664156*Deflactores!$Q$5</f>
        <v>5766.2171214335085</v>
      </c>
      <c r="U35" s="57">
        <f>3578.445731815*Deflactores!$R$5</f>
        <v>5947.8272787845435</v>
      </c>
      <c r="V35" s="57">
        <f>3971.255960177*Deflactores!$S$5</f>
        <v>6397.2933971924722</v>
      </c>
    </row>
    <row r="36" spans="3:22" x14ac:dyDescent="0.2">
      <c r="C36" s="87" t="s">
        <v>145</v>
      </c>
      <c r="D36" s="56">
        <f>177.396037687*Deflactores!$A$5</f>
        <v>660.57192712166079</v>
      </c>
      <c r="E36" s="56">
        <f>181.520900897*Deflactores!$B$5</f>
        <v>627.90746216735602</v>
      </c>
      <c r="F36" s="56">
        <f>226.367109303*Deflactores!$C$5</f>
        <v>731.86617045717878</v>
      </c>
      <c r="G36" s="56">
        <f>318.315558605*Deflactores!$D$5</f>
        <v>966.41093141641329</v>
      </c>
      <c r="H36" s="56">
        <f>135.806088325*Deflactores!$E$5</f>
        <v>390.82574849287164</v>
      </c>
      <c r="I36" s="56">
        <f>140.870351064*Deflactores!$F$5</f>
        <v>386.6283493025137</v>
      </c>
      <c r="J36" s="56">
        <f>452.997152749*Deflactores!$G$5</f>
        <v>1189.9944473748692</v>
      </c>
      <c r="K36" s="56">
        <f>355.103755369*Deflactores!$H$5</f>
        <v>882.57678248001787</v>
      </c>
      <c r="L36" s="56">
        <f>260.371648098*Deflactores!$I$5</f>
        <v>601.00568550111336</v>
      </c>
      <c r="M36" s="56">
        <f>304.653617357*Deflactores!$J$5</f>
        <v>689.41917396184385</v>
      </c>
      <c r="N36" s="56">
        <f>662.722881918*Deflactores!$K$5</f>
        <v>1453.6183907981504</v>
      </c>
      <c r="O36" s="56">
        <f>565.949406384*Deflactores!$L$5</f>
        <v>1196.7558320934543</v>
      </c>
      <c r="P36" s="56">
        <f>398.119444406*Deflactores!$M$5</f>
        <v>821.81064680326415</v>
      </c>
      <c r="Q36" s="56">
        <f>555.627975547*Deflactores!$N$5</f>
        <v>1125.117420135035</v>
      </c>
      <c r="R36" s="56">
        <f>1087.253*Deflactores!$O$5</f>
        <v>2123.8955499193548</v>
      </c>
      <c r="S36" s="56">
        <f>834.159595818*Deflactores!$P$5</f>
        <v>1526.1683670684204</v>
      </c>
      <c r="T36" s="56">
        <f>687.36124523431*Deflactores!$Q$5</f>
        <v>1189.2083875714359</v>
      </c>
      <c r="U36" s="56">
        <f>710.878205396*Deflactores!$R$5</f>
        <v>1181.56906624463</v>
      </c>
      <c r="V36" s="56">
        <f>1761.113463059*Deflactores!$S$5</f>
        <v>2836.9764230538203</v>
      </c>
    </row>
    <row r="37" spans="3:22" x14ac:dyDescent="0.2">
      <c r="C37" s="88" t="s">
        <v>146</v>
      </c>
      <c r="D37" s="57">
        <f>154.647582934*Deflactores!$A$5</f>
        <v>575.86321101300155</v>
      </c>
      <c r="E37" s="57">
        <f>162.722035704*Deflactores!$B$5</f>
        <v>562.87942585510382</v>
      </c>
      <c r="F37" s="57">
        <f>181.496882144*Deflactores!$C$5</f>
        <v>586.7965027854284</v>
      </c>
      <c r="G37" s="57">
        <f>184.734801701*Deflactores!$D$5</f>
        <v>560.85769906845371</v>
      </c>
      <c r="H37" s="57">
        <f>192.250093345*Deflactores!$E$5</f>
        <v>553.26154781495563</v>
      </c>
      <c r="I37" s="57">
        <f>253.745148707*Deflactores!$F$5</f>
        <v>696.42098033487071</v>
      </c>
      <c r="J37" s="57">
        <f>242.696010406*Deflactores!$G$5</f>
        <v>637.54684335333502</v>
      </c>
      <c r="K37" s="57">
        <f>244.468309894*Deflactores!$H$5</f>
        <v>607.60285156761859</v>
      </c>
      <c r="L37" s="57">
        <f>227.734210031*Deflactores!$I$5</f>
        <v>525.66996449713315</v>
      </c>
      <c r="M37" s="57">
        <f>218.250048499*Deflactores!$J$5</f>
        <v>493.89129024190697</v>
      </c>
      <c r="N37" s="57">
        <f>258.105311646*Deflactores!$K$5</f>
        <v>566.12897790020213</v>
      </c>
      <c r="O37" s="57">
        <f>257.451771092*Deflactores!$L$5</f>
        <v>544.40715912349174</v>
      </c>
      <c r="P37" s="57">
        <f>392.289653966*Deflactores!$M$5</f>
        <v>809.77661048692164</v>
      </c>
      <c r="Q37" s="57">
        <f>400.0033*Deflactores!$N$5</f>
        <v>809.98563921918844</v>
      </c>
      <c r="R37" s="57">
        <f>440.2592*Deflactores!$O$5</f>
        <v>860.02481086835837</v>
      </c>
      <c r="S37" s="57">
        <f>570.776655769*Deflactores!$P$5</f>
        <v>1044.2861067150136</v>
      </c>
      <c r="T37" s="57">
        <f>649.28099391431*Deflactores!$Q$5</f>
        <v>1123.3254845352963</v>
      </c>
      <c r="U37" s="57">
        <f>608.444357987*Deflactores!$R$5</f>
        <v>1011.3111169697961</v>
      </c>
      <c r="V37" s="57">
        <f>597.030274404*Deflactores!$S$5</f>
        <v>961.75564372297185</v>
      </c>
    </row>
    <row r="38" spans="3:22" x14ac:dyDescent="0.2">
      <c r="C38" s="90" t="s">
        <v>147</v>
      </c>
      <c r="D38" s="58">
        <f>4132.182282225*Deflactores!$A$5</f>
        <v>15387.060776427828</v>
      </c>
      <c r="E38" s="58">
        <f>5077.0721681915*Deflactores!$B$5</f>
        <v>17562.338466899531</v>
      </c>
      <c r="F38" s="58">
        <f>6269.87030751317*Deflactores!$C$5</f>
        <v>20271.080835691107</v>
      </c>
      <c r="G38" s="58">
        <f>7189.70893023898*Deflactores!$D$5</f>
        <v>21828.066885374097</v>
      </c>
      <c r="H38" s="58">
        <f>9360.993086819*Deflactores!$E$5</f>
        <v>26939.271831741222</v>
      </c>
      <c r="I38" s="58">
        <f>12387.488195343*Deflactores!$F$5</f>
        <v>33998.311758263073</v>
      </c>
      <c r="J38" s="58">
        <f>13664.781259167*Deflactores!$G$5</f>
        <v>35896.503376061897</v>
      </c>
      <c r="K38" s="58">
        <f>14945.523110397*Deflactores!$H$5</f>
        <v>37145.683479320505</v>
      </c>
      <c r="L38" s="58">
        <f>16982.664560603*Deflactores!$I$5</f>
        <v>39200.419978288228</v>
      </c>
      <c r="M38" s="58">
        <f>19958.385769324*Deflactores!$J$5</f>
        <v>45165.043336988354</v>
      </c>
      <c r="N38" s="58">
        <f>22516.868852978*Deflactores!$K$5</f>
        <v>49388.568828575233</v>
      </c>
      <c r="O38" s="58">
        <f>20597.318133764*Deflactores!$L$5</f>
        <v>43555.060441818343</v>
      </c>
      <c r="P38" s="58">
        <f>23294.372092786*Deflactores!$M$5</f>
        <v>48084.973656614144</v>
      </c>
      <c r="Q38" s="58">
        <f>23325.787036341*Deflactores!$N$5</f>
        <v>47233.491630997356</v>
      </c>
      <c r="R38" s="58">
        <f>28057.263104963*Deflactores!$O$5</f>
        <v>54808.490987421894</v>
      </c>
      <c r="S38" s="58">
        <f>27065.79010634*Deflactores!$P$5</f>
        <v>49519.244155553686</v>
      </c>
      <c r="T38" s="58">
        <f>28398.202375586*Deflactores!$Q$5</f>
        <v>49131.923993599383</v>
      </c>
      <c r="U38" s="58">
        <f>34673.742161663*Deflactores!$R$5</f>
        <v>57632.12437542784</v>
      </c>
      <c r="V38" s="58">
        <f>44871.073328509*Deflactores!$S$5</f>
        <v>72282.780059489247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0.4162628066300964</v>
      </c>
      <c r="V39" s="59">
        <f>139.020442846*Deflactores!$S$5</f>
        <v>223.94793234477149</v>
      </c>
    </row>
    <row r="40" spans="3:22" x14ac:dyDescent="0.2">
      <c r="C40" s="87" t="s">
        <v>149</v>
      </c>
      <c r="D40" s="56">
        <f>39.048965517*Deflactores!$A$5</f>
        <v>145.40713952802264</v>
      </c>
      <c r="E40" s="56">
        <f>19.159935484*Deflactores!$B$5</f>
        <v>66.277031491129748</v>
      </c>
      <c r="F40" s="56">
        <f>17.687412517*Deflactores!$C$5</f>
        <v>57.185069438626272</v>
      </c>
      <c r="G40" s="56">
        <f>19.663020958*Deflactores!$D$5</f>
        <v>59.697234033293498</v>
      </c>
      <c r="H40" s="56">
        <f>20.94*Deflactores!$E$5</f>
        <v>60.261592645653081</v>
      </c>
      <c r="I40" s="56">
        <f>42.0393*Deflactores!$F$5</f>
        <v>115.37974486518358</v>
      </c>
      <c r="J40" s="56">
        <f>44.397586389*Deflactores!$G$5</f>
        <v>116.62961005194242</v>
      </c>
      <c r="K40" s="56">
        <f>36.292296*Deflactores!$H$5</f>
        <v>90.201067570260506</v>
      </c>
      <c r="L40" s="56">
        <f>37.922*Deflactores!$I$5</f>
        <v>87.533868499364814</v>
      </c>
      <c r="M40" s="56">
        <f>123.7144*Deflactores!$J$5</f>
        <v>279.96082959763163</v>
      </c>
      <c r="N40" s="56">
        <f>122.422863*Deflactores!$K$5</f>
        <v>268.52268114831941</v>
      </c>
      <c r="O40" s="56">
        <f>110.0365*Deflactores!$L$5</f>
        <v>232.68303073155113</v>
      </c>
      <c r="P40" s="56">
        <f>170.1886*Deflactores!$M$5</f>
        <v>351.30864721571021</v>
      </c>
      <c r="Q40" s="56">
        <f>64.8344*Deflactores!$N$5</f>
        <v>131.28624920692542</v>
      </c>
      <c r="R40" s="56">
        <f>112.526400085*Deflactores!$O$5</f>
        <v>219.81481806808205</v>
      </c>
      <c r="S40" s="56">
        <f>67.68129*Deflactores!$P$5</f>
        <v>123.82887442431469</v>
      </c>
      <c r="T40" s="56">
        <f>64.25810018*Deflactores!$Q$5</f>
        <v>111.17337823928749</v>
      </c>
      <c r="U40" s="56">
        <f>64.647120832*Deflactores!$R$5</f>
        <v>107.45165292318836</v>
      </c>
      <c r="V40" s="56">
        <f>65.465511236*Deflactores!$S$5</f>
        <v>105.45834541353166</v>
      </c>
    </row>
    <row r="41" spans="3:22" x14ac:dyDescent="0.2">
      <c r="C41" s="88" t="s">
        <v>150</v>
      </c>
      <c r="D41" s="57">
        <f>156.560922604*Deflactores!$A$5</f>
        <v>582.98793876639286</v>
      </c>
      <c r="E41" s="57">
        <f>172.329615875*Deflactores!$B$5</f>
        <v>596.11345704892824</v>
      </c>
      <c r="F41" s="57">
        <f>311.479552377299*Deflactores!$C$5</f>
        <v>1007.0427098530296</v>
      </c>
      <c r="G41" s="57">
        <f>120.926044198*Deflactores!$D$5</f>
        <v>367.13332995107919</v>
      </c>
      <c r="H41" s="57">
        <f>172.4767*Deflactores!$E$5</f>
        <v>496.35724146449439</v>
      </c>
      <c r="I41" s="57">
        <f>149.39652*Deflactores!$F$5</f>
        <v>410.02900527235937</v>
      </c>
      <c r="J41" s="57">
        <f>158.152560213*Deflactores!$G$5</f>
        <v>415.45662560901189</v>
      </c>
      <c r="K41" s="57">
        <f>146.528785*Deflactores!$H$5</f>
        <v>364.18342991507546</v>
      </c>
      <c r="L41" s="57">
        <f>112.2108*Deflactores!$I$5</f>
        <v>259.01179820179647</v>
      </c>
      <c r="M41" s="57">
        <f>211.3932*Deflactores!$J$5</f>
        <v>478.37451132041269</v>
      </c>
      <c r="N41" s="57">
        <f>213.979268773*Deflactores!$K$5</f>
        <v>469.34278085852981</v>
      </c>
      <c r="O41" s="57">
        <f>191.1799*Deflactores!$L$5</f>
        <v>404.26875215910059</v>
      </c>
      <c r="P41" s="57">
        <f>322.117103948*Deflactores!$M$5</f>
        <v>664.9242313116988</v>
      </c>
      <c r="Q41" s="57">
        <f>247.5276*Deflactores!$N$5</f>
        <v>501.23036812544194</v>
      </c>
      <c r="R41" s="57">
        <f>236.910655261*Deflactores!$O$5</f>
        <v>462.79337600109289</v>
      </c>
      <c r="S41" s="57">
        <f>222.713270535*Deflactores!$P$5</f>
        <v>407.47352199857505</v>
      </c>
      <c r="T41" s="57">
        <f>203.938670994*Deflactores!$Q$5</f>
        <v>352.83568833381548</v>
      </c>
      <c r="U41" s="57">
        <f>210.397585828*Deflactores!$R$5</f>
        <v>349.70727353841187</v>
      </c>
      <c r="V41" s="57">
        <f>212.346367936*Deflactores!$S$5</f>
        <v>342.06861283608373</v>
      </c>
    </row>
    <row r="42" spans="3:22" x14ac:dyDescent="0.2">
      <c r="C42" s="87" t="s">
        <v>151</v>
      </c>
      <c r="D42" s="56">
        <f>21.143380699*Deflactores!$A$5</f>
        <v>78.731881029092875</v>
      </c>
      <c r="E42" s="56">
        <f>21.704019614*Deflactores!$B$5</f>
        <v>75.077392230386906</v>
      </c>
      <c r="F42" s="56">
        <f>20.235695*Deflactores!$C$5</f>
        <v>65.423906555108402</v>
      </c>
      <c r="G42" s="56">
        <f>18.380434267*Deflactores!$D$5</f>
        <v>55.803281114046719</v>
      </c>
      <c r="H42" s="56">
        <f>10.385748058*Deflactores!$E$5</f>
        <v>29.888334230734412</v>
      </c>
      <c r="I42" s="56">
        <f>11.393046283*Deflactores!$F$5</f>
        <v>31.26899766099265</v>
      </c>
      <c r="J42" s="56">
        <f>17.279664155*Deflactores!$G$5</f>
        <v>45.392568743905763</v>
      </c>
      <c r="K42" s="56">
        <f>15.058452865*Deflactores!$H$5</f>
        <v>37.426359698472858</v>
      </c>
      <c r="L42" s="56">
        <f>10.368929992*Deflactores!$I$5</f>
        <v>23.934195306124359</v>
      </c>
      <c r="M42" s="56">
        <f>7.587874974*Deflactores!$J$5</f>
        <v>17.171063130922086</v>
      </c>
      <c r="N42" s="56">
        <f>12.147811019*Deflactores!$K$5</f>
        <v>26.645045745294961</v>
      </c>
      <c r="O42" s="56">
        <f>328.752697737*Deflactores!$L$5</f>
        <v>695.18000000562279</v>
      </c>
      <c r="P42" s="56">
        <f>1363.636620691*Deflactores!$M$5</f>
        <v>2814.8614919492711</v>
      </c>
      <c r="Q42" s="56">
        <f>1466.663509854*Deflactores!$N$5</f>
        <v>2969.9164495606678</v>
      </c>
      <c r="R42" s="56">
        <f>1522.792129923*Deflactores!$O$5</f>
        <v>2974.6999347858091</v>
      </c>
      <c r="S42" s="56">
        <f>1603.414310913*Deflactores!$P$5</f>
        <v>2933.587544743827</v>
      </c>
      <c r="T42" s="56">
        <f>1750.229531092*Deflactores!$Q$5</f>
        <v>3028.0840722120101</v>
      </c>
      <c r="U42" s="56">
        <f>1946.609139626*Deflactores!$R$5</f>
        <v>3235.5094388776392</v>
      </c>
      <c r="V42" s="56">
        <f>1965.945401832*Deflactores!$S$5</f>
        <v>3166.9400473043816</v>
      </c>
    </row>
    <row r="43" spans="3:22" ht="21.75" customHeight="1" x14ac:dyDescent="0.2">
      <c r="C43" s="79" t="s">
        <v>179</v>
      </c>
      <c r="D43" s="44">
        <f t="shared" ref="D43:V43" si="0">+SUM(D14:D42)</f>
        <v>91692.925051008206</v>
      </c>
      <c r="E43" s="44">
        <f t="shared" si="0"/>
        <v>96522.451742088771</v>
      </c>
      <c r="F43" s="44">
        <f t="shared" si="0"/>
        <v>100392.90573021915</v>
      </c>
      <c r="G43" s="44">
        <f t="shared" si="0"/>
        <v>100919.76264939886</v>
      </c>
      <c r="H43" s="44">
        <f t="shared" si="0"/>
        <v>112631.87750937759</v>
      </c>
      <c r="I43" s="44">
        <f t="shared" si="0"/>
        <v>123483.87709188955</v>
      </c>
      <c r="J43" s="44">
        <f t="shared" si="0"/>
        <v>129439.72739310662</v>
      </c>
      <c r="K43" s="44">
        <f t="shared" si="0"/>
        <v>134445.61840210436</v>
      </c>
      <c r="L43" s="44">
        <f t="shared" si="0"/>
        <v>141680.19865955174</v>
      </c>
      <c r="M43" s="44">
        <f t="shared" si="0"/>
        <v>158633.17482370144</v>
      </c>
      <c r="N43" s="44">
        <f t="shared" si="0"/>
        <v>173408.91383257756</v>
      </c>
      <c r="O43" s="44">
        <f t="shared" si="0"/>
        <v>165353.69820765234</v>
      </c>
      <c r="P43" s="44">
        <f t="shared" si="0"/>
        <v>177759.09806051393</v>
      </c>
      <c r="Q43" s="44">
        <f t="shared" si="0"/>
        <v>192960.72186624419</v>
      </c>
      <c r="R43" s="44">
        <f t="shared" si="0"/>
        <v>207098.50916367499</v>
      </c>
      <c r="S43" s="44">
        <f t="shared" si="0"/>
        <v>198751.58160745644</v>
      </c>
      <c r="T43" s="44">
        <f t="shared" si="0"/>
        <v>202345.54004948583</v>
      </c>
      <c r="U43" s="44">
        <f t="shared" si="0"/>
        <v>221048.85201012116</v>
      </c>
      <c r="V43" s="44">
        <f t="shared" si="0"/>
        <v>226550.30714215219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55" t="s">
        <v>188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6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209.855627164599*Deflactores!$A$5</f>
        <v>781.44212159932977</v>
      </c>
      <c r="E53" s="56">
        <f>214.53267512811*Deflactores!$B$5</f>
        <v>742.10003876138603</v>
      </c>
      <c r="F53" s="56">
        <f>226.14663297*Deflactores!$C$5</f>
        <v>731.1533497209598</v>
      </c>
      <c r="G53" s="56">
        <f>266.40771312178*Deflactores!$D$5</f>
        <v>808.81791421957826</v>
      </c>
      <c r="H53" s="56">
        <f>243.13123342652*Deflactores!$E$5</f>
        <v>699.68841204317766</v>
      </c>
      <c r="I53" s="56">
        <f>253.69510570928*Deflactores!$F$5</f>
        <v>696.28363389215576</v>
      </c>
      <c r="J53" s="56">
        <f>375.21318216716*Deflactores!$G$5</f>
        <v>985.66094875253361</v>
      </c>
      <c r="K53" s="56">
        <f>405.641154846799*Deflactores!$H$5</f>
        <v>1008.1827068095835</v>
      </c>
      <c r="L53" s="56">
        <f>731.18980479014*Deflactores!$I$5</f>
        <v>1687.7768108374121</v>
      </c>
      <c r="M53" s="56">
        <f>323.70516586605*Deflactores!$J$5</f>
        <v>732.53208018547798</v>
      </c>
      <c r="N53" s="56">
        <f>382.30682952066*Deflactores!$K$5</f>
        <v>838.55296607628827</v>
      </c>
      <c r="O53" s="56">
        <f>271.2942997017*Deflactores!$L$5</f>
        <v>573.67855097885979</v>
      </c>
      <c r="P53" s="56">
        <f>387.95949644469*Deflactores!$M$5</f>
        <v>800.8381634872851</v>
      </c>
      <c r="Q53" s="56">
        <f>1350.35859323568*Deflactores!$N$5</f>
        <v>2734.4051119506421</v>
      </c>
      <c r="R53" s="56">
        <f>356.25028850842*Deflactores!$O$5</f>
        <v>695.91751176636853</v>
      </c>
      <c r="S53" s="56">
        <f>495.71906852961*Deflactores!$P$5</f>
        <v>906.96164754973381</v>
      </c>
      <c r="T53" s="56">
        <f>501.01826501385*Deflactores!$Q$5</f>
        <v>866.81512408785204</v>
      </c>
      <c r="U53" s="56">
        <f>565.334515913589*Deflactores!$R$5</f>
        <v>939.65713256291917</v>
      </c>
      <c r="V53" s="56">
        <f>658.24694923526*Deflactores!$S$5</f>
        <v>1060.3695415989082</v>
      </c>
    </row>
    <row r="54" spans="3:22" x14ac:dyDescent="0.2">
      <c r="C54" s="88" t="s">
        <v>124</v>
      </c>
      <c r="D54" s="57">
        <f>84.55461619313*Deflactores!$A$5</f>
        <v>314.85712135396483</v>
      </c>
      <c r="E54" s="57">
        <f>88.83866770213*Deflactores!$B$5</f>
        <v>307.30600224833626</v>
      </c>
      <c r="F54" s="57">
        <f>93.49123480001*Deflactores!$C$5</f>
        <v>302.26596167206282</v>
      </c>
      <c r="G54" s="57">
        <f>97.6466716803299*Deflactores!$D$5</f>
        <v>296.45679696543129</v>
      </c>
      <c r="H54" s="57">
        <f>105.4946304171*Deflactores!$E$5</f>
        <v>303.59476812316154</v>
      </c>
      <c r="I54" s="57">
        <f>112.34323478171*Deflactores!$F$5</f>
        <v>308.33372026753818</v>
      </c>
      <c r="J54" s="57">
        <f>116.68332081128*Deflactores!$G$5</f>
        <v>306.51959515432128</v>
      </c>
      <c r="K54" s="57">
        <f>122.99995749883*Deflactores!$H$5</f>
        <v>305.70475556275454</v>
      </c>
      <c r="L54" s="57">
        <f>1046.74458464368*Deflactores!$I$5</f>
        <v>2416.1595597442679</v>
      </c>
      <c r="M54" s="57">
        <f>1256.77425763095*Deflactores!$J$5</f>
        <v>2844.0307982199997</v>
      </c>
      <c r="N54" s="57">
        <f>1355.90465427957*Deflactores!$K$5</f>
        <v>2974.0454048083748</v>
      </c>
      <c r="O54" s="57">
        <f>1095.475283777*Deflactores!$L$5</f>
        <v>2316.4905201522984</v>
      </c>
      <c r="P54" s="57">
        <f>200.29210114124*Deflactores!$M$5</f>
        <v>413.4492386676971</v>
      </c>
      <c r="Q54" s="57">
        <f>222.8355032218*Deflactores!$N$5</f>
        <v>451.23017114568603</v>
      </c>
      <c r="R54" s="57">
        <f>244.19159524653*Deflactores!$O$5</f>
        <v>477.01633609823409</v>
      </c>
      <c r="S54" s="57">
        <f>241.083660863449*Deflactores!$P$5</f>
        <v>441.08376726882858</v>
      </c>
      <c r="T54" s="57">
        <f>252.39670181905*Deflactores!$Q$5</f>
        <v>436.6732586098363</v>
      </c>
      <c r="U54" s="57">
        <f>273.04216213599*Deflactores!$R$5</f>
        <v>453.83044537245263</v>
      </c>
      <c r="V54" s="57">
        <f>287.212521724659*Deflactores!$S$5</f>
        <v>462.67044664083244</v>
      </c>
    </row>
    <row r="55" spans="3:22" x14ac:dyDescent="0.2">
      <c r="C55" s="87" t="s">
        <v>125</v>
      </c>
      <c r="D55" s="56">
        <f>6.343881576*Deflactores!$A$5</f>
        <v>23.622794131872627</v>
      </c>
      <c r="E55" s="56">
        <f>3.554264065*Deflactores!$B$5</f>
        <v>12.294721532883626</v>
      </c>
      <c r="F55" s="56">
        <f>4.020507885*Deflactores!$C$5</f>
        <v>12.998680409658105</v>
      </c>
      <c r="G55" s="56">
        <f>4.41260433551*Deflactores!$D$5</f>
        <v>13.396734625667586</v>
      </c>
      <c r="H55" s="56">
        <f>4.455573171*Deflactores!$E$5</f>
        <v>12.822346486805291</v>
      </c>
      <c r="I55" s="56">
        <f>4.629562808*Deflactores!$F$5</f>
        <v>12.706152947941163</v>
      </c>
      <c r="J55" s="56">
        <f>4.7170987258*Deflactores!$G$5</f>
        <v>12.391515614075704</v>
      </c>
      <c r="K55" s="56">
        <f>5.046391632*Deflactores!$H$5</f>
        <v>12.54232888941579</v>
      </c>
      <c r="L55" s="56">
        <f>5.143308912*Deflactores!$I$5</f>
        <v>11.872098675033467</v>
      </c>
      <c r="M55" s="56">
        <f>6.751055242*Deflactores!$J$5</f>
        <v>15.277372934838301</v>
      </c>
      <c r="N55" s="56">
        <f>24.999428344*Deflactores!$K$5</f>
        <v>54.833822389092219</v>
      </c>
      <c r="O55" s="56">
        <f>9.36117917102999*Deflactores!$L$5</f>
        <v>19.795136529572709</v>
      </c>
      <c r="P55" s="56">
        <f>12.4844571455*Deflactores!$M$5</f>
        <v>25.770808097652321</v>
      </c>
      <c r="Q55" s="56">
        <f>16.25690079538*Deflactores!$N$5</f>
        <v>32.919368871378822</v>
      </c>
      <c r="R55" s="56">
        <f>20.90564120256*Deflactores!$O$5</f>
        <v>40.83814743976599</v>
      </c>
      <c r="S55" s="56">
        <f>19.90025796843*Deflactores!$P$5</f>
        <v>36.4092727101417</v>
      </c>
      <c r="T55" s="56">
        <f>20.51019136983*Deflactores!$Q$5</f>
        <v>35.484822248572755</v>
      </c>
      <c r="U55" s="56">
        <f>22.19437046851*Deflactores!$R$5</f>
        <v>36.889837656165554</v>
      </c>
      <c r="V55" s="56">
        <f>22.31333647409*Deflactores!$S$5</f>
        <v>35.944537830462018</v>
      </c>
    </row>
    <row r="56" spans="3:22" x14ac:dyDescent="0.2">
      <c r="C56" s="88" t="s">
        <v>126</v>
      </c>
      <c r="D56" s="57">
        <f>110.5267786134*Deflactores!$A$5</f>
        <v>411.56999952853636</v>
      </c>
      <c r="E56" s="57">
        <f>110.27672327759*Deflactores!$B$5</f>
        <v>381.46338579849856</v>
      </c>
      <c r="F56" s="57">
        <f>112.004335351679*Deflactores!$C$5</f>
        <v>362.12055824202088</v>
      </c>
      <c r="G56" s="57">
        <f>111.838533888739*Deflactores!$D$5</f>
        <v>339.54350889201129</v>
      </c>
      <c r="H56" s="57">
        <f>113.09326170913*Deflactores!$E$5</f>
        <v>325.46227641279023</v>
      </c>
      <c r="I56" s="57">
        <f>125.145544914359*Deflactores!$F$5</f>
        <v>343.47053931043365</v>
      </c>
      <c r="J56" s="57">
        <f>203.59603270943*Deflactores!$G$5</f>
        <v>534.83371134126583</v>
      </c>
      <c r="K56" s="57">
        <f>173.449050891329*Deflactores!$H$5</f>
        <v>431.09120347321976</v>
      </c>
      <c r="L56" s="57">
        <f>158.694002608039*Deflactores!$I$5</f>
        <v>366.30715563340391</v>
      </c>
      <c r="M56" s="57">
        <f>198.515161058489*Deflactores!$J$5</f>
        <v>449.23201484743925</v>
      </c>
      <c r="N56" s="57">
        <f>134.24644607223*Deflactores!$K$5</f>
        <v>294.45656432612975</v>
      </c>
      <c r="O56" s="57">
        <f>250.74432609383*Deflactores!$L$5</f>
        <v>530.22360520602456</v>
      </c>
      <c r="P56" s="57">
        <f>353.7471157706*Deflactores!$M$5</f>
        <v>730.21589400129437</v>
      </c>
      <c r="Q56" s="57">
        <f>525.292127667796*Deflactores!$N$5</f>
        <v>1063.6889240808944</v>
      </c>
      <c r="R56" s="57">
        <f>404.174008918528*Deflactores!$O$5</f>
        <v>789.53415528412177</v>
      </c>
      <c r="S56" s="57">
        <f>387.70738494301*Deflactores!$P$5</f>
        <v>709.34476992810596</v>
      </c>
      <c r="T56" s="57">
        <f>373.38334460748*Deflactores!$Q$5</f>
        <v>645.99307607941796</v>
      </c>
      <c r="U56" s="57">
        <f>438.02729413896*Deflactores!$R$5</f>
        <v>728.05650390860194</v>
      </c>
      <c r="V56" s="57">
        <f>386.88016523141*Deflactores!$S$5</f>
        <v>623.22498256428707</v>
      </c>
    </row>
    <row r="57" spans="3:22" x14ac:dyDescent="0.2">
      <c r="C57" s="87" t="s">
        <v>127</v>
      </c>
      <c r="D57" s="56">
        <f>168.793936681919*Deflactores!$A$5</f>
        <v>628.54017200293902</v>
      </c>
      <c r="E57" s="56">
        <f>182.409355607469*Deflactores!$B$5</f>
        <v>630.98075752752936</v>
      </c>
      <c r="F57" s="56">
        <f>189.84707649563*Deflactores!$C$5</f>
        <v>613.79346705960006</v>
      </c>
      <c r="G57" s="56">
        <f>208.64289693158*Deflactores!$D$5</f>
        <v>633.44304387985301</v>
      </c>
      <c r="H57" s="56">
        <f>224.132323363319*Deflactores!$E$5</f>
        <v>645.01293071843941</v>
      </c>
      <c r="I57" s="56">
        <f>241.43622919109*Deflactores!$F$5</f>
        <v>662.6383057110836</v>
      </c>
      <c r="J57" s="56">
        <f>255.46897103514*Deflactores!$G$5</f>
        <v>671.10059117045739</v>
      </c>
      <c r="K57" s="56">
        <f>272.50974342038*Deflactores!$H$5</f>
        <v>677.29718119283632</v>
      </c>
      <c r="L57" s="56">
        <f>294.3915835077*Deflactores!$I$5</f>
        <v>679.53257101637007</v>
      </c>
      <c r="M57" s="56">
        <f>324.93275173017*Deflactores!$J$5</f>
        <v>735.3100587952548</v>
      </c>
      <c r="N57" s="56">
        <f>335.60000125867*Deflactores!$K$5</f>
        <v>736.10606648986334</v>
      </c>
      <c r="O57" s="56">
        <f>350.26007424642*Deflactores!$L$5</f>
        <v>740.65946863009208</v>
      </c>
      <c r="P57" s="56">
        <f>372.72689156218*Deflactores!$M$5</f>
        <v>769.39454261699177</v>
      </c>
      <c r="Q57" s="56">
        <f>390.257046923153*Deflactores!$N$5</f>
        <v>790.24998946719415</v>
      </c>
      <c r="R57" s="56">
        <f>401.61577456809*Deflactores!$O$5</f>
        <v>784.5367696226923</v>
      </c>
      <c r="S57" s="56">
        <f>414.30592437919*Deflactores!$P$5</f>
        <v>758.00913787547984</v>
      </c>
      <c r="T57" s="56">
        <f>442.15758726191*Deflactores!$Q$5</f>
        <v>764.97986327548915</v>
      </c>
      <c r="U57" s="56">
        <f>483.44802999331*Deflactores!$R$5</f>
        <v>803.55148468617733</v>
      </c>
      <c r="V57" s="56">
        <f>508.810457183708*Deflactores!$S$5</f>
        <v>819.64240300913309</v>
      </c>
    </row>
    <row r="58" spans="3:22" x14ac:dyDescent="0.2">
      <c r="C58" s="88" t="s">
        <v>128</v>
      </c>
      <c r="D58" s="57">
        <f>38.0122767476599*Deflactores!$A$5</f>
        <v>141.54680810733635</v>
      </c>
      <c r="E58" s="57">
        <f>42.0482249567499*Deflactores!$B$5</f>
        <v>145.45098713572585</v>
      </c>
      <c r="F58" s="57">
        <f>48.60725009686*Deflactores!$C$5</f>
        <v>157.15181456519048</v>
      </c>
      <c r="G58" s="57">
        <f>53.5417968332199*Deflactores!$D$5</f>
        <v>162.5537186245713</v>
      </c>
      <c r="H58" s="57">
        <f>59.08710891086*Deflactores!$E$5</f>
        <v>170.0421818431511</v>
      </c>
      <c r="I58" s="57">
        <f>67.72162660071*Deflactores!$F$5</f>
        <v>185.86665332308456</v>
      </c>
      <c r="J58" s="57">
        <f>72.89371219788*Deflactores!$G$5</f>
        <v>191.48710369948449</v>
      </c>
      <c r="K58" s="57">
        <f>82.1514645752999*Deflactores!$H$5</f>
        <v>204.17969166658642</v>
      </c>
      <c r="L58" s="57">
        <f>103.88790044876*Deflactores!$I$5</f>
        <v>239.80037488942727</v>
      </c>
      <c r="M58" s="57">
        <f>96.94775728449*Deflactores!$J$5</f>
        <v>219.38896811523679</v>
      </c>
      <c r="N58" s="57">
        <f>106.24486223317*Deflactores!$K$5</f>
        <v>233.03780491626492</v>
      </c>
      <c r="O58" s="57">
        <f>118.89677798564*Deflactores!$L$5</f>
        <v>251.41896230718973</v>
      </c>
      <c r="P58" s="57">
        <f>149.68429783127*Deflactores!$M$5</f>
        <v>308.98302342540524</v>
      </c>
      <c r="Q58" s="57">
        <f>203.0424681267*Deflactores!$N$5</f>
        <v>411.15031634550712</v>
      </c>
      <c r="R58" s="57">
        <f>196.61316702544*Deflactores!$O$5</f>
        <v>384.07420398093433</v>
      </c>
      <c r="S58" s="57">
        <f>215.40027856284*Deflactores!$P$5</f>
        <v>394.09375981338883</v>
      </c>
      <c r="T58" s="57">
        <f>205.31573143962*Deflactores!$Q$5</f>
        <v>355.21815002114255</v>
      </c>
      <c r="U58" s="57">
        <f>212.6029333768*Deflactores!$R$5</f>
        <v>353.37283878461176</v>
      </c>
      <c r="V58" s="57">
        <f>256.42646078503*Deflactores!$S$5</f>
        <v>413.07720300466156</v>
      </c>
    </row>
    <row r="59" spans="3:22" x14ac:dyDescent="0.2">
      <c r="C59" s="87" t="s">
        <v>129</v>
      </c>
      <c r="D59" s="56">
        <f>5442.3917174645*Deflactores!$A$5</f>
        <v>20265.904649458509</v>
      </c>
      <c r="E59" s="56">
        <f>6103.43048746941*Deflactores!$B$5</f>
        <v>21112.662668396464</v>
      </c>
      <c r="F59" s="56">
        <f>6882.50558807558*Deflactores!$C$5</f>
        <v>22251.78836008687</v>
      </c>
      <c r="G59" s="56">
        <f>7901.71206401511*Deflactores!$D$5</f>
        <v>23989.719349675557</v>
      </c>
      <c r="H59" s="56">
        <f>9237.33938236969*Deflactores!$E$5</f>
        <v>26583.418480898323</v>
      </c>
      <c r="I59" s="56">
        <f>10086.4959605128*Deflactores!$F$5</f>
        <v>27683.080605711126</v>
      </c>
      <c r="J59" s="56">
        <f>11027.7414385041*Deflactores!$G$5</f>
        <v>28969.169009715373</v>
      </c>
      <c r="K59" s="56">
        <f>12326.2952718474*Deflactores!$H$5</f>
        <v>30635.840529540757</v>
      </c>
      <c r="L59" s="56">
        <f>13958.8218549411*Deflactores!$I$5</f>
        <v>32220.602200740304</v>
      </c>
      <c r="M59" s="56">
        <f>15737.1529111011*Deflactores!$J$5</f>
        <v>35612.559124052234</v>
      </c>
      <c r="N59" s="56">
        <f>16923.365340984*Deflactores!$K$5</f>
        <v>37119.761162696923</v>
      </c>
      <c r="O59" s="56">
        <f>18367.2302292945*Deflactores!$L$5</f>
        <v>38839.31964299488</v>
      </c>
      <c r="P59" s="56">
        <f>19964.1227699545*Deflactores!$M$5</f>
        <v>41210.56852903821</v>
      </c>
      <c r="Q59" s="56">
        <f>21435.852690456*Deflactores!$N$5</f>
        <v>43406.474005807861</v>
      </c>
      <c r="R59" s="56">
        <f>22630.3621748089*Deflactores!$O$5</f>
        <v>44207.305490203209</v>
      </c>
      <c r="S59" s="56">
        <f>23550.8302683597*Deflactores!$P$5</f>
        <v>43088.315897777102</v>
      </c>
      <c r="T59" s="56">
        <f>25663.8309276023*Deflactores!$Q$5</f>
        <v>44401.16926568393</v>
      </c>
      <c r="U59" s="56">
        <f>26826.7079523134*Deflactores!$R$5</f>
        <v>44589.365695878871</v>
      </c>
      <c r="V59" s="56">
        <f>28551.9647020425*Deflactores!$S$5</f>
        <v>45994.339598575767</v>
      </c>
    </row>
    <row r="60" spans="3:22" x14ac:dyDescent="0.2">
      <c r="C60" s="88" t="s">
        <v>130</v>
      </c>
      <c r="D60" s="57">
        <f>5.825565739*Deflactores!$A$5</f>
        <v>21.692734724858841</v>
      </c>
      <c r="E60" s="57">
        <f>5.92283469127999*Deflactores!$B$5</f>
        <v>20.487955279313283</v>
      </c>
      <c r="F60" s="57">
        <f>5.25498143001*Deflactores!$C$5</f>
        <v>16.989849571551861</v>
      </c>
      <c r="G60" s="57">
        <f>5.49609116491*Deflactores!$D$5</f>
        <v>16.686217303067014</v>
      </c>
      <c r="H60" s="57">
        <f>6.67300282725999*Deflactores!$E$5</f>
        <v>19.203714331405578</v>
      </c>
      <c r="I60" s="57">
        <f>6.755120598*Deflactores!$F$5</f>
        <v>18.53989222301005</v>
      </c>
      <c r="J60" s="57">
        <f>5.885489672*Deflactores!$G$5</f>
        <v>15.460803643599947</v>
      </c>
      <c r="K60" s="57">
        <f>6.296037477*Deflactores!$H$5</f>
        <v>15.64820539014036</v>
      </c>
      <c r="L60" s="57">
        <f>6.535881852*Deflactores!$I$5</f>
        <v>15.086520293242788</v>
      </c>
      <c r="M60" s="57">
        <f>7.06839252639999*Deflactores!$J$5</f>
        <v>15.995494749298709</v>
      </c>
      <c r="N60" s="57">
        <f>10.44029063*Deflactores!$K$5</f>
        <v>22.899765315366594</v>
      </c>
      <c r="O60" s="57">
        <f>8.580148977*Deflactores!$L$5</f>
        <v>18.14357116135626</v>
      </c>
      <c r="P60" s="57">
        <f>17.11223970503*Deflactores!$M$5</f>
        <v>35.323622038168551</v>
      </c>
      <c r="Q60" s="57">
        <f>23.64664046071*Deflactores!$N$5</f>
        <v>47.883202935962061</v>
      </c>
      <c r="R60" s="57">
        <f>24.53470061724*Deflactores!$O$5</f>
        <v>47.927337482223251</v>
      </c>
      <c r="S60" s="57">
        <f>28.37179023925*Deflactores!$P$5</f>
        <v>51.90868629615489</v>
      </c>
      <c r="T60" s="57">
        <f>60.06693656153*Deflactores!$Q$5</f>
        <v>103.92221742199446</v>
      </c>
      <c r="U60" s="57">
        <f>55.9380997432399*Deflactores!$R$5</f>
        <v>92.976163538872854</v>
      </c>
      <c r="V60" s="57">
        <f>37.3611797368399*Deflactores!$S$5</f>
        <v>60.185097822592716</v>
      </c>
    </row>
    <row r="61" spans="3:22" x14ac:dyDescent="0.2">
      <c r="C61" s="87" t="s">
        <v>131</v>
      </c>
      <c r="D61" s="56">
        <f>4725.46738270048*Deflactores!$A$5</f>
        <v>17596.284202517782</v>
      </c>
      <c r="E61" s="56">
        <f>7245.91329601905*Deflactores!$B$5</f>
        <v>25064.678537319985</v>
      </c>
      <c r="F61" s="56">
        <f>8387.64648378646*Deflactores!$C$5</f>
        <v>27118.05054249577</v>
      </c>
      <c r="G61" s="56">
        <f>9799.78120890956*Deflactores!$D$5</f>
        <v>29752.286464676101</v>
      </c>
      <c r="H61" s="56">
        <f>11082.6386325344*Deflactores!$E$5</f>
        <v>31893.861256579068</v>
      </c>
      <c r="I61" s="56">
        <f>11924.1788747691*Deflactores!$F$5</f>
        <v>32726.727521573164</v>
      </c>
      <c r="J61" s="56">
        <f>12793.0013878508*Deflactores!$G$5</f>
        <v>33606.39360406014</v>
      </c>
      <c r="K61" s="56">
        <f>13664.1774151917*Deflactores!$H$5</f>
        <v>33961.020000490847</v>
      </c>
      <c r="L61" s="56">
        <f>15374.5004580388*Deflactores!$I$5</f>
        <v>35488.357716823804</v>
      </c>
      <c r="M61" s="56">
        <f>17782.2519271745*Deflactores!$J$5</f>
        <v>40240.53789733335</v>
      </c>
      <c r="N61" s="56">
        <f>19388.4658594943*Deflactores!$K$5</f>
        <v>42526.720159649136</v>
      </c>
      <c r="O61" s="56">
        <f>20811.9325871654*Deflactores!$L$5</f>
        <v>44008.883868192614</v>
      </c>
      <c r="P61" s="56">
        <f>22129.8397692739*Deflactores!$M$5</f>
        <v>45681.109501130151</v>
      </c>
      <c r="Q61" s="56">
        <f>23663.6367202298*Deflactores!$N$5</f>
        <v>47917.61946735438</v>
      </c>
      <c r="R61" s="56">
        <f>25009.0212763422*Deflactores!$O$5</f>
        <v>48853.899687250028</v>
      </c>
      <c r="S61" s="56">
        <f>26576.3104954513*Deflactores!$P$5</f>
        <v>48623.698144684226</v>
      </c>
      <c r="T61" s="56">
        <f>28761.5986772131*Deflactores!$Q$5</f>
        <v>49760.638418370414</v>
      </c>
      <c r="U61" s="56">
        <f>32297.9901167389*Deflactores!$R$5</f>
        <v>53683.325405306059</v>
      </c>
      <c r="V61" s="56">
        <f>34795.0550312323*Deflactores!$S$5</f>
        <v>56051.329362393968</v>
      </c>
    </row>
    <row r="62" spans="3:22" x14ac:dyDescent="0.2">
      <c r="C62" s="88" t="s">
        <v>132</v>
      </c>
      <c r="D62" s="57">
        <f>7.42959174125*Deflactores!$A$5</f>
        <v>27.665667160526112</v>
      </c>
      <c r="E62" s="57">
        <f>7.34176456840999*Deflactores!$B$5</f>
        <v>25.396242169359571</v>
      </c>
      <c r="F62" s="57">
        <f>7.08431658021*Deflactores!$C$5</f>
        <v>22.904262292471998</v>
      </c>
      <c r="G62" s="57">
        <f>7.32479480762*Deflactores!$D$5</f>
        <v>22.238189686638087</v>
      </c>
      <c r="H62" s="57">
        <f>6.91585595388999*Deflactores!$E$5</f>
        <v>19.902602401591839</v>
      </c>
      <c r="I62" s="57">
        <f>7.94544161003*Deflactores!$F$5</f>
        <v>21.806809956551962</v>
      </c>
      <c r="J62" s="57">
        <f>8.94665002377*Deflactores!$G$5</f>
        <v>23.502275425540283</v>
      </c>
      <c r="K62" s="57">
        <f>8.95782815352*Deflactores!$H$5</f>
        <v>22.263834246211353</v>
      </c>
      <c r="L62" s="57">
        <f>9.81709756018999*Deflactores!$I$5</f>
        <v>22.660422100076627</v>
      </c>
      <c r="M62" s="57">
        <f>10.47391257504*Deflactores!$J$5</f>
        <v>23.702052902825091</v>
      </c>
      <c r="N62" s="57">
        <f>10.6536330200299*Deflactores!$K$5</f>
        <v>23.367711164447247</v>
      </c>
      <c r="O62" s="57">
        <f>12.3732526716937*Deflactores!$L$5</f>
        <v>26.164462988707857</v>
      </c>
      <c r="P62" s="57">
        <f>14.96698615725*Deflactores!$M$5</f>
        <v>30.895322364716311</v>
      </c>
      <c r="Q62" s="57">
        <f>16.38909288708*Deflactores!$N$5</f>
        <v>33.187050902740424</v>
      </c>
      <c r="R62" s="57">
        <f>19.42043502229*Deflactores!$O$5</f>
        <v>37.936869819020707</v>
      </c>
      <c r="S62" s="57">
        <f>19.19753927268*Deflactores!$P$5</f>
        <v>35.123587033470272</v>
      </c>
      <c r="T62" s="57">
        <f>21.2619150283699*Deflactores!$Q$5</f>
        <v>36.785384487234893</v>
      </c>
      <c r="U62" s="57">
        <f>23.7543113049599*Deflactores!$R$5</f>
        <v>39.482655699439526</v>
      </c>
      <c r="V62" s="57">
        <f>24.90890425751*Deflactores!$S$5</f>
        <v>40.125736123733994</v>
      </c>
    </row>
    <row r="63" spans="3:22" x14ac:dyDescent="0.2">
      <c r="C63" s="87" t="s">
        <v>133</v>
      </c>
      <c r="D63" s="56">
        <f>602.44297592214*Deflactores!$A$5</f>
        <v>2243.324725707555</v>
      </c>
      <c r="E63" s="56">
        <f>630.47127733478*Deflactores!$B$5</f>
        <v>2180.8927664221155</v>
      </c>
      <c r="F63" s="56">
        <f>673.59451715664*Deflactores!$C$5</f>
        <v>2177.7944738981969</v>
      </c>
      <c r="G63" s="56">
        <f>696.300076159719*Deflactores!$D$5</f>
        <v>2113.9777398749607</v>
      </c>
      <c r="H63" s="56">
        <f>748.535493552169*Deflactores!$E$5</f>
        <v>2154.1519098975018</v>
      </c>
      <c r="I63" s="56">
        <f>825.66686414812*Deflactores!$F$5</f>
        <v>2266.099391023311</v>
      </c>
      <c r="J63" s="56">
        <f>908.10837315604*Deflactores!$G$5</f>
        <v>2385.5424148086963</v>
      </c>
      <c r="K63" s="56">
        <f>1022.09773443868*Deflactores!$H$5</f>
        <v>2540.3272035341483</v>
      </c>
      <c r="L63" s="56">
        <f>1184.2146525455*Deflactores!$I$5</f>
        <v>2733.4763375069565</v>
      </c>
      <c r="M63" s="56">
        <f>1370.81237617628*Deflactores!$J$5</f>
        <v>3102.0945828214985</v>
      </c>
      <c r="N63" s="56">
        <f>1448.11306714645*Deflactores!$K$5</f>
        <v>3176.2956188672129</v>
      </c>
      <c r="O63" s="56">
        <f>1567.36461941759*Deflactores!$L$5</f>
        <v>3314.3470567265317</v>
      </c>
      <c r="P63" s="56">
        <f>1840.37466416572*Deflactores!$M$5</f>
        <v>3798.9591173446756</v>
      </c>
      <c r="Q63" s="56">
        <f>2100.08202454281*Deflactores!$N$5</f>
        <v>4252.5556190712305</v>
      </c>
      <c r="R63" s="56">
        <f>2381.52512234021*Deflactores!$O$5</f>
        <v>4652.1928284948572</v>
      </c>
      <c r="S63" s="56">
        <f>2647.48497640319*Deflactores!$P$5</f>
        <v>4843.8066810382952</v>
      </c>
      <c r="T63" s="56">
        <f>2985.15682896139*Deflactores!$Q$5</f>
        <v>5164.6402293264418</v>
      </c>
      <c r="U63" s="56">
        <f>3249.1802786357*Deflactores!$R$5</f>
        <v>5400.5466460312055</v>
      </c>
      <c r="V63" s="56">
        <f>3489.62458696244*Deflactores!$S$5</f>
        <v>5621.4337611873125</v>
      </c>
    </row>
    <row r="64" spans="3:22" x14ac:dyDescent="0.2">
      <c r="C64" s="88" t="s">
        <v>134</v>
      </c>
      <c r="D64" s="57">
        <f>5945.37723645752*Deflactores!$A$5</f>
        <v>22138.878352409803</v>
      </c>
      <c r="E64" s="57">
        <f>4977.17205391405*Deflactores!$B$5</f>
        <v>17216.769295987491</v>
      </c>
      <c r="F64" s="57">
        <f>5096.73893520681*Deflactores!$C$5</f>
        <v>16478.236691784146</v>
      </c>
      <c r="G64" s="57">
        <f>3865.9204283896*Deflactores!$D$5</f>
        <v>11736.993875997892</v>
      </c>
      <c r="H64" s="57">
        <f>4702.63144110229*Deflactores!$E$5</f>
        <v>13533.336211382366</v>
      </c>
      <c r="I64" s="57">
        <f>5161.83364108415*Deflactores!$F$5</f>
        <v>14167.006789951567</v>
      </c>
      <c r="J64" s="57">
        <f>5265.74316608466*Deflactores!$G$5</f>
        <v>13832.769347261072</v>
      </c>
      <c r="K64" s="57">
        <f>5585.0949639379*Deflactores!$H$5</f>
        <v>13881.225046452948</v>
      </c>
      <c r="L64" s="57">
        <f>6283.39406187497*Deflactores!$I$5</f>
        <v>14503.712608561083</v>
      </c>
      <c r="M64" s="57">
        <f>5555.17084319726*Deflactores!$J$5</f>
        <v>12571.133496327668</v>
      </c>
      <c r="N64" s="57">
        <f>6530.92265800271*Deflactores!$K$5</f>
        <v>14324.945680278661</v>
      </c>
      <c r="O64" s="57">
        <f>6834.27426905191*Deflactores!$L$5</f>
        <v>14451.746918283066</v>
      </c>
      <c r="P64" s="57">
        <f>7240.66434484265*Deflactores!$M$5</f>
        <v>14946.406492148699</v>
      </c>
      <c r="Q64" s="57">
        <f>10166.7867822127*Deflactores!$N$5</f>
        <v>20587.208382020221</v>
      </c>
      <c r="R64" s="57">
        <f>11059.5730040039*Deflactores!$O$5</f>
        <v>21604.334857859314</v>
      </c>
      <c r="S64" s="57">
        <f>14174.6810894506*Deflactores!$P$5</f>
        <v>25933.82609330121</v>
      </c>
      <c r="T64" s="57">
        <f>16231.0244185668*Deflactores!$Q$5</f>
        <v>28081.406263829544</v>
      </c>
      <c r="U64" s="57">
        <f>18997.3853411081*Deflactores!$R$5</f>
        <v>31576.045922069596</v>
      </c>
      <c r="V64" s="57">
        <f>10108.723266192*Deflactores!$S$5</f>
        <v>16284.135108222468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20.5496269209599*Deflactores!$A$5</f>
        <v>76.520912382274787</v>
      </c>
      <c r="E66" s="57">
        <f>17.39559402504*Deflactores!$B$5</f>
        <v>60.173915197536417</v>
      </c>
      <c r="F66" s="57">
        <f>19.00533027538*Deflactores!$C$5</f>
        <v>61.446021596265098</v>
      </c>
      <c r="G66" s="57">
        <f>16.9182627124*Deflactores!$D$5</f>
        <v>51.364105787008924</v>
      </c>
      <c r="H66" s="57">
        <f>14.91351371177*Deflactores!$E$5</f>
        <v>42.918437832571414</v>
      </c>
      <c r="I66" s="57">
        <f>17.49429007237*Deflactores!$F$5</f>
        <v>48.014280093806619</v>
      </c>
      <c r="J66" s="57">
        <f>147.54875733184*Deflactores!$G$5</f>
        <v>387.60111598149382</v>
      </c>
      <c r="K66" s="57">
        <f>56.06448848829*Deflactores!$H$5</f>
        <v>139.3429810675064</v>
      </c>
      <c r="L66" s="57">
        <f>97.06395307189*Deflactores!$I$5</f>
        <v>224.04892421874735</v>
      </c>
      <c r="M66" s="57">
        <f>250.70839410866*Deflactores!$J$5</f>
        <v>567.34325189105255</v>
      </c>
      <c r="N66" s="57">
        <f>363.35117229125*Deflactores!$K$5</f>
        <v>796.97556968612469</v>
      </c>
      <c r="O66" s="57">
        <f>563.71141078301*Deflactores!$L$5</f>
        <v>1192.0233696905041</v>
      </c>
      <c r="P66" s="57">
        <f>1068.43881030878*Deflactores!$M$5</f>
        <v>2205.5049109184765</v>
      </c>
      <c r="Q66" s="57">
        <f>838.19840620391*Deflactores!$N$5</f>
        <v>1697.3076768156138</v>
      </c>
      <c r="R66" s="57">
        <f>842.227900165624*Deflactores!$O$5</f>
        <v>1645.2510033816336</v>
      </c>
      <c r="S66" s="57">
        <f>793.658521440189*Deflactores!$P$5</f>
        <v>1452.0680883476723</v>
      </c>
      <c r="T66" s="57">
        <f>844.72428572634*Deflactores!$Q$5</f>
        <v>1461.4632592918708</v>
      </c>
      <c r="U66" s="57">
        <f>815.105779560309*Deflactores!$R$5</f>
        <v>1354.8084151900132</v>
      </c>
      <c r="V66" s="57">
        <f>798.812343011924*Deflactores!$S$5</f>
        <v>1286.8062342972889</v>
      </c>
    </row>
    <row r="67" spans="3:22" x14ac:dyDescent="0.2">
      <c r="C67" s="87" t="s">
        <v>137</v>
      </c>
      <c r="D67" s="56">
        <f>36.95461729495*Deflactores!$A$5</f>
        <v>137.60838788090635</v>
      </c>
      <c r="E67" s="56">
        <f>34.1107639652*Deflactores!$B$5</f>
        <v>117.99414352913458</v>
      </c>
      <c r="F67" s="56">
        <f>36.57995157486*Deflactores!$C$5</f>
        <v>118.26642641253639</v>
      </c>
      <c r="G67" s="56">
        <f>36.8505741283799*Deflactores!$D$5</f>
        <v>111.87890979224603</v>
      </c>
      <c r="H67" s="56">
        <f>38.6856466566699*Deflactores!$E$5</f>
        <v>111.3304049693368</v>
      </c>
      <c r="I67" s="56">
        <f>40.58555739226*Deflactores!$F$5</f>
        <v>111.38984847821501</v>
      </c>
      <c r="J67" s="56">
        <f>42.03147689831*Deflactores!$G$5</f>
        <v>110.41399227440155</v>
      </c>
      <c r="K67" s="56">
        <f>42.87140152622*Deflactores!$H$5</f>
        <v>106.552811811585</v>
      </c>
      <c r="L67" s="56">
        <f>46.00685643*Deflactores!$I$5</f>
        <v>106.19582619093867</v>
      </c>
      <c r="M67" s="56">
        <f>49.58672667462*Deflactores!$J$5</f>
        <v>112.21281545929678</v>
      </c>
      <c r="N67" s="56">
        <f>48.77548515*Deflactores!$K$5</f>
        <v>106.98429791490857</v>
      </c>
      <c r="O67" s="56">
        <f>50.41638360672*Deflactores!$L$5</f>
        <v>106.61041505442375</v>
      </c>
      <c r="P67" s="56">
        <f>90.648786428332*Deflactores!$M$5</f>
        <v>187.12006874657376</v>
      </c>
      <c r="Q67" s="56">
        <f>111.595265760869*Deflactores!$N$5</f>
        <v>225.97454238790701</v>
      </c>
      <c r="R67" s="56">
        <f>116.90134082322*Deflactores!$O$5</f>
        <v>228.36105078950598</v>
      </c>
      <c r="S67" s="56">
        <f>118.50521248841*Deflactores!$P$5</f>
        <v>216.81571193241217</v>
      </c>
      <c r="T67" s="56">
        <f>132.066598616739*Deflactores!$Q$5</f>
        <v>228.48932476476597</v>
      </c>
      <c r="U67" s="56">
        <f>138.59850205165*Deflactores!$R$5</f>
        <v>230.36815787712428</v>
      </c>
      <c r="V67" s="56">
        <f>141.28905929192*Deflactores!$S$5</f>
        <v>227.60244496137943</v>
      </c>
    </row>
    <row r="68" spans="3:22" x14ac:dyDescent="0.2">
      <c r="C68" s="88" t="s">
        <v>138</v>
      </c>
      <c r="D68" s="57">
        <f>137.660968119219*Deflactores!$A$5</f>
        <v>512.60993303803616</v>
      </c>
      <c r="E68" s="57">
        <f>151.42552517897*Deflactores!$B$5</f>
        <v>523.80313645775618</v>
      </c>
      <c r="F68" s="57">
        <f>165.14037662442*Deflactores!$C$5</f>
        <v>533.9143809368278</v>
      </c>
      <c r="G68" s="57">
        <f>182.967827958759*Deflactores!$D$5</f>
        <v>555.49313961207326</v>
      </c>
      <c r="H68" s="57">
        <f>191.91146700714*Deflactores!$E$5</f>
        <v>552.2870414906381</v>
      </c>
      <c r="I68" s="57">
        <f>222.00826227328*Deflactores!$F$5</f>
        <v>609.31691676725848</v>
      </c>
      <c r="J68" s="57">
        <f>236.00417173566*Deflactores!$G$5</f>
        <v>619.9678126417549</v>
      </c>
      <c r="K68" s="57">
        <f>224.50955914967*Deflactores!$H$5</f>
        <v>557.99726517795352</v>
      </c>
      <c r="L68" s="57">
        <f>249.93987598258*Deflactores!$I$5</f>
        <v>576.92643418086357</v>
      </c>
      <c r="M68" s="57">
        <f>240.08111533208*Deflactores!$J$5</f>
        <v>543.29413729601231</v>
      </c>
      <c r="N68" s="57">
        <f>239.07274868955*Deflactores!$K$5</f>
        <v>524.38289625375228</v>
      </c>
      <c r="O68" s="57">
        <f>255.05853423416*Deflactores!$L$5</f>
        <v>539.34642377348814</v>
      </c>
      <c r="P68" s="57">
        <f>96.5863167138899*Deflactores!$M$5</f>
        <v>199.37650503209264</v>
      </c>
      <c r="Q68" s="57">
        <f>124.00226893869*Deflactores!$N$5</f>
        <v>251.09807111824961</v>
      </c>
      <c r="R68" s="57">
        <f>77.97725893245*Deflactores!$O$5</f>
        <v>152.32476088043887</v>
      </c>
      <c r="S68" s="57">
        <f>61.63878869845*Deflactores!$P$5</f>
        <v>112.77358669445029</v>
      </c>
      <c r="T68" s="57">
        <f>81.27033184115*Deflactores!$Q$5</f>
        <v>140.60635649201322</v>
      </c>
      <c r="U68" s="57">
        <f>83.47428335875*Deflactores!$R$5</f>
        <v>138.74476709930212</v>
      </c>
      <c r="V68" s="57">
        <f>86.33079663365*Deflactores!$S$5</f>
        <v>139.07021879652396</v>
      </c>
    </row>
    <row r="69" spans="3:22" x14ac:dyDescent="0.2">
      <c r="C69" s="87" t="s">
        <v>139</v>
      </c>
      <c r="D69" s="56">
        <f>358.03713930518*Deflactores!$A$5</f>
        <v>1333.2275409062379</v>
      </c>
      <c r="E69" s="56">
        <f>430.39837078927*Deflactores!$B$5</f>
        <v>1488.8111913713055</v>
      </c>
      <c r="F69" s="56">
        <f>464.2011171859*Deflactores!$C$5</f>
        <v>1500.8059033083491</v>
      </c>
      <c r="G69" s="56">
        <f>513.915809522769*Deflactores!$D$5</f>
        <v>1560.2563014107031</v>
      </c>
      <c r="H69" s="56">
        <f>596.592510042159*Deflactores!$E$5</f>
        <v>1716.8870494559828</v>
      </c>
      <c r="I69" s="56">
        <f>720.71082601846*Deflactores!$F$5</f>
        <v>1978.0403391014036</v>
      </c>
      <c r="J69" s="56">
        <f>821.032177381439*Deflactores!$G$5</f>
        <v>2156.7988369705445</v>
      </c>
      <c r="K69" s="56">
        <f>723.547307211319*Deflactores!$H$5</f>
        <v>1798.308366823863</v>
      </c>
      <c r="L69" s="56">
        <f>810.07241610797*Deflactores!$I$5</f>
        <v>1869.8584554231786</v>
      </c>
      <c r="M69" s="56">
        <f>956.68073944911*Deflactores!$J$5</f>
        <v>2164.9309496408541</v>
      </c>
      <c r="N69" s="56">
        <f>1904.19819167447*Deflactores!$K$5</f>
        <v>4176.6741222692208</v>
      </c>
      <c r="O69" s="56">
        <f>1906.54205702307*Deflactores!$L$5</f>
        <v>4031.5711972417666</v>
      </c>
      <c r="P69" s="56">
        <f>1488.66452946125*Deflactores!$M$5</f>
        <v>3072.9480235635256</v>
      </c>
      <c r="Q69" s="56">
        <f>1816.42701544855*Deflactores!$N$5</f>
        <v>3678.1691481122693</v>
      </c>
      <c r="R69" s="56">
        <f>2131.85558204937*Deflactores!$O$5</f>
        <v>4164.4755947193453</v>
      </c>
      <c r="S69" s="56">
        <f>2145.00613584817*Deflactores!$P$5</f>
        <v>3924.4774358663599</v>
      </c>
      <c r="T69" s="56">
        <f>2238.04380392373*Deflactores!$Q$5</f>
        <v>3872.0548791940123</v>
      </c>
      <c r="U69" s="56">
        <f>2518.11747178689*Deflactores!$R$5</f>
        <v>4185.4282312342011</v>
      </c>
      <c r="V69" s="56">
        <f>2833.20509311015*Deflactores!$S$5</f>
        <v>4564.0080661629818</v>
      </c>
    </row>
    <row r="70" spans="3:22" x14ac:dyDescent="0.2">
      <c r="C70" s="88" t="s">
        <v>140</v>
      </c>
      <c r="D70" s="57">
        <f>90.29009986542*Deflactores!$A$5</f>
        <v>336.21441631826531</v>
      </c>
      <c r="E70" s="57">
        <f>80.74080651058*Deflactores!$B$5</f>
        <v>279.29431078667432</v>
      </c>
      <c r="F70" s="57">
        <f>100.3005197708*Deflactores!$C$5</f>
        <v>324.28102088480881</v>
      </c>
      <c r="G70" s="57">
        <f>71.62787803875*Deflactores!$D$5</f>
        <v>217.46333931703182</v>
      </c>
      <c r="H70" s="57">
        <f>89.7738229090399*Deflactores!$E$5</f>
        <v>258.35308244448714</v>
      </c>
      <c r="I70" s="57">
        <f>83.42951726372*Deflactores!$F$5</f>
        <v>228.97803760085071</v>
      </c>
      <c r="J70" s="57">
        <f>69.14613415183*Deflactores!$G$5</f>
        <v>181.64245668826041</v>
      </c>
      <c r="K70" s="57">
        <f>65.1674829866499*Deflactores!$H$5</f>
        <v>161.96761252753504</v>
      </c>
      <c r="L70" s="57">
        <f>57.04493693316*Deflactores!$I$5</f>
        <v>131.67459543435965</v>
      </c>
      <c r="M70" s="57">
        <f>46.6886451237499*Deflactores!$J$5</f>
        <v>105.6545707018297</v>
      </c>
      <c r="N70" s="57">
        <f>58.40533077309*Deflactores!$K$5</f>
        <v>128.10643067990145</v>
      </c>
      <c r="O70" s="57">
        <f>49.02916568716*Deflactores!$L$5</f>
        <v>103.6770059600929</v>
      </c>
      <c r="P70" s="57">
        <f>61.7284367433899*Deflactores!$M$5</f>
        <v>127.4217756480801</v>
      </c>
      <c r="Q70" s="57">
        <f>87.71171345583*Deflactores!$N$5</f>
        <v>177.61160543058207</v>
      </c>
      <c r="R70" s="57">
        <f>106.29500945379*Deflactores!$O$5</f>
        <v>207.64210129338832</v>
      </c>
      <c r="S70" s="57">
        <f>108.5733099429*Deflactores!$P$5</f>
        <v>198.64442245045211</v>
      </c>
      <c r="T70" s="57">
        <f>126.113265064319*Deflactores!$Q$5</f>
        <v>218.18942170267968</v>
      </c>
      <c r="U70" s="57">
        <f>161.21530407981*Deflactores!$R$5</f>
        <v>267.96012996320934</v>
      </c>
      <c r="V70" s="57">
        <f>183.52631207306*Deflactores!$S$5</f>
        <v>295.64240537740187</v>
      </c>
    </row>
    <row r="71" spans="3:22" x14ac:dyDescent="0.2">
      <c r="C71" s="87" t="s">
        <v>141</v>
      </c>
      <c r="D71" s="56">
        <f>346.99875563036*Deflactores!$A$5</f>
        <v>1292.1237684011855</v>
      </c>
      <c r="E71" s="56">
        <f>347.36592906569*Deflactores!$B$5</f>
        <v>1201.58977773478</v>
      </c>
      <c r="F71" s="56">
        <f>373.83483629471*Deflactores!$C$5</f>
        <v>1208.6432117497991</v>
      </c>
      <c r="G71" s="56">
        <f>384.40671827853*Deflactores!$D$5</f>
        <v>1167.0647086254162</v>
      </c>
      <c r="H71" s="56">
        <f>429.23723772635*Deflactores!$E$5</f>
        <v>1235.2683652440619</v>
      </c>
      <c r="I71" s="56">
        <f>447.838959590809*Deflactores!$F$5</f>
        <v>1229.1247689251916</v>
      </c>
      <c r="J71" s="56">
        <f>498.23749004978*Deflactores!$G$5</f>
        <v>1308.8379099851609</v>
      </c>
      <c r="K71" s="56">
        <f>553.55542682225*Deflactores!$H$5</f>
        <v>1375.8096335012301</v>
      </c>
      <c r="L71" s="56">
        <f>626.34906924059*Deflactores!$I$5</f>
        <v>1445.777043974615</v>
      </c>
      <c r="M71" s="56">
        <f>700.62880323559*Deflactores!$J$5</f>
        <v>1585.4954717788032</v>
      </c>
      <c r="N71" s="56">
        <f>787.363765110279*Deflactores!$K$5</f>
        <v>1727.0060842021617</v>
      </c>
      <c r="O71" s="56">
        <f>832.60945847951*Deflactores!$L$5</f>
        <v>1760.6348094929224</v>
      </c>
      <c r="P71" s="56">
        <f>952.077946487513*Deflactores!$M$5</f>
        <v>1965.309165387338</v>
      </c>
      <c r="Q71" s="56">
        <f>1067.35107867292*Deflactores!$N$5</f>
        <v>2161.3297833547258</v>
      </c>
      <c r="R71" s="56">
        <f>1225.20219922993*Deflactores!$O$5</f>
        <v>2393.3725625000393</v>
      </c>
      <c r="S71" s="56">
        <f>1303.39817234552*Deflactores!$P$5</f>
        <v>2384.6816248368586</v>
      </c>
      <c r="T71" s="56">
        <f>1406.86226722318*Deflactores!$Q$5</f>
        <v>2434.0220225381731</v>
      </c>
      <c r="U71" s="56">
        <f>1483.57609230137*Deflactores!$R$5</f>
        <v>2465.8902253261431</v>
      </c>
      <c r="V71" s="56">
        <f>1585.40247830384*Deflactores!$S$5</f>
        <v>2553.9237228853144</v>
      </c>
    </row>
    <row r="72" spans="3:22" x14ac:dyDescent="0.2">
      <c r="C72" s="88" t="s">
        <v>142</v>
      </c>
      <c r="D72" s="57">
        <f>18.7252148861399*Deflactores!$A$5</f>
        <v>69.72732561777562</v>
      </c>
      <c r="E72" s="57">
        <f>20.7344189281699*Deflactores!$B$5</f>
        <v>71.723401020852492</v>
      </c>
      <c r="F72" s="57">
        <f>24.1726967548399*Deflactores!$C$5</f>
        <v>78.15260378621133</v>
      </c>
      <c r="G72" s="57">
        <f>23.78010331202*Deflactores!$D$5</f>
        <v>72.196759378216584</v>
      </c>
      <c r="H72" s="57">
        <f>23.03001462626*Deflactores!$E$5</f>
        <v>66.27628271399773</v>
      </c>
      <c r="I72" s="57">
        <f>21.02234753951*Deflactores!$F$5</f>
        <v>57.697276014964181</v>
      </c>
      <c r="J72" s="57">
        <f>22.1565150814899*Deflactores!$G$5</f>
        <v>58.203743136459998</v>
      </c>
      <c r="K72" s="57">
        <f>24.42821503111*Deflactores!$H$5</f>
        <v>60.71401695395646</v>
      </c>
      <c r="L72" s="57">
        <f>26.8133116162499*Deflactores!$I$5</f>
        <v>61.892117848460259</v>
      </c>
      <c r="M72" s="57">
        <f>28.49154445022*Deflactores!$J$5</f>
        <v>64.475246380384078</v>
      </c>
      <c r="N72" s="57">
        <f>132.12304330408*Deflactores!$K$5</f>
        <v>289.79908621714776</v>
      </c>
      <c r="O72" s="57">
        <f>29.35691344949*Deflactores!$L$5</f>
        <v>62.078088582889933</v>
      </c>
      <c r="P72" s="57">
        <f>44.47048334379*Deflactores!$M$5</f>
        <v>91.797366830302607</v>
      </c>
      <c r="Q72" s="57">
        <f>69.97851491061*Deflactores!$N$5</f>
        <v>141.70281128050681</v>
      </c>
      <c r="R72" s="57">
        <f>76.8727647453599*Deflactores!$O$5</f>
        <v>150.16718551493292</v>
      </c>
      <c r="S72" s="57">
        <f>71.55365627625*Deflactores!$P$5</f>
        <v>130.91370920430649</v>
      </c>
      <c r="T72" s="57">
        <f>71.47473205727*Deflactores!$Q$5</f>
        <v>123.65892236614526</v>
      </c>
      <c r="U72" s="57">
        <f>73.55462119081*Deflactores!$R$5</f>
        <v>122.25703983988234</v>
      </c>
      <c r="V72" s="57">
        <f>75.666843965952*Deflactores!$S$5</f>
        <v>121.89166504095168</v>
      </c>
    </row>
    <row r="73" spans="3:22" x14ac:dyDescent="0.2">
      <c r="C73" s="87" t="s">
        <v>143</v>
      </c>
      <c r="D73" s="56">
        <f>43.45165162676*Deflactores!$A$5</f>
        <v>161.80147891663603</v>
      </c>
      <c r="E73" s="56">
        <f>49.9590945392499*Deflactores!$B$5</f>
        <v>172.8158471520558</v>
      </c>
      <c r="F73" s="56">
        <f>46.2942514339199*Deflactores!$C$5</f>
        <v>149.67367218429948</v>
      </c>
      <c r="G73" s="56">
        <f>45.00022994608*Deflactores!$D$5</f>
        <v>136.62139019132707</v>
      </c>
      <c r="H73" s="56">
        <f>73.46413730178*Deflactores!$E$5</f>
        <v>211.41671041758326</v>
      </c>
      <c r="I73" s="56">
        <f>90.8155230182699*Deflactores!$F$5</f>
        <v>249.24943744653666</v>
      </c>
      <c r="J73" s="56">
        <f>166.74805622262*Deflactores!$G$5</f>
        <v>438.03644197608776</v>
      </c>
      <c r="K73" s="56">
        <f>223.81714580047*Deflactores!$H$5</f>
        <v>556.27633731773381</v>
      </c>
      <c r="L73" s="56">
        <f>234.25407556249*Deflactores!$I$5</f>
        <v>540.71951494455118</v>
      </c>
      <c r="M73" s="56">
        <f>245.20151040389*Deflactores!$J$5</f>
        <v>554.88139029300828</v>
      </c>
      <c r="N73" s="56">
        <f>234.789931365139*Deflactores!$K$5</f>
        <v>514.98895166989371</v>
      </c>
      <c r="O73" s="56">
        <f>240.76536305463*Deflactores!$L$5</f>
        <v>509.12210376314709</v>
      </c>
      <c r="P73" s="56">
        <f>469.190350559769*Deflactores!$M$5</f>
        <v>968.5174408968478</v>
      </c>
      <c r="Q73" s="56">
        <f>472.45616030026*Deflactores!$N$5</f>
        <v>956.69886974394831</v>
      </c>
      <c r="R73" s="56">
        <f>531.12084229342*Deflactores!$O$5</f>
        <v>1037.5185843740271</v>
      </c>
      <c r="S73" s="56">
        <f>526.19455462436*Deflactores!$P$5</f>
        <v>962.71923048952021</v>
      </c>
      <c r="T73" s="56">
        <f>709.6009988415*Deflactores!$Q$5</f>
        <v>1227.6855372661016</v>
      </c>
      <c r="U73" s="56">
        <f>1747.79257188346*Deflactores!$R$5</f>
        <v>2905.0512752732934</v>
      </c>
      <c r="V73" s="56">
        <f>732.30377987225*Deflactores!$S$5</f>
        <v>1179.6676373151815</v>
      </c>
    </row>
    <row r="74" spans="3:22" x14ac:dyDescent="0.2">
      <c r="C74" s="88" t="s">
        <v>144</v>
      </c>
      <c r="D74" s="57">
        <f>678.643421644129*Deflactores!$A$5</f>
        <v>2527.0733140887514</v>
      </c>
      <c r="E74" s="57">
        <f>738.77305001638*Deflactores!$B$5</f>
        <v>2555.5245079829206</v>
      </c>
      <c r="F74" s="57">
        <f>781.126332891959*Deflactores!$C$5</f>
        <v>2525.4549552589137</v>
      </c>
      <c r="G74" s="57">
        <f>775.31151387229*Deflactores!$D$5</f>
        <v>2353.8576799161833</v>
      </c>
      <c r="H74" s="57">
        <f>961.56621641673*Deflactores!$E$5</f>
        <v>2767.2164104836138</v>
      </c>
      <c r="I74" s="57">
        <f>1004.38974572582*Deflactores!$F$5</f>
        <v>2756.6166089124158</v>
      </c>
      <c r="J74" s="57">
        <f>1125.37533443539*Deflactores!$G$5</f>
        <v>2956.2887781168438</v>
      </c>
      <c r="K74" s="57">
        <f>1220.42196722433*Deflactores!$H$5</f>
        <v>3033.2433178058518</v>
      </c>
      <c r="L74" s="57">
        <f>1355.79252654312*Deflactores!$I$5</f>
        <v>3129.5228292507527</v>
      </c>
      <c r="M74" s="57">
        <f>1585.63666387871*Deflactores!$J$5</f>
        <v>3588.2335108920593</v>
      </c>
      <c r="N74" s="57">
        <f>1689.0095350929*Deflactores!$K$5</f>
        <v>3704.6786665022037</v>
      </c>
      <c r="O74" s="57">
        <f>1860.45699984173*Deflactores!$L$5</f>
        <v>3934.1197990567007</v>
      </c>
      <c r="P74" s="57">
        <f>2219.91812791399*Deflactores!$M$5</f>
        <v>4582.4246421152511</v>
      </c>
      <c r="Q74" s="57">
        <f>2494.22593724524*Deflactores!$N$5</f>
        <v>5050.6763072621279</v>
      </c>
      <c r="R74" s="57">
        <f>2752.4210538091*Deflactores!$O$5</f>
        <v>5376.7198873578536</v>
      </c>
      <c r="S74" s="57">
        <f>2970.78230995659*Deflactores!$P$5</f>
        <v>5435.3075953722227</v>
      </c>
      <c r="T74" s="57">
        <f>3306.30360744719*Deflactores!$Q$5</f>
        <v>5720.2584653919221</v>
      </c>
      <c r="U74" s="57">
        <f>3524.69792549179*Deflactores!$R$5</f>
        <v>5858.4916586347672</v>
      </c>
      <c r="V74" s="57">
        <f>3949.16069910725*Deflactores!$S$5</f>
        <v>6361.7001568755086</v>
      </c>
    </row>
    <row r="75" spans="3:22" x14ac:dyDescent="0.2">
      <c r="C75" s="87" t="s">
        <v>145</v>
      </c>
      <c r="D75" s="56">
        <f>174.099840372309*Deflactores!$A$5</f>
        <v>648.29783441514576</v>
      </c>
      <c r="E75" s="56">
        <f>176.0110872857*Deflactores!$B$5</f>
        <v>608.84820747772869</v>
      </c>
      <c r="F75" s="56">
        <f>182.08937455976*Deflactores!$C$5</f>
        <v>588.71208653203507</v>
      </c>
      <c r="G75" s="56">
        <f>290.657719803569*Deflactores!$D$5</f>
        <v>882.44130745522978</v>
      </c>
      <c r="H75" s="56">
        <f>132.20019158814*Deflactores!$E$5</f>
        <v>380.44861953972236</v>
      </c>
      <c r="I75" s="56">
        <f>136.99070090735*Deflactores!$F$5</f>
        <v>375.9803831080136</v>
      </c>
      <c r="J75" s="56">
        <f>397.70461640053*Deflactores!$G$5</f>
        <v>1044.744503006212</v>
      </c>
      <c r="K75" s="56">
        <f>336.51374672036*Deflactores!$H$5</f>
        <v>836.37307505275282</v>
      </c>
      <c r="L75" s="56">
        <f>249.82051878438*Deflactores!$I$5</f>
        <v>576.65092663137534</v>
      </c>
      <c r="M75" s="56">
        <f>298.036944418899*Deflactores!$J$5</f>
        <v>674.44590290425515</v>
      </c>
      <c r="N75" s="56">
        <f>655.92966998835*Deflactores!$K$5</f>
        <v>1438.718139029342</v>
      </c>
      <c r="O75" s="56">
        <f>522.475915782461*Deflactores!$L$5</f>
        <v>1104.8268489865243</v>
      </c>
      <c r="P75" s="56">
        <f>365.230496251859*Deflactores!$M$5</f>
        <v>753.92024824320254</v>
      </c>
      <c r="Q75" s="56">
        <f>491.208416182133*Deflactores!$N$5</f>
        <v>994.6712013904139</v>
      </c>
      <c r="R75" s="56">
        <f>1026.12857485347*Deflactores!$O$5</f>
        <v>2004.4919754430425</v>
      </c>
      <c r="S75" s="56">
        <f>769.21666422358*Deflactores!$P$5</f>
        <v>1407.3495602585576</v>
      </c>
      <c r="T75" s="56">
        <f>649.54763947129*Deflactores!$Q$5</f>
        <v>1123.7868098355918</v>
      </c>
      <c r="U75" s="56">
        <f>681.86634176984*Deflactores!$R$5</f>
        <v>1133.3476967405772</v>
      </c>
      <c r="V75" s="56">
        <f>1720.82749552492*Deflactores!$S$5</f>
        <v>2772.0797866522239</v>
      </c>
    </row>
    <row r="76" spans="3:22" x14ac:dyDescent="0.2">
      <c r="C76" s="88" t="s">
        <v>146</v>
      </c>
      <c r="D76" s="57">
        <f>143.2508931459*Deflactores!$A$5</f>
        <v>533.42520938516316</v>
      </c>
      <c r="E76" s="57">
        <f>153.719172539669*Deflactores!$B$5</f>
        <v>531.73719962208884</v>
      </c>
      <c r="F76" s="57">
        <f>171.52468133569*Deflactores!$C$5</f>
        <v>554.55543897063717</v>
      </c>
      <c r="G76" s="57">
        <f>182.30649268251*Deflactores!$D$5</f>
        <v>553.4853155424637</v>
      </c>
      <c r="H76" s="57">
        <f>179.413436670079*Deflactores!$E$5</f>
        <v>516.31993485047644</v>
      </c>
      <c r="I76" s="57">
        <f>228.01449133109*Deflactores!$F$5</f>
        <v>625.80142474650575</v>
      </c>
      <c r="J76" s="57">
        <f>231.07523222648*Deflactores!$G$5</f>
        <v>607.0198048854661</v>
      </c>
      <c r="K76" s="57">
        <f>210.97840308749*Deflactores!$H$5</f>
        <v>524.36685716330385</v>
      </c>
      <c r="L76" s="57">
        <f>209.737739273309*Deflactores!$I$5</f>
        <v>484.12941535003142</v>
      </c>
      <c r="M76" s="57">
        <f>207.437652928019*Deflactores!$J$5</f>
        <v>469.42326360968303</v>
      </c>
      <c r="N76" s="57">
        <f>220.29936780246*Deflactores!$K$5</f>
        <v>483.20530534885717</v>
      </c>
      <c r="O76" s="57">
        <f>252.056339634269*Deflactores!$L$5</f>
        <v>532.99798722426556</v>
      </c>
      <c r="P76" s="57">
        <f>378.703053995373*Deflactores!$M$5</f>
        <v>781.73072459361288</v>
      </c>
      <c r="Q76" s="57">
        <f>395.182433200329*Deflactores!$N$5</f>
        <v>800.22363756489688</v>
      </c>
      <c r="R76" s="57">
        <f>431.446562370586*Deflactores!$O$5</f>
        <v>842.80975435054302</v>
      </c>
      <c r="S76" s="57">
        <f>563.469361824554*Deflactores!$P$5</f>
        <v>1030.9167695728231</v>
      </c>
      <c r="T76" s="57">
        <f>633.31333062606*Deflactores!$Q$5</f>
        <v>1095.6997211627477</v>
      </c>
      <c r="U76" s="57">
        <f>584.23431827391*Deflactores!$R$5</f>
        <v>971.07098328669076</v>
      </c>
      <c r="V76" s="57">
        <f>565.40032700844*Deflactores!$S$5</f>
        <v>910.80298399611229</v>
      </c>
    </row>
    <row r="77" spans="3:22" x14ac:dyDescent="0.2">
      <c r="C77" s="90" t="s">
        <v>147</v>
      </c>
      <c r="D77" s="58">
        <f>4021.59541096314*Deflactores!$A$5</f>
        <v>14975.267009124564</v>
      </c>
      <c r="E77" s="58">
        <f>5045.70569468893*Deflactores!$B$5</f>
        <v>17453.837227225133</v>
      </c>
      <c r="F77" s="58">
        <f>6220.21004158859*Deflactores!$C$5</f>
        <v>20110.524521843148</v>
      </c>
      <c r="G77" s="58">
        <f>7160.05421461743*Deflactores!$D$5</f>
        <v>21738.03471267633</v>
      </c>
      <c r="H77" s="58">
        <f>9343.11965213604*Deflactores!$E$5</f>
        <v>26887.835268224353</v>
      </c>
      <c r="I77" s="58">
        <f>12330.2838440005*Deflactores!$F$5</f>
        <v>33841.310488901407</v>
      </c>
      <c r="J77" s="58">
        <f>13566.7616687994*Deflactores!$G$5</f>
        <v>35639.012202963873</v>
      </c>
      <c r="K77" s="58">
        <f>14575.3597655672*Deflactores!$H$5</f>
        <v>36225.677512240705</v>
      </c>
      <c r="L77" s="58">
        <f>16945.3828605669*Deflactores!$I$5</f>
        <v>39114.364089137001</v>
      </c>
      <c r="M77" s="58">
        <f>19095.0717411685*Deflactores!$J$5</f>
        <v>43211.397588993888</v>
      </c>
      <c r="N77" s="58">
        <f>19583.1890462182*Deflactores!$K$5</f>
        <v>42953.826591401557</v>
      </c>
      <c r="O77" s="58">
        <f>20418.2263383744*Deflactores!$L$5</f>
        <v>43176.35317895186</v>
      </c>
      <c r="P77" s="58">
        <f>22999.2495755259*Deflactores!$M$5</f>
        <v>47475.772498008097</v>
      </c>
      <c r="Q77" s="58">
        <f>23061.2369548134*Deflactores!$N$5</f>
        <v>46697.79163329328</v>
      </c>
      <c r="R77" s="58">
        <f>27374.1207979643*Deflactores!$O$5</f>
        <v>53474.005908239604</v>
      </c>
      <c r="S77" s="58">
        <f>26762.5473954488*Deflactores!$P$5</f>
        <v>48964.43493771764</v>
      </c>
      <c r="T77" s="58">
        <f>28348.7786574901*Deflactores!$Q$5</f>
        <v>49046.415681176892</v>
      </c>
      <c r="U77" s="58">
        <f>34637.7508339284*Deflactores!$R$5</f>
        <v>57572.302257965981</v>
      </c>
      <c r="V77" s="58">
        <f>42892.7525365806*Deflactores!$S$5</f>
        <v>69095.904505094601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0.150079299*Deflactores!$R$5</f>
        <v>0.24945068766497933</v>
      </c>
      <c r="V78" s="59">
        <f>113.937033405*Deflactores!$S$5</f>
        <v>183.54108594526804</v>
      </c>
    </row>
    <row r="79" spans="3:22" x14ac:dyDescent="0.2">
      <c r="C79" s="87" t="s">
        <v>149</v>
      </c>
      <c r="D79" s="56">
        <f>30.57698756911*Deflactores!$A$5</f>
        <v>113.85992532561644</v>
      </c>
      <c r="E79" s="56">
        <f>16.194439005*Deflactores!$B$5</f>
        <v>56.01894352994394</v>
      </c>
      <c r="F79" s="56">
        <f>16.43364652739*Deflactores!$C$5</f>
        <v>53.131525987501043</v>
      </c>
      <c r="G79" s="56">
        <f>18.20194139143*Deflactores!$D$5</f>
        <v>55.261373998708862</v>
      </c>
      <c r="H79" s="56">
        <f>19.16086313623*Deflactores!$E$5</f>
        <v>55.141553441003005</v>
      </c>
      <c r="I79" s="56">
        <f>39.92965573349*Deflactores!$F$5</f>
        <v>109.58968134780292</v>
      </c>
      <c r="J79" s="56">
        <f>32.60458548045*Deflactores!$G$5</f>
        <v>85.650153527991307</v>
      </c>
      <c r="K79" s="56">
        <f>34.93440224604*Deflactores!$H$5</f>
        <v>86.826151134712291</v>
      </c>
      <c r="L79" s="56">
        <f>35.32320522352*Deflactores!$I$5</f>
        <v>81.535172222237122</v>
      </c>
      <c r="M79" s="56">
        <f>38.5413351375*Deflactores!$J$5</f>
        <v>87.217528104204916</v>
      </c>
      <c r="N79" s="56">
        <f>97.05842364757*Deflactores!$K$5</f>
        <v>212.88824249989105</v>
      </c>
      <c r="O79" s="56">
        <f>99.5603032349599*Deflactores!$L$5</f>
        <v>210.53007953963206</v>
      </c>
      <c r="P79" s="56">
        <f>132.19334659811*Deflactores!$M$5</f>
        <v>272.87765317006853</v>
      </c>
      <c r="Q79" s="56">
        <f>42.22112758724*Deflactores!$N$5</f>
        <v>85.495562204875569</v>
      </c>
      <c r="R79" s="56">
        <f>56.15010820062*Deflactores!$O$5</f>
        <v>109.68648965308634</v>
      </c>
      <c r="S79" s="56">
        <f>55.88069132066*Deflactores!$P$5</f>
        <v>102.23864096399312</v>
      </c>
      <c r="T79" s="56">
        <f>60.13990098685*Deflactores!$Q$5</f>
        <v>104.04845367285452</v>
      </c>
      <c r="U79" s="56">
        <f>61.48191918054*Deflactores!$R$5</f>
        <v>102.19068932716954</v>
      </c>
      <c r="V79" s="56">
        <f>59.3823111006699*Deflactores!$S$5</f>
        <v>95.658922649098955</v>
      </c>
    </row>
    <row r="80" spans="3:22" x14ac:dyDescent="0.2">
      <c r="C80" s="88" t="s">
        <v>150</v>
      </c>
      <c r="D80" s="57">
        <f>137.461309455799*Deflactores!$A$5</f>
        <v>511.86646148263094</v>
      </c>
      <c r="E80" s="57">
        <f>151.87090017649*Deflactores!$B$5</f>
        <v>525.34375400110048</v>
      </c>
      <c r="F80" s="57">
        <f>298.590533235449*Deflactores!$C$5</f>
        <v>965.37129782970169</v>
      </c>
      <c r="G80" s="57">
        <f>110.71507590773*Deflactores!$D$5</f>
        <v>336.13267318359595</v>
      </c>
      <c r="H80" s="57">
        <f>156.314487858409*Deflactores!$E$5</f>
        <v>449.84527182126681</v>
      </c>
      <c r="I80" s="57">
        <f>121.84708783595*Deflactores!$F$5</f>
        <v>334.41769741830922</v>
      </c>
      <c r="J80" s="57">
        <f>109.42254510559*Deflactores!$G$5</f>
        <v>287.44600336467727</v>
      </c>
      <c r="K80" s="57">
        <f>120.89080523364*Deflactores!$H$5</f>
        <v>300.46265718495084</v>
      </c>
      <c r="L80" s="57">
        <f>109.425763866629*Deflactores!$I$5</f>
        <v>252.58320828922655</v>
      </c>
      <c r="M80" s="57">
        <f>192.33068976554*Deflactores!$J$5</f>
        <v>435.236799142584</v>
      </c>
      <c r="N80" s="57">
        <f>164.59952949477*Deflactores!$K$5</f>
        <v>361.033110095518</v>
      </c>
      <c r="O80" s="57">
        <f>159.04164265128*Deflactores!$L$5</f>
        <v>336.30923761319337</v>
      </c>
      <c r="P80" s="57">
        <f>281.226673704549*Deflactores!$M$5</f>
        <v>580.51692240325758</v>
      </c>
      <c r="Q80" s="57">
        <f>221.99523684025*Deflactores!$N$5</f>
        <v>449.52867592758611</v>
      </c>
      <c r="R80" s="57">
        <f>215.723656602069*Deflactores!$O$5</f>
        <v>421.40561053357902</v>
      </c>
      <c r="S80" s="57">
        <f>196.85769027667*Deflactores!$P$5</f>
        <v>360.16846323009509</v>
      </c>
      <c r="T80" s="57">
        <f>190.124939296199*Deflactores!$Q$5</f>
        <v>328.93645672513412</v>
      </c>
      <c r="U80" s="57">
        <f>194.80869001353*Deflactores!$R$5</f>
        <v>323.79656628719226</v>
      </c>
      <c r="V80" s="57">
        <f>201.23375440577*Deflactores!$S$5</f>
        <v>324.16731161667713</v>
      </c>
    </row>
    <row r="81" spans="3:22" x14ac:dyDescent="0.2">
      <c r="C81" s="87" t="s">
        <v>151</v>
      </c>
      <c r="D81" s="56">
        <f>17.10347442701*Deflactores!$A$5</f>
        <v>63.688429629192271</v>
      </c>
      <c r="E81" s="56">
        <f>18.4030412093499*Deflactores!$B$5</f>
        <v>63.65882300507657</v>
      </c>
      <c r="F81" s="56">
        <f>18.32475742285*Deflactores!$C$5</f>
        <v>59.245665507291314</v>
      </c>
      <c r="G81" s="56">
        <f>16.93250389372*Deflactores!$D$5</f>
        <v>51.40734223251679</v>
      </c>
      <c r="H81" s="56">
        <f>9.51233351882999*Deflactores!$E$5</f>
        <v>27.374802656223718</v>
      </c>
      <c r="I81" s="56">
        <f>9.57005390914999*Deflactores!$F$5</f>
        <v>26.265669941787298</v>
      </c>
      <c r="J81" s="56">
        <f>14.5514936801199*Deflactores!$G$5</f>
        <v>38.225839997603408</v>
      </c>
      <c r="K81" s="56">
        <f>12.5245089875899*Deflactores!$H$5</f>
        <v>31.128481964159324</v>
      </c>
      <c r="L81" s="56">
        <f>8.57064459184*Deflactores!$I$5</f>
        <v>19.783283493932675</v>
      </c>
      <c r="M81" s="56">
        <f>6.98087088462*Deflactores!$J$5</f>
        <v>15.797436710457049</v>
      </c>
      <c r="N81" s="56">
        <f>11.42518650773*Deflactores!$K$5</f>
        <v>25.060038937949553</v>
      </c>
      <c r="O81" s="56">
        <f>323.29695072997*Deflactores!$L$5</f>
        <v>683.6432849292587</v>
      </c>
      <c r="P81" s="56">
        <f>1354.35392205057*Deflactores!$M$5</f>
        <v>2795.6998542022034</v>
      </c>
      <c r="Q81" s="56">
        <f>1461.6487467777*Deflactores!$N$5</f>
        <v>2959.7618181466528</v>
      </c>
      <c r="R81" s="56">
        <f>1517.89312989286*Deflactores!$O$5</f>
        <v>2965.1299778732332</v>
      </c>
      <c r="S81" s="56">
        <f>1592.54365751788*Deflactores!$P$5</f>
        <v>2913.6987279944042</v>
      </c>
      <c r="T81" s="56">
        <f>1749.10394856217*Deflactores!$Q$5</f>
        <v>3026.1366941853053</v>
      </c>
      <c r="U81" s="56">
        <f>1945.66599381234*Deflactores!$R$5</f>
        <v>3233.9418118074609</v>
      </c>
      <c r="V81" s="56">
        <f>1962.91010346537*Deflactores!$S$5</f>
        <v>3162.0504873278733</v>
      </c>
    </row>
    <row r="82" spans="3:22" x14ac:dyDescent="0.2">
      <c r="C82" s="79" t="s">
        <v>179</v>
      </c>
      <c r="D82" s="44">
        <f t="shared" ref="D82:V82" si="1">+SUM(D53:D81)</f>
        <v>87888.641295615394</v>
      </c>
      <c r="E82" s="44">
        <f t="shared" si="1"/>
        <v>93551.657744673183</v>
      </c>
      <c r="F82" s="44">
        <f t="shared" si="1"/>
        <v>99077.426744586832</v>
      </c>
      <c r="G82" s="44">
        <f t="shared" si="1"/>
        <v>99729.072613540382</v>
      </c>
      <c r="H82" s="44">
        <f t="shared" si="1"/>
        <v>111639.4163267031</v>
      </c>
      <c r="I82" s="44">
        <f t="shared" si="1"/>
        <v>121674.35287469543</v>
      </c>
      <c r="J82" s="44">
        <f t="shared" si="1"/>
        <v>127454.72051616339</v>
      </c>
      <c r="K82" s="44">
        <f t="shared" si="1"/>
        <v>129490.36976497724</v>
      </c>
      <c r="L82" s="44">
        <f t="shared" si="1"/>
        <v>139001.00621341166</v>
      </c>
      <c r="M82" s="44">
        <f t="shared" si="1"/>
        <v>150741.83380508347</v>
      </c>
      <c r="N82" s="44">
        <f t="shared" si="1"/>
        <v>159769.35025968618</v>
      </c>
      <c r="O82" s="44">
        <f t="shared" si="1"/>
        <v>163374.71559401188</v>
      </c>
      <c r="P82" s="44">
        <f t="shared" si="1"/>
        <v>174812.85205411984</v>
      </c>
      <c r="Q82" s="44">
        <f t="shared" si="1"/>
        <v>188056.61295398735</v>
      </c>
      <c r="R82" s="44">
        <f t="shared" si="1"/>
        <v>197748.87664220497</v>
      </c>
      <c r="S82" s="44">
        <f t="shared" si="1"/>
        <v>195419.78995020792</v>
      </c>
      <c r="T82" s="44">
        <f t="shared" si="1"/>
        <v>200805.1780792081</v>
      </c>
      <c r="U82" s="44">
        <f t="shared" si="1"/>
        <v>219563.00008803565</v>
      </c>
      <c r="V82" s="44">
        <f t="shared" si="1"/>
        <v>220740.99541396851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55" t="s">
        <v>189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3:22" ht="11.25" hidden="1" customHeight="1" x14ac:dyDescent="0.2">
      <c r="H88" s="27"/>
      <c r="I88" s="27"/>
      <c r="J88" s="27"/>
      <c r="L88" s="177"/>
      <c r="M88" s="156"/>
      <c r="N88" s="156"/>
      <c r="O88" s="156"/>
      <c r="P88" s="156"/>
      <c r="Q88" s="156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6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60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+IFERROR(IF(D53&gt;0,+((D53/D14)*100)," "),"")</f>
        <v>92.795917253954869</v>
      </c>
      <c r="E92" s="60">
        <f t="shared" si="2"/>
        <v>93.54987372667452</v>
      </c>
      <c r="F92" s="60">
        <f t="shared" si="2"/>
        <v>96.991927655835866</v>
      </c>
      <c r="G92" s="60">
        <f t="shared" si="2"/>
        <v>96.466889147323187</v>
      </c>
      <c r="H92" s="60">
        <f t="shared" si="2"/>
        <v>91.722156146228969</v>
      </c>
      <c r="I92" s="60">
        <f t="shared" si="2"/>
        <v>89.237009234142249</v>
      </c>
      <c r="J92" s="60">
        <f t="shared" si="2"/>
        <v>95.486216231312824</v>
      </c>
      <c r="K92" s="60">
        <f t="shared" si="2"/>
        <v>94.19234180424489</v>
      </c>
      <c r="L92" s="60">
        <f t="shared" si="2"/>
        <v>99.288176515729404</v>
      </c>
      <c r="M92" s="60">
        <f t="shared" si="2"/>
        <v>95.970451494500239</v>
      </c>
      <c r="N92" s="60">
        <f t="shared" si="2"/>
        <v>93.735139953076867</v>
      </c>
      <c r="O92" s="60">
        <f t="shared" si="2"/>
        <v>96.638801134220685</v>
      </c>
      <c r="P92" s="60">
        <f t="shared" si="2"/>
        <v>89.434614139568893</v>
      </c>
      <c r="Q92" s="60">
        <f t="shared" si="2"/>
        <v>96.468779483412874</v>
      </c>
      <c r="R92" s="60">
        <f t="shared" si="2"/>
        <v>88.363960820395732</v>
      </c>
      <c r="S92" s="60">
        <f t="shared" si="2"/>
        <v>95.499980633096555</v>
      </c>
      <c r="T92" s="60">
        <f t="shared" si="2"/>
        <v>96.834012063238092</v>
      </c>
      <c r="U92" s="60">
        <f t="shared" si="2"/>
        <v>96.682063292331193</v>
      </c>
      <c r="V92" s="60">
        <f t="shared" si="2"/>
        <v>97.469359759403773</v>
      </c>
    </row>
    <row r="93" spans="3:22" x14ac:dyDescent="0.2">
      <c r="C93" s="88" t="s">
        <v>124</v>
      </c>
      <c r="D93" s="62">
        <f t="shared" ref="D93:V93" si="3">+IFERROR(IF(D54&gt;0,+((D54/D15)*100)," "),"")</f>
        <v>90.166779729171665</v>
      </c>
      <c r="E93" s="62">
        <f t="shared" si="3"/>
        <v>91.34958874424143</v>
      </c>
      <c r="F93" s="62">
        <f t="shared" si="3"/>
        <v>90.927323846488989</v>
      </c>
      <c r="G93" s="62">
        <f t="shared" si="3"/>
        <v>88.372613169237297</v>
      </c>
      <c r="H93" s="62">
        <f t="shared" si="3"/>
        <v>94.769146337464889</v>
      </c>
      <c r="I93" s="62">
        <f t="shared" si="3"/>
        <v>94.527453785649328</v>
      </c>
      <c r="J93" s="62">
        <f t="shared" si="3"/>
        <v>93.951997788120252</v>
      </c>
      <c r="K93" s="62">
        <f t="shared" si="3"/>
        <v>91.734434401251747</v>
      </c>
      <c r="L93" s="62">
        <f t="shared" si="3"/>
        <v>99.363108259456993</v>
      </c>
      <c r="M93" s="62">
        <f t="shared" si="3"/>
        <v>99.485765229592232</v>
      </c>
      <c r="N93" s="62">
        <f t="shared" si="3"/>
        <v>96.997727650535225</v>
      </c>
      <c r="O93" s="62">
        <f t="shared" si="3"/>
        <v>98.952768847901538</v>
      </c>
      <c r="P93" s="62">
        <f t="shared" si="3"/>
        <v>86.922621408002072</v>
      </c>
      <c r="Q93" s="62">
        <f t="shared" si="3"/>
        <v>88.716107469590341</v>
      </c>
      <c r="R93" s="62">
        <f t="shared" si="3"/>
        <v>96.548706161252852</v>
      </c>
      <c r="S93" s="62">
        <f t="shared" si="3"/>
        <v>94.877165295110174</v>
      </c>
      <c r="T93" s="62">
        <f t="shared" si="3"/>
        <v>95.924934609913166</v>
      </c>
      <c r="U93" s="62">
        <f t="shared" si="3"/>
        <v>97.922907602756709</v>
      </c>
      <c r="V93" s="62">
        <f t="shared" si="3"/>
        <v>98.330809451678604</v>
      </c>
    </row>
    <row r="94" spans="3:22" x14ac:dyDescent="0.2">
      <c r="C94" s="87" t="s">
        <v>125</v>
      </c>
      <c r="D94" s="60">
        <f t="shared" ref="D94:V94" si="4">+IFERROR(IF(D55&gt;0,+((D55/D16)*100)," "),"")</f>
        <v>96.707028242645293</v>
      </c>
      <c r="E94" s="60">
        <f t="shared" si="4"/>
        <v>95.217952059984057</v>
      </c>
      <c r="F94" s="60">
        <f t="shared" si="4"/>
        <v>97.410251150866728</v>
      </c>
      <c r="G94" s="60">
        <f t="shared" si="4"/>
        <v>97.159012527136525</v>
      </c>
      <c r="H94" s="60">
        <f t="shared" si="4"/>
        <v>92.964720642537159</v>
      </c>
      <c r="I94" s="60">
        <f t="shared" si="4"/>
        <v>96.377774519670069</v>
      </c>
      <c r="J94" s="60">
        <f t="shared" si="4"/>
        <v>93.432215022393507</v>
      </c>
      <c r="K94" s="60">
        <f t="shared" si="4"/>
        <v>91.886386883445013</v>
      </c>
      <c r="L94" s="60">
        <f t="shared" si="4"/>
        <v>97.306755006560138</v>
      </c>
      <c r="M94" s="60">
        <f t="shared" si="4"/>
        <v>26.129192948545743</v>
      </c>
      <c r="N94" s="60">
        <f t="shared" si="4"/>
        <v>95.011290031895399</v>
      </c>
      <c r="O94" s="60">
        <f t="shared" si="4"/>
        <v>89.324973546356148</v>
      </c>
      <c r="P94" s="60">
        <f t="shared" si="4"/>
        <v>73.70469666475168</v>
      </c>
      <c r="Q94" s="60">
        <f t="shared" si="4"/>
        <v>92.222037641139096</v>
      </c>
      <c r="R94" s="60">
        <f t="shared" si="4"/>
        <v>91.751771790915072</v>
      </c>
      <c r="S94" s="60">
        <f t="shared" si="4"/>
        <v>93.408780766827121</v>
      </c>
      <c r="T94" s="60">
        <f t="shared" si="4"/>
        <v>93.770023491383142</v>
      </c>
      <c r="U94" s="60">
        <f t="shared" si="4"/>
        <v>94.718913429029783</v>
      </c>
      <c r="V94" s="60">
        <f t="shared" si="4"/>
        <v>94.148932995088643</v>
      </c>
    </row>
    <row r="95" spans="3:22" x14ac:dyDescent="0.2">
      <c r="C95" s="88" t="s">
        <v>126</v>
      </c>
      <c r="D95" s="62">
        <f t="shared" ref="D95:V95" si="5">+IFERROR(IF(D56&gt;0,+((D56/D17)*100)," "),"")</f>
        <v>92.567244971432274</v>
      </c>
      <c r="E95" s="62">
        <f t="shared" si="5"/>
        <v>92.868885815140771</v>
      </c>
      <c r="F95" s="62">
        <f t="shared" si="5"/>
        <v>95.275693598240224</v>
      </c>
      <c r="G95" s="62">
        <f t="shared" si="5"/>
        <v>91.724106046450913</v>
      </c>
      <c r="H95" s="62">
        <f t="shared" si="5"/>
        <v>96.847993741028461</v>
      </c>
      <c r="I95" s="62">
        <f t="shared" si="5"/>
        <v>96.200406368105547</v>
      </c>
      <c r="J95" s="62">
        <f t="shared" si="5"/>
        <v>97.859759485998154</v>
      </c>
      <c r="K95" s="62">
        <f t="shared" si="5"/>
        <v>89.941667826516579</v>
      </c>
      <c r="L95" s="62">
        <f t="shared" si="5"/>
        <v>93.884623699298686</v>
      </c>
      <c r="M95" s="62">
        <f t="shared" si="5"/>
        <v>95.809622170424163</v>
      </c>
      <c r="N95" s="62">
        <f t="shared" si="5"/>
        <v>92.412315134151129</v>
      </c>
      <c r="O95" s="62">
        <f t="shared" si="5"/>
        <v>91.871766496376708</v>
      </c>
      <c r="P95" s="62">
        <f t="shared" si="5"/>
        <v>94.880080276853761</v>
      </c>
      <c r="Q95" s="62">
        <f t="shared" si="5"/>
        <v>95.621514602232125</v>
      </c>
      <c r="R95" s="62">
        <f t="shared" si="5"/>
        <v>89.756347289144756</v>
      </c>
      <c r="S95" s="62">
        <f t="shared" si="5"/>
        <v>95.454547047657485</v>
      </c>
      <c r="T95" s="62">
        <f t="shared" si="5"/>
        <v>99.122051863568913</v>
      </c>
      <c r="U95" s="62">
        <f t="shared" si="5"/>
        <v>99.266208212164486</v>
      </c>
      <c r="V95" s="62">
        <f t="shared" si="5"/>
        <v>99.13736593676002</v>
      </c>
    </row>
    <row r="96" spans="3:22" x14ac:dyDescent="0.2">
      <c r="C96" s="87" t="s">
        <v>127</v>
      </c>
      <c r="D96" s="60">
        <f t="shared" ref="D96:V96" si="6">+IFERROR(IF(D57&gt;0,+((D57/D18)*100)," "),"")</f>
        <v>86.959021208309778</v>
      </c>
      <c r="E96" s="60">
        <f t="shared" si="6"/>
        <v>91.885170061567337</v>
      </c>
      <c r="F96" s="60">
        <f t="shared" si="6"/>
        <v>97.623412691031987</v>
      </c>
      <c r="G96" s="60">
        <f t="shared" si="6"/>
        <v>97.782302006310573</v>
      </c>
      <c r="H96" s="60">
        <f t="shared" si="6"/>
        <v>97.366980045354538</v>
      </c>
      <c r="I96" s="60">
        <f t="shared" si="6"/>
        <v>99.027427343110702</v>
      </c>
      <c r="J96" s="60">
        <f t="shared" si="6"/>
        <v>98.5397710717031</v>
      </c>
      <c r="K96" s="60">
        <f t="shared" si="6"/>
        <v>98.568381726243388</v>
      </c>
      <c r="L96" s="60">
        <f t="shared" si="6"/>
        <v>97.445486068836075</v>
      </c>
      <c r="M96" s="60">
        <f t="shared" si="6"/>
        <v>98.938369829605264</v>
      </c>
      <c r="N96" s="60">
        <f t="shared" si="6"/>
        <v>98.798074828872828</v>
      </c>
      <c r="O96" s="60">
        <f t="shared" si="6"/>
        <v>99.00028992899766</v>
      </c>
      <c r="P96" s="60">
        <f t="shared" si="6"/>
        <v>97.333950173802037</v>
      </c>
      <c r="Q96" s="60">
        <f t="shared" si="6"/>
        <v>96.268250409648374</v>
      </c>
      <c r="R96" s="60">
        <f t="shared" si="6"/>
        <v>97.561608140849032</v>
      </c>
      <c r="S96" s="60">
        <f t="shared" si="6"/>
        <v>98.424446448225183</v>
      </c>
      <c r="T96" s="60">
        <f t="shared" si="6"/>
        <v>98.631344378749475</v>
      </c>
      <c r="U96" s="60">
        <f t="shared" si="6"/>
        <v>99.39686288818848</v>
      </c>
      <c r="V96" s="60">
        <f t="shared" si="6"/>
        <v>98.695524972927558</v>
      </c>
    </row>
    <row r="97" spans="3:22" x14ac:dyDescent="0.2">
      <c r="C97" s="88" t="s">
        <v>128</v>
      </c>
      <c r="D97" s="62">
        <f t="shared" ref="D97:V97" si="7">+IFERROR(IF(D58&gt;0,+((D58/D19)*100)," "),"")</f>
        <v>95.251372107832182</v>
      </c>
      <c r="E97" s="62">
        <f t="shared" si="7"/>
        <v>98.211031548783154</v>
      </c>
      <c r="F97" s="62">
        <f t="shared" si="7"/>
        <v>98.264817064758262</v>
      </c>
      <c r="G97" s="62">
        <f t="shared" si="7"/>
        <v>99.287367215671878</v>
      </c>
      <c r="H97" s="62">
        <f t="shared" si="7"/>
        <v>99.071090086819893</v>
      </c>
      <c r="I97" s="62">
        <f t="shared" si="7"/>
        <v>94.631453116726902</v>
      </c>
      <c r="J97" s="62">
        <f t="shared" si="7"/>
        <v>98.918779746303287</v>
      </c>
      <c r="K97" s="62">
        <f t="shared" si="7"/>
        <v>97.582472183386642</v>
      </c>
      <c r="L97" s="62">
        <f t="shared" si="7"/>
        <v>98.039845387237065</v>
      </c>
      <c r="M97" s="62">
        <f t="shared" si="7"/>
        <v>92.629171420971957</v>
      </c>
      <c r="N97" s="62">
        <f t="shared" si="7"/>
        <v>92.060167859984944</v>
      </c>
      <c r="O97" s="62">
        <f t="shared" si="7"/>
        <v>97.835805295177607</v>
      </c>
      <c r="P97" s="62">
        <f t="shared" si="7"/>
        <v>97.741030294483551</v>
      </c>
      <c r="Q97" s="62">
        <f t="shared" si="7"/>
        <v>94.922156757854111</v>
      </c>
      <c r="R97" s="62">
        <f t="shared" si="7"/>
        <v>99.237211045698032</v>
      </c>
      <c r="S97" s="62">
        <f t="shared" si="7"/>
        <v>98.674185291426255</v>
      </c>
      <c r="T97" s="62">
        <f t="shared" si="7"/>
        <v>99.676729265615833</v>
      </c>
      <c r="U97" s="62">
        <f t="shared" si="7"/>
        <v>99.764457970392144</v>
      </c>
      <c r="V97" s="62">
        <f t="shared" si="7"/>
        <v>99.446861009460235</v>
      </c>
    </row>
    <row r="98" spans="3:22" x14ac:dyDescent="0.2">
      <c r="C98" s="87" t="s">
        <v>129</v>
      </c>
      <c r="D98" s="60">
        <f t="shared" ref="D98:V98" si="8">+IFERROR(IF(D59&gt;0,+((D59/D20)*100)," "),"")</f>
        <v>98.763229918382905</v>
      </c>
      <c r="E98" s="60">
        <f t="shared" si="8"/>
        <v>98.47617273567657</v>
      </c>
      <c r="F98" s="60">
        <f t="shared" si="8"/>
        <v>98.972929033225768</v>
      </c>
      <c r="G98" s="60">
        <f t="shared" si="8"/>
        <v>98.501964083173633</v>
      </c>
      <c r="H98" s="60">
        <f t="shared" si="8"/>
        <v>99.337767121970558</v>
      </c>
      <c r="I98" s="60">
        <f t="shared" si="8"/>
        <v>99.305265407850698</v>
      </c>
      <c r="J98" s="60">
        <f t="shared" si="8"/>
        <v>99.430595082931291</v>
      </c>
      <c r="K98" s="60">
        <f t="shared" si="8"/>
        <v>98.343057438262775</v>
      </c>
      <c r="L98" s="60">
        <f t="shared" si="8"/>
        <v>99.631283794508391</v>
      </c>
      <c r="M98" s="60">
        <f t="shared" si="8"/>
        <v>98.811504661058933</v>
      </c>
      <c r="N98" s="60">
        <f t="shared" si="8"/>
        <v>98.283803188367671</v>
      </c>
      <c r="O98" s="60">
        <f t="shared" si="8"/>
        <v>98.699621343594387</v>
      </c>
      <c r="P98" s="60">
        <f t="shared" si="8"/>
        <v>99.647774741022829</v>
      </c>
      <c r="Q98" s="60">
        <f t="shared" si="8"/>
        <v>99.782141209950908</v>
      </c>
      <c r="R98" s="60">
        <f t="shared" si="8"/>
        <v>99.556446099685942</v>
      </c>
      <c r="S98" s="60">
        <f t="shared" si="8"/>
        <v>99.28665213546391</v>
      </c>
      <c r="T98" s="60">
        <f t="shared" si="8"/>
        <v>99.872162112471443</v>
      </c>
      <c r="U98" s="60">
        <f t="shared" si="8"/>
        <v>99.890935213492881</v>
      </c>
      <c r="V98" s="60">
        <f t="shared" si="8"/>
        <v>99.822027130007797</v>
      </c>
    </row>
    <row r="99" spans="3:22" x14ac:dyDescent="0.2">
      <c r="C99" s="88" t="s">
        <v>130</v>
      </c>
      <c r="D99" s="62">
        <f t="shared" ref="D99:V99" si="9">+IFERROR(IF(D60&gt;0,+((D60/D21)*100)," "),"")</f>
        <v>98.349221517625224</v>
      </c>
      <c r="E99" s="62">
        <f t="shared" si="9"/>
        <v>99.467589031398191</v>
      </c>
      <c r="F99" s="62">
        <f t="shared" si="9"/>
        <v>99.352997232011191</v>
      </c>
      <c r="G99" s="62">
        <f t="shared" si="9"/>
        <v>98.795235507920296</v>
      </c>
      <c r="H99" s="62">
        <f t="shared" si="9"/>
        <v>98.743804729269627</v>
      </c>
      <c r="I99" s="62">
        <f t="shared" si="9"/>
        <v>99.620038333923375</v>
      </c>
      <c r="J99" s="62">
        <f t="shared" si="9"/>
        <v>98.745010274421674</v>
      </c>
      <c r="K99" s="62">
        <f t="shared" si="9"/>
        <v>99.32246709985499</v>
      </c>
      <c r="L99" s="62">
        <f t="shared" si="9"/>
        <v>97.686329224462412</v>
      </c>
      <c r="M99" s="62">
        <f t="shared" si="9"/>
        <v>97.899958034579754</v>
      </c>
      <c r="N99" s="62">
        <f t="shared" si="9"/>
        <v>96.99599982453762</v>
      </c>
      <c r="O99" s="62">
        <f t="shared" si="9"/>
        <v>93.824198200984739</v>
      </c>
      <c r="P99" s="62">
        <f t="shared" si="9"/>
        <v>83.555911719755073</v>
      </c>
      <c r="Q99" s="62">
        <f t="shared" si="9"/>
        <v>95.918233366242134</v>
      </c>
      <c r="R99" s="62">
        <f t="shared" si="9"/>
        <v>97.139063980899891</v>
      </c>
      <c r="S99" s="62">
        <f t="shared" si="9"/>
        <v>98.885135875862602</v>
      </c>
      <c r="T99" s="62">
        <f t="shared" si="9"/>
        <v>94.527951748784417</v>
      </c>
      <c r="U99" s="62">
        <f t="shared" si="9"/>
        <v>99.170963690722161</v>
      </c>
      <c r="V99" s="62">
        <f t="shared" si="9"/>
        <v>98.126025247475667</v>
      </c>
    </row>
    <row r="100" spans="3:22" x14ac:dyDescent="0.2">
      <c r="C100" s="87" t="s">
        <v>131</v>
      </c>
      <c r="D100" s="60">
        <f t="shared" ref="D100:V100" si="10">+IFERROR(IF(D61&gt;0,+((D61/D22)*100)," "),"")</f>
        <v>95.092979923330972</v>
      </c>
      <c r="E100" s="60">
        <f t="shared" si="10"/>
        <v>97.11577080738958</v>
      </c>
      <c r="F100" s="60">
        <f t="shared" si="10"/>
        <v>99.780218187848519</v>
      </c>
      <c r="G100" s="60">
        <f t="shared" si="10"/>
        <v>99.65878668144785</v>
      </c>
      <c r="H100" s="60">
        <f t="shared" si="10"/>
        <v>99.974705901406352</v>
      </c>
      <c r="I100" s="60">
        <f t="shared" si="10"/>
        <v>99.848785556841719</v>
      </c>
      <c r="J100" s="60">
        <f t="shared" si="10"/>
        <v>99.713998531057797</v>
      </c>
      <c r="K100" s="60">
        <f t="shared" si="10"/>
        <v>99.832813286295746</v>
      </c>
      <c r="L100" s="60">
        <f t="shared" si="10"/>
        <v>99.897472085650378</v>
      </c>
      <c r="M100" s="60">
        <f t="shared" si="10"/>
        <v>99.691509423510311</v>
      </c>
      <c r="N100" s="60">
        <f t="shared" si="10"/>
        <v>97.848350898892818</v>
      </c>
      <c r="O100" s="60">
        <f t="shared" si="10"/>
        <v>99.973941798633192</v>
      </c>
      <c r="P100" s="60">
        <f t="shared" si="10"/>
        <v>99.907347411746414</v>
      </c>
      <c r="Q100" s="60">
        <f t="shared" si="10"/>
        <v>99.869448516246635</v>
      </c>
      <c r="R100" s="60">
        <f t="shared" si="10"/>
        <v>99.975666062351578</v>
      </c>
      <c r="S100" s="60">
        <f t="shared" si="10"/>
        <v>99.954561939967505</v>
      </c>
      <c r="T100" s="60">
        <f t="shared" si="10"/>
        <v>99.174957707881077</v>
      </c>
      <c r="U100" s="60">
        <f t="shared" si="10"/>
        <v>99.973823017244797</v>
      </c>
      <c r="V100" s="60">
        <f t="shared" si="10"/>
        <v>99.97542433974715</v>
      </c>
    </row>
    <row r="101" spans="3:22" x14ac:dyDescent="0.2">
      <c r="C101" s="88" t="s">
        <v>132</v>
      </c>
      <c r="D101" s="62">
        <f t="shared" ref="D101:V101" si="11">+IFERROR(IF(D62&gt;0,+((D62/D23)*100)," "),"")</f>
        <v>96.837791727358692</v>
      </c>
      <c r="E101" s="62">
        <f t="shared" si="11"/>
        <v>94.770962614055236</v>
      </c>
      <c r="F101" s="62">
        <f t="shared" si="11"/>
        <v>97.68175564781869</v>
      </c>
      <c r="G101" s="62">
        <f t="shared" si="11"/>
        <v>94.038785732305357</v>
      </c>
      <c r="H101" s="62">
        <f t="shared" si="11"/>
        <v>94.258187792852368</v>
      </c>
      <c r="I101" s="62">
        <f t="shared" si="11"/>
        <v>90.957364350830488</v>
      </c>
      <c r="J101" s="62">
        <f t="shared" si="11"/>
        <v>96.346290143336176</v>
      </c>
      <c r="K101" s="62">
        <f t="shared" si="11"/>
        <v>91.303469726020097</v>
      </c>
      <c r="L101" s="62">
        <f t="shared" si="11"/>
        <v>92.461835128033115</v>
      </c>
      <c r="M101" s="62">
        <f t="shared" si="11"/>
        <v>85.963711420803307</v>
      </c>
      <c r="N101" s="62">
        <f t="shared" si="11"/>
        <v>76.239686624414034</v>
      </c>
      <c r="O101" s="62">
        <f t="shared" si="11"/>
        <v>86.37403088050219</v>
      </c>
      <c r="P101" s="62">
        <f t="shared" si="11"/>
        <v>88.872170557130502</v>
      </c>
      <c r="Q101" s="62">
        <f t="shared" si="11"/>
        <v>89.218216739319928</v>
      </c>
      <c r="R101" s="62">
        <f t="shared" si="11"/>
        <v>94.063979133424752</v>
      </c>
      <c r="S101" s="62">
        <f t="shared" si="11"/>
        <v>93.963380214021214</v>
      </c>
      <c r="T101" s="62">
        <f t="shared" si="11"/>
        <v>97.39492052962936</v>
      </c>
      <c r="U101" s="62">
        <f t="shared" si="11"/>
        <v>99.432853408011354</v>
      </c>
      <c r="V101" s="62">
        <f t="shared" si="11"/>
        <v>97.599268434816736</v>
      </c>
    </row>
    <row r="102" spans="3:22" x14ac:dyDescent="0.2">
      <c r="C102" s="87" t="s">
        <v>133</v>
      </c>
      <c r="D102" s="60">
        <f t="shared" ref="D102:V102" si="12">+IFERROR(IF(D63&gt;0,+((D63/D24)*100)," "),"")</f>
        <v>97.431319893007867</v>
      </c>
      <c r="E102" s="60">
        <f t="shared" si="12"/>
        <v>99.493268222024028</v>
      </c>
      <c r="F102" s="60">
        <f t="shared" si="12"/>
        <v>99.727972973146379</v>
      </c>
      <c r="G102" s="60">
        <f t="shared" si="12"/>
        <v>98.496946610059098</v>
      </c>
      <c r="H102" s="60">
        <f t="shared" si="12"/>
        <v>99.67616315911971</v>
      </c>
      <c r="I102" s="60">
        <f t="shared" si="12"/>
        <v>99.738095339902728</v>
      </c>
      <c r="J102" s="60">
        <f t="shared" si="12"/>
        <v>99.702459415773987</v>
      </c>
      <c r="K102" s="60">
        <f t="shared" si="12"/>
        <v>99.210046767261858</v>
      </c>
      <c r="L102" s="60">
        <f t="shared" si="12"/>
        <v>99.364385902210046</v>
      </c>
      <c r="M102" s="60">
        <f t="shared" si="12"/>
        <v>99.461529048474404</v>
      </c>
      <c r="N102" s="60">
        <f t="shared" si="12"/>
        <v>95.996960771610517</v>
      </c>
      <c r="O102" s="60">
        <f t="shared" si="12"/>
        <v>98.188866333901032</v>
      </c>
      <c r="P102" s="60">
        <f t="shared" si="12"/>
        <v>96.426325364947616</v>
      </c>
      <c r="Q102" s="60">
        <f t="shared" si="12"/>
        <v>98.501688989577431</v>
      </c>
      <c r="R102" s="60">
        <f t="shared" si="12"/>
        <v>93.680960630609647</v>
      </c>
      <c r="S102" s="60">
        <f t="shared" si="12"/>
        <v>92.784784772658696</v>
      </c>
      <c r="T102" s="60">
        <f t="shared" si="12"/>
        <v>97.432125043677203</v>
      </c>
      <c r="U102" s="60">
        <f t="shared" si="12"/>
        <v>99.414071383576612</v>
      </c>
      <c r="V102" s="60">
        <f t="shared" si="12"/>
        <v>96.897460837395386</v>
      </c>
    </row>
    <row r="103" spans="3:22" x14ac:dyDescent="0.2">
      <c r="C103" s="88" t="s">
        <v>134</v>
      </c>
      <c r="D103" s="62">
        <f t="shared" ref="D103:V103" si="13">+IFERROR(IF(D64&gt;0,+((D64/D25)*100)," "),"")</f>
        <v>93.451698794416473</v>
      </c>
      <c r="E103" s="62">
        <f t="shared" si="13"/>
        <v>93.290348338906284</v>
      </c>
      <c r="F103" s="62">
        <f t="shared" si="13"/>
        <v>97.594796079277685</v>
      </c>
      <c r="G103" s="62">
        <f t="shared" si="13"/>
        <v>98.13962392170798</v>
      </c>
      <c r="H103" s="62">
        <f t="shared" si="13"/>
        <v>97.440271497473333</v>
      </c>
      <c r="I103" s="62">
        <f t="shared" si="13"/>
        <v>93.840546647774914</v>
      </c>
      <c r="J103" s="62">
        <f t="shared" si="13"/>
        <v>95.491912303950585</v>
      </c>
      <c r="K103" s="62">
        <f t="shared" si="13"/>
        <v>83.651611019557791</v>
      </c>
      <c r="L103" s="62">
        <f t="shared" si="13"/>
        <v>87.878716118142307</v>
      </c>
      <c r="M103" s="62">
        <f t="shared" si="13"/>
        <v>73.656709199891651</v>
      </c>
      <c r="N103" s="62">
        <f t="shared" si="13"/>
        <v>76.77212789063536</v>
      </c>
      <c r="O103" s="62">
        <f t="shared" si="13"/>
        <v>98.005466996228236</v>
      </c>
      <c r="P103" s="62">
        <f t="shared" si="13"/>
        <v>95.799692432183662</v>
      </c>
      <c r="Q103" s="62">
        <f t="shared" si="13"/>
        <v>87.962686012064353</v>
      </c>
      <c r="R103" s="62">
        <f t="shared" si="13"/>
        <v>77.059288164260337</v>
      </c>
      <c r="S103" s="62">
        <f t="shared" si="13"/>
        <v>95.320898643261557</v>
      </c>
      <c r="T103" s="62">
        <f t="shared" si="13"/>
        <v>98.740713486310099</v>
      </c>
      <c r="U103" s="62">
        <f t="shared" si="13"/>
        <v>97.590521774704115</v>
      </c>
      <c r="V103" s="62">
        <f t="shared" si="13"/>
        <v>90.180769944034907</v>
      </c>
    </row>
    <row r="104" spans="3:22" x14ac:dyDescent="0.2">
      <c r="C104" s="87" t="s">
        <v>135</v>
      </c>
      <c r="D104" s="60" t="str">
        <f t="shared" ref="D104:V104" si="14">+IFERROR(IF(D65&gt;0,+((D65/D26)*100),"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+IFERROR(IF(D66&gt;0,+((D66/D27)*100)," "),"")</f>
        <v>90.107266786415664</v>
      </c>
      <c r="E105" s="62">
        <f t="shared" si="15"/>
        <v>93.276589114455945</v>
      </c>
      <c r="F105" s="62">
        <f t="shared" si="15"/>
        <v>92.790961434274493</v>
      </c>
      <c r="G105" s="62">
        <f t="shared" si="15"/>
        <v>90.870970785720417</v>
      </c>
      <c r="H105" s="62">
        <f t="shared" si="15"/>
        <v>90.553183896896059</v>
      </c>
      <c r="I105" s="62">
        <f t="shared" si="15"/>
        <v>97.418394221837275</v>
      </c>
      <c r="J105" s="62">
        <f t="shared" si="15"/>
        <v>98.704184395188406</v>
      </c>
      <c r="K105" s="62">
        <f t="shared" si="15"/>
        <v>97.683648876527982</v>
      </c>
      <c r="L105" s="62">
        <f t="shared" si="15"/>
        <v>96.707103858651578</v>
      </c>
      <c r="M105" s="62">
        <f t="shared" si="15"/>
        <v>98.63127020240843</v>
      </c>
      <c r="N105" s="62">
        <f t="shared" si="15"/>
        <v>98.903559069330143</v>
      </c>
      <c r="O105" s="62">
        <f t="shared" si="15"/>
        <v>98.493102781507957</v>
      </c>
      <c r="P105" s="62">
        <f t="shared" si="15"/>
        <v>94.99816141725951</v>
      </c>
      <c r="Q105" s="62">
        <f t="shared" si="15"/>
        <v>96.723310593416286</v>
      </c>
      <c r="R105" s="62">
        <f t="shared" si="15"/>
        <v>97.506940588451911</v>
      </c>
      <c r="S105" s="62">
        <f t="shared" si="15"/>
        <v>97.234356378533121</v>
      </c>
      <c r="T105" s="62">
        <f t="shared" si="15"/>
        <v>96.661432338969078</v>
      </c>
      <c r="U105" s="62">
        <f t="shared" si="15"/>
        <v>97.698084255988277</v>
      </c>
      <c r="V105" s="62">
        <f t="shared" si="15"/>
        <v>96.953384935686799</v>
      </c>
    </row>
    <row r="106" spans="3:22" x14ac:dyDescent="0.2">
      <c r="C106" s="87" t="s">
        <v>137</v>
      </c>
      <c r="D106" s="60">
        <f t="shared" ref="D106:V106" si="16">+IFERROR(IF(D67&gt;0,+((D67/D28)*100)," "),"")</f>
        <v>98.700328614236682</v>
      </c>
      <c r="E106" s="60">
        <f t="shared" si="16"/>
        <v>97.152876540655043</v>
      </c>
      <c r="F106" s="60">
        <f t="shared" si="16"/>
        <v>99.257813688039533</v>
      </c>
      <c r="G106" s="60">
        <f t="shared" si="16"/>
        <v>98.104515380122194</v>
      </c>
      <c r="H106" s="60">
        <f t="shared" si="16"/>
        <v>97.295586466114386</v>
      </c>
      <c r="I106" s="60">
        <f t="shared" si="16"/>
        <v>98.296236152493648</v>
      </c>
      <c r="J106" s="60">
        <f t="shared" si="16"/>
        <v>98.993388249668129</v>
      </c>
      <c r="K106" s="60">
        <f t="shared" si="16"/>
        <v>97.349020406603046</v>
      </c>
      <c r="L106" s="60">
        <f t="shared" si="16"/>
        <v>99.390473827475205</v>
      </c>
      <c r="M106" s="60">
        <f t="shared" si="16"/>
        <v>93.912661396162676</v>
      </c>
      <c r="N106" s="60">
        <f t="shared" si="16"/>
        <v>93.41682550241903</v>
      </c>
      <c r="O106" s="60">
        <f t="shared" si="16"/>
        <v>94.430716260006335</v>
      </c>
      <c r="P106" s="60">
        <f t="shared" si="16"/>
        <v>84.364315965683559</v>
      </c>
      <c r="Q106" s="60">
        <f t="shared" si="16"/>
        <v>74.378701352539494</v>
      </c>
      <c r="R106" s="60">
        <f t="shared" si="16"/>
        <v>90.937006676846735</v>
      </c>
      <c r="S106" s="60">
        <f t="shared" si="16"/>
        <v>94.887442873553624</v>
      </c>
      <c r="T106" s="60">
        <f t="shared" si="16"/>
        <v>98.787326189950534</v>
      </c>
      <c r="U106" s="60">
        <f t="shared" si="16"/>
        <v>95.712443754325861</v>
      </c>
      <c r="V106" s="60">
        <f t="shared" si="16"/>
        <v>93.673923124561611</v>
      </c>
    </row>
    <row r="107" spans="3:22" x14ac:dyDescent="0.2">
      <c r="C107" s="88" t="s">
        <v>138</v>
      </c>
      <c r="D107" s="62">
        <f t="shared" ref="D107:V107" si="17">+IFERROR(IF(D68&gt;0,+((D68/D29)*100)," "),"")</f>
        <v>96.413806392879636</v>
      </c>
      <c r="E107" s="62">
        <f t="shared" si="17"/>
        <v>97.092990595166668</v>
      </c>
      <c r="F107" s="62">
        <f t="shared" si="17"/>
        <v>97.756532143529768</v>
      </c>
      <c r="G107" s="62">
        <f t="shared" si="17"/>
        <v>98.411460682428213</v>
      </c>
      <c r="H107" s="62">
        <f t="shared" si="17"/>
        <v>99.045758404258549</v>
      </c>
      <c r="I107" s="62">
        <f t="shared" si="17"/>
        <v>96.524499227844856</v>
      </c>
      <c r="J107" s="62">
        <f t="shared" si="17"/>
        <v>96.039670216369842</v>
      </c>
      <c r="K107" s="62">
        <f t="shared" si="17"/>
        <v>93.698020812370558</v>
      </c>
      <c r="L107" s="62">
        <f t="shared" si="17"/>
        <v>92.849711282568748</v>
      </c>
      <c r="M107" s="62">
        <f t="shared" si="17"/>
        <v>89.418824078985608</v>
      </c>
      <c r="N107" s="62">
        <f t="shared" si="17"/>
        <v>84.804891379725717</v>
      </c>
      <c r="O107" s="62">
        <f t="shared" si="17"/>
        <v>89.437216576674601</v>
      </c>
      <c r="P107" s="62">
        <f t="shared" si="17"/>
        <v>77.153341875101304</v>
      </c>
      <c r="Q107" s="62">
        <f t="shared" si="17"/>
        <v>74.486254011328086</v>
      </c>
      <c r="R107" s="62">
        <f t="shared" si="17"/>
        <v>85.294275246305716</v>
      </c>
      <c r="S107" s="62">
        <f t="shared" si="17"/>
        <v>94.710774852150536</v>
      </c>
      <c r="T107" s="62">
        <f t="shared" si="17"/>
        <v>97.117475985002827</v>
      </c>
      <c r="U107" s="62">
        <f t="shared" si="17"/>
        <v>98.246649591297484</v>
      </c>
      <c r="V107" s="62">
        <f t="shared" si="17"/>
        <v>97.085973391286132</v>
      </c>
    </row>
    <row r="108" spans="3:22" x14ac:dyDescent="0.2">
      <c r="C108" s="87" t="s">
        <v>139</v>
      </c>
      <c r="D108" s="60">
        <f t="shared" ref="D108:V108" si="18">+IFERROR(IF(D69&gt;0,+((D69/D30)*100)," "),"")</f>
        <v>96.937082435500315</v>
      </c>
      <c r="E108" s="60">
        <f t="shared" si="18"/>
        <v>98.668956907079306</v>
      </c>
      <c r="F108" s="60">
        <f t="shared" si="18"/>
        <v>98.692049260100177</v>
      </c>
      <c r="G108" s="60">
        <f t="shared" si="18"/>
        <v>97.380697373184773</v>
      </c>
      <c r="H108" s="60">
        <f t="shared" si="18"/>
        <v>98.054451720968245</v>
      </c>
      <c r="I108" s="60">
        <f t="shared" si="18"/>
        <v>99.082827435641647</v>
      </c>
      <c r="J108" s="60">
        <f t="shared" si="18"/>
        <v>92.533030373576011</v>
      </c>
      <c r="K108" s="60">
        <f t="shared" si="18"/>
        <v>90.674040743511995</v>
      </c>
      <c r="L108" s="60">
        <f t="shared" si="18"/>
        <v>96.42537473141455</v>
      </c>
      <c r="M108" s="60">
        <f t="shared" si="18"/>
        <v>94.216831852332348</v>
      </c>
      <c r="N108" s="60">
        <f t="shared" si="18"/>
        <v>93.730049249576396</v>
      </c>
      <c r="O108" s="60">
        <f t="shared" si="18"/>
        <v>98.435514689139481</v>
      </c>
      <c r="P108" s="60">
        <f t="shared" si="18"/>
        <v>93.145900385632046</v>
      </c>
      <c r="Q108" s="60">
        <f t="shared" si="18"/>
        <v>94.495399605400777</v>
      </c>
      <c r="R108" s="60">
        <f t="shared" si="18"/>
        <v>96.07753535841286</v>
      </c>
      <c r="S108" s="60">
        <f t="shared" si="18"/>
        <v>95.23136527972504</v>
      </c>
      <c r="T108" s="60">
        <f t="shared" si="18"/>
        <v>98.097815976575745</v>
      </c>
      <c r="U108" s="60">
        <f t="shared" si="18"/>
        <v>97.757333487215675</v>
      </c>
      <c r="V108" s="60">
        <f t="shared" si="18"/>
        <v>97.934945707048456</v>
      </c>
    </row>
    <row r="109" spans="3:22" x14ac:dyDescent="0.2">
      <c r="C109" s="88" t="s">
        <v>140</v>
      </c>
      <c r="D109" s="62">
        <f t="shared" ref="D109:V109" si="19">+IFERROR(IF(D70&gt;0,+((D70/D31)*100)," "),"")</f>
        <v>91.016327490484144</v>
      </c>
      <c r="E109" s="62">
        <f t="shared" si="19"/>
        <v>81.241001338298929</v>
      </c>
      <c r="F109" s="62">
        <f t="shared" si="19"/>
        <v>92.726959503916689</v>
      </c>
      <c r="G109" s="62">
        <f t="shared" si="19"/>
        <v>90.99246839866872</v>
      </c>
      <c r="H109" s="62">
        <f t="shared" si="19"/>
        <v>87.581006871290541</v>
      </c>
      <c r="I109" s="62">
        <f t="shared" si="19"/>
        <v>77.496705137266645</v>
      </c>
      <c r="J109" s="62">
        <f t="shared" si="19"/>
        <v>72.426670424231062</v>
      </c>
      <c r="K109" s="62">
        <f t="shared" si="19"/>
        <v>83.38013393520059</v>
      </c>
      <c r="L109" s="62">
        <f t="shared" si="19"/>
        <v>95.359064902007987</v>
      </c>
      <c r="M109" s="62">
        <f t="shared" si="19"/>
        <v>83.150450090027178</v>
      </c>
      <c r="N109" s="62">
        <f t="shared" si="19"/>
        <v>88.504189583356066</v>
      </c>
      <c r="O109" s="62">
        <f t="shared" si="19"/>
        <v>90.718312694229866</v>
      </c>
      <c r="P109" s="62">
        <f t="shared" si="19"/>
        <v>84.597506790213188</v>
      </c>
      <c r="Q109" s="62">
        <f t="shared" si="19"/>
        <v>90.1659401816339</v>
      </c>
      <c r="R109" s="62">
        <f t="shared" si="19"/>
        <v>86.130264706699023</v>
      </c>
      <c r="S109" s="62">
        <f t="shared" si="19"/>
        <v>95.270870799793386</v>
      </c>
      <c r="T109" s="62">
        <f t="shared" si="19"/>
        <v>94.632064740335139</v>
      </c>
      <c r="U109" s="62">
        <f t="shared" si="19"/>
        <v>93.043389898657196</v>
      </c>
      <c r="V109" s="62">
        <f t="shared" si="19"/>
        <v>98.093662952451311</v>
      </c>
    </row>
    <row r="110" spans="3:22" x14ac:dyDescent="0.2">
      <c r="C110" s="87" t="s">
        <v>141</v>
      </c>
      <c r="D110" s="60">
        <f t="shared" ref="D110:V110" si="20">+IFERROR(IF(D71&gt;0,+((D71/D32)*100)," "),"")</f>
        <v>95.284817622776046</v>
      </c>
      <c r="E110" s="60">
        <f t="shared" si="20"/>
        <v>97.228190095556627</v>
      </c>
      <c r="F110" s="60">
        <f t="shared" si="20"/>
        <v>97.573301888720266</v>
      </c>
      <c r="G110" s="60">
        <f t="shared" si="20"/>
        <v>97.640080340040626</v>
      </c>
      <c r="H110" s="60">
        <f t="shared" si="20"/>
        <v>95.649840009433234</v>
      </c>
      <c r="I110" s="60">
        <f t="shared" si="20"/>
        <v>96.390996967035306</v>
      </c>
      <c r="J110" s="60">
        <f t="shared" si="20"/>
        <v>97.221038691577434</v>
      </c>
      <c r="K110" s="60">
        <f t="shared" si="20"/>
        <v>95.542521200231704</v>
      </c>
      <c r="L110" s="60">
        <f t="shared" si="20"/>
        <v>94.465400266339287</v>
      </c>
      <c r="M110" s="60">
        <f t="shared" si="20"/>
        <v>92.904557047607128</v>
      </c>
      <c r="N110" s="60">
        <f t="shared" si="20"/>
        <v>91.662410444444092</v>
      </c>
      <c r="O110" s="60">
        <f t="shared" si="20"/>
        <v>93.911702295355852</v>
      </c>
      <c r="P110" s="60">
        <f t="shared" si="20"/>
        <v>88.548036738223317</v>
      </c>
      <c r="Q110" s="60">
        <f t="shared" si="20"/>
        <v>90.40539427477313</v>
      </c>
      <c r="R110" s="60">
        <f t="shared" si="20"/>
        <v>94.463722903192874</v>
      </c>
      <c r="S110" s="60">
        <f t="shared" si="20"/>
        <v>95.791869629637745</v>
      </c>
      <c r="T110" s="60">
        <f t="shared" si="20"/>
        <v>97.026962973270713</v>
      </c>
      <c r="U110" s="60">
        <f t="shared" si="20"/>
        <v>97.234267460664668</v>
      </c>
      <c r="V110" s="60">
        <f t="shared" si="20"/>
        <v>96.656133580877921</v>
      </c>
    </row>
    <row r="111" spans="3:22" x14ac:dyDescent="0.2">
      <c r="C111" s="88" t="s">
        <v>142</v>
      </c>
      <c r="D111" s="62">
        <f t="shared" ref="D111:V111" si="21">+IFERROR(IF(D72&gt;0,+((D72/D33)*100)," "),"")</f>
        <v>83.203622482729529</v>
      </c>
      <c r="E111" s="62">
        <f t="shared" si="21"/>
        <v>90.173714172387463</v>
      </c>
      <c r="F111" s="62">
        <f t="shared" si="21"/>
        <v>98.232042652654968</v>
      </c>
      <c r="G111" s="62">
        <f t="shared" si="21"/>
        <v>96.657936982125364</v>
      </c>
      <c r="H111" s="62">
        <f t="shared" si="21"/>
        <v>88.288476472689354</v>
      </c>
      <c r="I111" s="62">
        <f t="shared" si="21"/>
        <v>84.832904991265252</v>
      </c>
      <c r="J111" s="62">
        <f t="shared" si="21"/>
        <v>75.102917668114856</v>
      </c>
      <c r="K111" s="62">
        <f t="shared" si="21"/>
        <v>69.222376115400351</v>
      </c>
      <c r="L111" s="62">
        <f t="shared" si="21"/>
        <v>81.582634252806784</v>
      </c>
      <c r="M111" s="62">
        <f t="shared" si="21"/>
        <v>74.550066592234018</v>
      </c>
      <c r="N111" s="62">
        <f t="shared" si="21"/>
        <v>93.235984045490625</v>
      </c>
      <c r="O111" s="62">
        <f t="shared" si="21"/>
        <v>87.399555471837971</v>
      </c>
      <c r="P111" s="62">
        <f t="shared" si="21"/>
        <v>85.789606883035972</v>
      </c>
      <c r="Q111" s="62">
        <f t="shared" si="21"/>
        <v>75.371280932035063</v>
      </c>
      <c r="R111" s="62">
        <f t="shared" si="21"/>
        <v>86.410215888127297</v>
      </c>
      <c r="S111" s="62">
        <f t="shared" si="21"/>
        <v>89.158959841167189</v>
      </c>
      <c r="T111" s="62">
        <f t="shared" si="21"/>
        <v>93.692880324985467</v>
      </c>
      <c r="U111" s="62">
        <f t="shared" si="21"/>
        <v>94.325211530180326</v>
      </c>
      <c r="V111" s="62">
        <f t="shared" si="21"/>
        <v>94.426751758398339</v>
      </c>
    </row>
    <row r="112" spans="3:22" x14ac:dyDescent="0.2">
      <c r="C112" s="87" t="s">
        <v>143</v>
      </c>
      <c r="D112" s="60">
        <f t="shared" ref="D112:V112" si="22">+IFERROR(IF(D73&gt;0,+((D73/D34)*100)," "),"")</f>
        <v>91.121416902551132</v>
      </c>
      <c r="E112" s="60">
        <f t="shared" si="22"/>
        <v>97.012939424745881</v>
      </c>
      <c r="F112" s="60">
        <f t="shared" si="22"/>
        <v>92.489250782692238</v>
      </c>
      <c r="G112" s="60">
        <f t="shared" si="22"/>
        <v>95.042790989278132</v>
      </c>
      <c r="H112" s="60">
        <f t="shared" si="22"/>
        <v>97.362105032533506</v>
      </c>
      <c r="I112" s="60">
        <f t="shared" si="22"/>
        <v>99.462926130154329</v>
      </c>
      <c r="J112" s="60">
        <f t="shared" si="22"/>
        <v>98.668636502283903</v>
      </c>
      <c r="K112" s="60">
        <f t="shared" si="22"/>
        <v>99.469372817642537</v>
      </c>
      <c r="L112" s="60">
        <f t="shared" si="22"/>
        <v>98.285469294354158</v>
      </c>
      <c r="M112" s="60">
        <f t="shared" si="22"/>
        <v>91.861705356181844</v>
      </c>
      <c r="N112" s="60">
        <f t="shared" si="22"/>
        <v>91.165194258219458</v>
      </c>
      <c r="O112" s="60">
        <f t="shared" si="22"/>
        <v>96.453823405360566</v>
      </c>
      <c r="P112" s="60">
        <f t="shared" si="22"/>
        <v>95.574116548326344</v>
      </c>
      <c r="Q112" s="60">
        <f t="shared" si="22"/>
        <v>93.156431780101911</v>
      </c>
      <c r="R112" s="60">
        <f t="shared" si="22"/>
        <v>94.031483184133052</v>
      </c>
      <c r="S112" s="60">
        <f t="shared" si="22"/>
        <v>96.606633235879187</v>
      </c>
      <c r="T112" s="60">
        <f t="shared" si="22"/>
        <v>98.692010531777569</v>
      </c>
      <c r="U112" s="60">
        <f t="shared" si="22"/>
        <v>98.412442979105734</v>
      </c>
      <c r="V112" s="60">
        <f t="shared" si="22"/>
        <v>97.252781330568396</v>
      </c>
    </row>
    <row r="113" spans="3:22" x14ac:dyDescent="0.2">
      <c r="C113" s="88" t="s">
        <v>144</v>
      </c>
      <c r="D113" s="62">
        <f t="shared" ref="D113:V113" si="23">+IFERROR(IF(D74&gt;0,+((D74/D35)*100)," "),"")</f>
        <v>99.292198301472496</v>
      </c>
      <c r="E113" s="62">
        <f t="shared" si="23"/>
        <v>97.197979451948584</v>
      </c>
      <c r="F113" s="62">
        <f t="shared" si="23"/>
        <v>98.881360937648139</v>
      </c>
      <c r="G113" s="62">
        <f t="shared" si="23"/>
        <v>99.425039365868443</v>
      </c>
      <c r="H113" s="62">
        <f t="shared" si="23"/>
        <v>99.086724614956879</v>
      </c>
      <c r="I113" s="62">
        <f t="shared" si="23"/>
        <v>99.891525681601053</v>
      </c>
      <c r="J113" s="62">
        <f t="shared" si="23"/>
        <v>98.87837962248912</v>
      </c>
      <c r="K113" s="62">
        <f t="shared" si="23"/>
        <v>99.508056861722238</v>
      </c>
      <c r="L113" s="62">
        <f t="shared" si="23"/>
        <v>99.243613870119745</v>
      </c>
      <c r="M113" s="62">
        <f t="shared" si="23"/>
        <v>99.131728799000015</v>
      </c>
      <c r="N113" s="62">
        <f t="shared" si="23"/>
        <v>98.799482048851019</v>
      </c>
      <c r="O113" s="62">
        <f t="shared" si="23"/>
        <v>97.520309041840775</v>
      </c>
      <c r="P113" s="62">
        <f t="shared" si="23"/>
        <v>98.768752530293852</v>
      </c>
      <c r="Q113" s="62">
        <f t="shared" si="23"/>
        <v>99.751244998334869</v>
      </c>
      <c r="R113" s="62">
        <f t="shared" si="23"/>
        <v>99.814096828176758</v>
      </c>
      <c r="S113" s="62">
        <f t="shared" si="23"/>
        <v>99.427390263341806</v>
      </c>
      <c r="T113" s="62">
        <f t="shared" si="23"/>
        <v>99.202966952618652</v>
      </c>
      <c r="U113" s="62">
        <f t="shared" si="23"/>
        <v>98.498012535292844</v>
      </c>
      <c r="V113" s="62">
        <f t="shared" si="23"/>
        <v>99.443620323360747</v>
      </c>
    </row>
    <row r="114" spans="3:22" x14ac:dyDescent="0.2">
      <c r="C114" s="87" t="s">
        <v>145</v>
      </c>
      <c r="D114" s="60">
        <f t="shared" ref="D114:V114" si="24">+IFERROR(IF(D75&gt;0,+((D75/D36)*100)," "),"")</f>
        <v>98.141899132771584</v>
      </c>
      <c r="E114" s="60">
        <f t="shared" si="24"/>
        <v>96.964639562676908</v>
      </c>
      <c r="F114" s="60">
        <f t="shared" si="24"/>
        <v>80.439855030364512</v>
      </c>
      <c r="G114" s="60">
        <f t="shared" si="24"/>
        <v>91.311188519141226</v>
      </c>
      <c r="H114" s="60">
        <f t="shared" si="24"/>
        <v>97.34481952809756</v>
      </c>
      <c r="I114" s="60">
        <f t="shared" si="24"/>
        <v>97.245942721554371</v>
      </c>
      <c r="J114" s="60">
        <f t="shared" si="24"/>
        <v>87.794065368197394</v>
      </c>
      <c r="K114" s="60">
        <f t="shared" si="24"/>
        <v>94.764907898728794</v>
      </c>
      <c r="L114" s="60">
        <f t="shared" si="24"/>
        <v>95.947665811275769</v>
      </c>
      <c r="M114" s="60">
        <f t="shared" si="24"/>
        <v>97.82813248846233</v>
      </c>
      <c r="N114" s="60">
        <f t="shared" si="24"/>
        <v>98.974954371578434</v>
      </c>
      <c r="O114" s="60">
        <f t="shared" si="24"/>
        <v>92.318484636409011</v>
      </c>
      <c r="P114" s="60">
        <f t="shared" si="24"/>
        <v>91.738924431784085</v>
      </c>
      <c r="Q114" s="60">
        <f t="shared" si="24"/>
        <v>88.40599066282654</v>
      </c>
      <c r="R114" s="60">
        <f t="shared" si="24"/>
        <v>94.37808631969466</v>
      </c>
      <c r="S114" s="60">
        <f t="shared" si="24"/>
        <v>92.214567581550725</v>
      </c>
      <c r="T114" s="60">
        <f t="shared" si="24"/>
        <v>94.498728867070483</v>
      </c>
      <c r="U114" s="60">
        <f t="shared" si="24"/>
        <v>95.91887001093265</v>
      </c>
      <c r="V114" s="60">
        <f t="shared" si="24"/>
        <v>97.712471775435503</v>
      </c>
    </row>
    <row r="115" spans="3:22" x14ac:dyDescent="0.2">
      <c r="C115" s="88" t="s">
        <v>146</v>
      </c>
      <c r="D115" s="62">
        <f t="shared" ref="D115:V115" si="25">+IFERROR(IF(D76&gt;0,+((D76/D37)*100)," "),"")</f>
        <v>92.630541278512013</v>
      </c>
      <c r="E115" s="62">
        <f t="shared" si="25"/>
        <v>94.467336199807804</v>
      </c>
      <c r="F115" s="62">
        <f t="shared" si="25"/>
        <v>94.505580101151239</v>
      </c>
      <c r="G115" s="62">
        <f t="shared" si="25"/>
        <v>98.685516212359204</v>
      </c>
      <c r="H115" s="62">
        <f t="shared" si="25"/>
        <v>93.322938651642076</v>
      </c>
      <c r="I115" s="62">
        <f t="shared" si="25"/>
        <v>89.859645590457674</v>
      </c>
      <c r="J115" s="62">
        <f t="shared" si="25"/>
        <v>95.211796782287493</v>
      </c>
      <c r="K115" s="62">
        <f t="shared" si="25"/>
        <v>86.300921039200944</v>
      </c>
      <c r="L115" s="62">
        <f t="shared" si="25"/>
        <v>92.097598882819881</v>
      </c>
      <c r="M115" s="62">
        <f t="shared" si="25"/>
        <v>95.045867964134473</v>
      </c>
      <c r="N115" s="62">
        <f t="shared" si="25"/>
        <v>85.352512273985241</v>
      </c>
      <c r="O115" s="62">
        <f t="shared" si="25"/>
        <v>97.904294293705618</v>
      </c>
      <c r="P115" s="62">
        <f t="shared" si="25"/>
        <v>96.536589779192965</v>
      </c>
      <c r="Q115" s="62">
        <f t="shared" si="25"/>
        <v>98.794793243037986</v>
      </c>
      <c r="R115" s="62">
        <f t="shared" si="25"/>
        <v>97.9983069906514</v>
      </c>
      <c r="S115" s="62">
        <f t="shared" si="25"/>
        <v>98.719762998260492</v>
      </c>
      <c r="T115" s="62">
        <f t="shared" si="25"/>
        <v>97.540716047764462</v>
      </c>
      <c r="U115" s="62">
        <f t="shared" si="25"/>
        <v>96.020993638072781</v>
      </c>
      <c r="V115" s="62">
        <f t="shared" si="25"/>
        <v>94.702120017760336</v>
      </c>
    </row>
    <row r="116" spans="3:22" x14ac:dyDescent="0.2">
      <c r="C116" s="90" t="s">
        <v>147</v>
      </c>
      <c r="D116" s="61">
        <f t="shared" ref="D116:V116" si="26">+IFERROR(IF(D77&gt;0,+((D77/D38)*100)," "),"")</f>
        <v>97.323765901190754</v>
      </c>
      <c r="E116" s="61">
        <f t="shared" si="26"/>
        <v>99.382193664705326</v>
      </c>
      <c r="F116" s="61">
        <f t="shared" si="26"/>
        <v>99.207953857274006</v>
      </c>
      <c r="G116" s="61">
        <f t="shared" si="26"/>
        <v>99.5875394134966</v>
      </c>
      <c r="H116" s="61">
        <f t="shared" si="26"/>
        <v>99.80906475929217</v>
      </c>
      <c r="I116" s="61">
        <f t="shared" si="26"/>
        <v>99.538208630834418</v>
      </c>
      <c r="J116" s="61">
        <f t="shared" si="26"/>
        <v>99.282684526678068</v>
      </c>
      <c r="K116" s="61">
        <f t="shared" si="26"/>
        <v>97.523249322920719</v>
      </c>
      <c r="L116" s="61">
        <f t="shared" si="26"/>
        <v>99.780472022496468</v>
      </c>
      <c r="M116" s="61">
        <f t="shared" si="26"/>
        <v>95.674429594990542</v>
      </c>
      <c r="N116" s="61">
        <f t="shared" si="26"/>
        <v>86.971191128238033</v>
      </c>
      <c r="O116" s="61">
        <f t="shared" si="26"/>
        <v>99.130509155480638</v>
      </c>
      <c r="P116" s="61">
        <f t="shared" si="26"/>
        <v>98.733073739508541</v>
      </c>
      <c r="Q116" s="61">
        <f t="shared" si="26"/>
        <v>98.865847136838553</v>
      </c>
      <c r="R116" s="61">
        <f t="shared" si="26"/>
        <v>97.565185512061362</v>
      </c>
      <c r="S116" s="61">
        <f t="shared" si="26"/>
        <v>98.87960887267738</v>
      </c>
      <c r="T116" s="61">
        <f t="shared" si="26"/>
        <v>99.825961807574174</v>
      </c>
      <c r="U116" s="61">
        <f t="shared" si="26"/>
        <v>99.89620004795907</v>
      </c>
      <c r="V116" s="61">
        <f t="shared" si="26"/>
        <v>95.591099910972119</v>
      </c>
    </row>
    <row r="117" spans="3:22" ht="22.5" customHeight="1" x14ac:dyDescent="0.2">
      <c r="C117" s="89" t="s">
        <v>148</v>
      </c>
      <c r="D117" s="63" t="str">
        <f t="shared" ref="D117:V117" si="27">+IFERROR(IF(D78&gt;0,+((D78/D39)*100),"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>
        <f t="shared" si="27"/>
        <v>59.926249401054143</v>
      </c>
      <c r="V117" s="63">
        <f t="shared" si="27"/>
        <v>81.957035290999485</v>
      </c>
    </row>
    <row r="118" spans="3:22" x14ac:dyDescent="0.2">
      <c r="C118" s="87" t="s">
        <v>149</v>
      </c>
      <c r="D118" s="60">
        <f t="shared" ref="D118:V118" si="28">+IFERROR(IF(D79&gt;0,+((D79/D40)*100)," "),"")</f>
        <v>78.30421923929913</v>
      </c>
      <c r="E118" s="60">
        <f t="shared" si="28"/>
        <v>84.522408849046428</v>
      </c>
      <c r="F118" s="60">
        <f t="shared" si="28"/>
        <v>92.911535316966464</v>
      </c>
      <c r="G118" s="60">
        <f t="shared" si="28"/>
        <v>92.569404418116378</v>
      </c>
      <c r="H118" s="60">
        <f t="shared" si="28"/>
        <v>91.503644394603626</v>
      </c>
      <c r="I118" s="60">
        <f t="shared" si="28"/>
        <v>94.981733124695239</v>
      </c>
      <c r="J118" s="60">
        <f t="shared" si="28"/>
        <v>73.437743202473172</v>
      </c>
      <c r="K118" s="60">
        <f t="shared" si="28"/>
        <v>96.25845178282465</v>
      </c>
      <c r="L118" s="60">
        <f t="shared" si="28"/>
        <v>93.14699969284321</v>
      </c>
      <c r="M118" s="60">
        <f t="shared" si="28"/>
        <v>31.153475373521594</v>
      </c>
      <c r="N118" s="60">
        <f t="shared" si="28"/>
        <v>79.281288861517623</v>
      </c>
      <c r="O118" s="60">
        <f t="shared" si="28"/>
        <v>90.479343885855968</v>
      </c>
      <c r="P118" s="60">
        <f t="shared" si="28"/>
        <v>77.674618980419368</v>
      </c>
      <c r="Q118" s="60">
        <f t="shared" si="28"/>
        <v>65.121490423663985</v>
      </c>
      <c r="R118" s="60">
        <f t="shared" si="28"/>
        <v>49.899497502990783</v>
      </c>
      <c r="S118" s="60">
        <f t="shared" si="28"/>
        <v>82.564459573184834</v>
      </c>
      <c r="T118" s="60">
        <f t="shared" si="28"/>
        <v>93.591159431084819</v>
      </c>
      <c r="U118" s="60">
        <f t="shared" si="28"/>
        <v>95.103878392843697</v>
      </c>
      <c r="V118" s="60">
        <f t="shared" si="28"/>
        <v>90.707778767051167</v>
      </c>
    </row>
    <row r="119" spans="3:22" x14ac:dyDescent="0.2">
      <c r="C119" s="88" t="s">
        <v>150</v>
      </c>
      <c r="D119" s="62">
        <f t="shared" ref="D119:V119" si="29">+IFERROR(IF(D80&gt;0,+((D80/D41)*100)," "),"")</f>
        <v>87.8005233805942</v>
      </c>
      <c r="E119" s="62">
        <f t="shared" si="29"/>
        <v>88.128148725550574</v>
      </c>
      <c r="F119" s="62">
        <f t="shared" si="29"/>
        <v>95.862001520331802</v>
      </c>
      <c r="G119" s="62">
        <f t="shared" si="29"/>
        <v>91.556022229958231</v>
      </c>
      <c r="H119" s="62">
        <f t="shared" si="29"/>
        <v>90.629335938366737</v>
      </c>
      <c r="I119" s="62">
        <f t="shared" si="29"/>
        <v>81.559522160188209</v>
      </c>
      <c r="J119" s="62">
        <f t="shared" si="29"/>
        <v>69.187969488587242</v>
      </c>
      <c r="K119" s="62">
        <f t="shared" si="29"/>
        <v>82.503110384515907</v>
      </c>
      <c r="L119" s="62">
        <f t="shared" si="29"/>
        <v>97.518032013521875</v>
      </c>
      <c r="M119" s="62">
        <f t="shared" si="29"/>
        <v>90.982439248537787</v>
      </c>
      <c r="N119" s="62">
        <f t="shared" si="29"/>
        <v>76.923119907183846</v>
      </c>
      <c r="O119" s="62">
        <f t="shared" si="29"/>
        <v>83.189520787112031</v>
      </c>
      <c r="P119" s="62">
        <f t="shared" si="29"/>
        <v>87.305725233996881</v>
      </c>
      <c r="Q119" s="62">
        <f t="shared" si="29"/>
        <v>89.685043946715425</v>
      </c>
      <c r="R119" s="62">
        <f t="shared" si="29"/>
        <v>91.056966755847398</v>
      </c>
      <c r="S119" s="62">
        <f t="shared" si="29"/>
        <v>88.390642283587354</v>
      </c>
      <c r="T119" s="62">
        <f t="shared" si="29"/>
        <v>93.226526567780056</v>
      </c>
      <c r="U119" s="62">
        <f t="shared" si="29"/>
        <v>92.590743970221268</v>
      </c>
      <c r="V119" s="62">
        <f t="shared" si="29"/>
        <v>94.766751304369237</v>
      </c>
    </row>
    <row r="120" spans="3:22" x14ac:dyDescent="0.2">
      <c r="C120" s="87" t="s">
        <v>151</v>
      </c>
      <c r="D120" s="60">
        <f t="shared" ref="D120:V120" si="30">+IFERROR(IF(D81&gt;0,+((D81/D42)*100)," "),"")</f>
        <v>80.892808347431995</v>
      </c>
      <c r="E120" s="60">
        <f t="shared" si="30"/>
        <v>84.790935212199912</v>
      </c>
      <c r="F120" s="60">
        <f t="shared" si="30"/>
        <v>90.556600219809596</v>
      </c>
      <c r="G120" s="60">
        <f t="shared" si="30"/>
        <v>92.122436541776409</v>
      </c>
      <c r="H120" s="60">
        <f t="shared" si="30"/>
        <v>91.590258744075442</v>
      </c>
      <c r="I120" s="60">
        <f t="shared" si="30"/>
        <v>83.999078661076226</v>
      </c>
      <c r="J120" s="60">
        <f t="shared" si="30"/>
        <v>84.211669564823794</v>
      </c>
      <c r="K120" s="60">
        <f t="shared" si="30"/>
        <v>83.172614742516586</v>
      </c>
      <c r="L120" s="60">
        <f t="shared" si="30"/>
        <v>82.656981949464011</v>
      </c>
      <c r="M120" s="60">
        <f t="shared" si="30"/>
        <v>92.000341446585352</v>
      </c>
      <c r="N120" s="60">
        <f t="shared" si="30"/>
        <v>94.051401440640078</v>
      </c>
      <c r="O120" s="60">
        <f t="shared" si="30"/>
        <v>98.340470802343162</v>
      </c>
      <c r="P120" s="60">
        <f t="shared" si="30"/>
        <v>99.319268894690865</v>
      </c>
      <c r="Q120" s="60">
        <f t="shared" si="30"/>
        <v>99.658083599775438</v>
      </c>
      <c r="R120" s="60">
        <f t="shared" si="30"/>
        <v>99.67828832748252</v>
      </c>
      <c r="S120" s="60">
        <f t="shared" si="30"/>
        <v>99.322030911091844</v>
      </c>
      <c r="T120" s="60">
        <f t="shared" si="30"/>
        <v>99.935689433309477</v>
      </c>
      <c r="U120" s="60">
        <f t="shared" si="30"/>
        <v>99.951549296956401</v>
      </c>
      <c r="V120" s="60">
        <f t="shared" si="30"/>
        <v>99.845606171778641</v>
      </c>
    </row>
    <row r="121" spans="3:22" x14ac:dyDescent="0.2">
      <c r="C121" s="91" t="s">
        <v>179</v>
      </c>
      <c r="D121" s="64">
        <f t="shared" ref="D121:V121" si="31">+IFERROR(IF(D82&gt;0,+((D82/D43)*100)," "),"")</f>
        <v>95.851060751659404</v>
      </c>
      <c r="E121" s="64">
        <f t="shared" si="31"/>
        <v>96.922173086367863</v>
      </c>
      <c r="F121" s="64">
        <f t="shared" si="31"/>
        <v>98.689669378464501</v>
      </c>
      <c r="G121" s="64">
        <f t="shared" si="31"/>
        <v>98.820161676365601</v>
      </c>
      <c r="H121" s="64">
        <f t="shared" si="31"/>
        <v>99.118845210946731</v>
      </c>
      <c r="I121" s="64">
        <f t="shared" si="31"/>
        <v>98.534606897832035</v>
      </c>
      <c r="J121" s="64">
        <f t="shared" si="31"/>
        <v>98.466462409245665</v>
      </c>
      <c r="K121" s="64">
        <f t="shared" si="31"/>
        <v>96.314310056347978</v>
      </c>
      <c r="L121" s="64">
        <f t="shared" si="31"/>
        <v>98.108985961702373</v>
      </c>
      <c r="M121" s="64">
        <f t="shared" si="31"/>
        <v>95.025415694171102</v>
      </c>
      <c r="N121" s="64">
        <f t="shared" si="31"/>
        <v>92.134450720301459</v>
      </c>
      <c r="O121" s="64">
        <f t="shared" si="31"/>
        <v>98.803182127105956</v>
      </c>
      <c r="P121" s="64">
        <f t="shared" si="31"/>
        <v>98.342562468790703</v>
      </c>
      <c r="Q121" s="64">
        <f t="shared" si="31"/>
        <v>97.458493695076314</v>
      </c>
      <c r="R121" s="64">
        <f t="shared" si="31"/>
        <v>95.485417756396899</v>
      </c>
      <c r="S121" s="64">
        <f t="shared" si="31"/>
        <v>98.323640179211779</v>
      </c>
      <c r="T121" s="64">
        <f t="shared" si="31"/>
        <v>99.238746764618085</v>
      </c>
      <c r="U121" s="64">
        <f t="shared" si="31"/>
        <v>99.327817399378532</v>
      </c>
      <c r="V121" s="64">
        <f t="shared" si="31"/>
        <v>97.435751996337601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55" t="s">
        <v>190</v>
      </c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6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60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209.123951396599*Deflactores!$A$5</f>
        <v>778.71757104905885</v>
      </c>
      <c r="E131" s="56">
        <f>212.1567790645*Deflactores!$B$5</f>
        <v>733.88146525110324</v>
      </c>
      <c r="F131" s="56">
        <f>223.77588497569*Deflactores!$C$5</f>
        <v>723.48849831627854</v>
      </c>
      <c r="G131" s="56">
        <f>248.4912624635*Deflactores!$D$5</f>
        <v>754.4232944773795</v>
      </c>
      <c r="H131" s="56">
        <f>226.82283930165*Deflactores!$E$5</f>
        <v>652.75575667270596</v>
      </c>
      <c r="I131" s="56">
        <f>241.84855706928*Deflactores!$F$5</f>
        <v>663.76996787925384</v>
      </c>
      <c r="J131" s="56">
        <f>321.65085032016*Deflactores!$G$5</f>
        <v>844.95614056647184</v>
      </c>
      <c r="K131" s="56">
        <f>404.15313726072*Deflactores!$H$5</f>
        <v>1004.4843799021966</v>
      </c>
      <c r="L131" s="56">
        <f>730.46559175614*Deflactores!$I$5</f>
        <v>1686.1051382335495</v>
      </c>
      <c r="M131" s="56">
        <f>322.40939615505*Deflactores!$J$5</f>
        <v>729.59980420742659</v>
      </c>
      <c r="N131" s="56">
        <f>381.57019801066*Deflactores!$K$5</f>
        <v>836.93723627520092</v>
      </c>
      <c r="O131" s="56">
        <f>270.63623737288*Deflactores!$L$5</f>
        <v>572.28701328836519</v>
      </c>
      <c r="P131" s="56">
        <f>383.17145925669*Deflactores!$M$5</f>
        <v>790.95454691523037</v>
      </c>
      <c r="Q131" s="56">
        <f>1347.01294166356*Deflactores!$N$5</f>
        <v>2727.6303435243608</v>
      </c>
      <c r="R131" s="56">
        <f>355.29128316179*Deflactores!$O$5</f>
        <v>694.04414173376676</v>
      </c>
      <c r="S131" s="56">
        <f>495.358370556429*Deflactores!$P$5</f>
        <v>906.30171887482027</v>
      </c>
      <c r="T131" s="56">
        <f>486.090994485379*Deflactores!$Q$5</f>
        <v>840.9893513386852</v>
      </c>
      <c r="U131" s="56">
        <f>564.12814269154*Deflactores!$R$5</f>
        <v>937.65198840362541</v>
      </c>
      <c r="V131" s="56">
        <f>533.533876349256*Deflactores!$S$5</f>
        <v>859.46934133036211</v>
      </c>
    </row>
    <row r="132" spans="3:22" x14ac:dyDescent="0.2">
      <c r="C132" s="88" t="s">
        <v>124</v>
      </c>
      <c r="D132" s="57">
        <f>83.98998956845*Deflactores!$A$5</f>
        <v>312.75461386601768</v>
      </c>
      <c r="E132" s="57">
        <f>87.54642611221*Deflactores!$B$5</f>
        <v>302.83594875463865</v>
      </c>
      <c r="F132" s="57">
        <f>91.71599906838*Deflactores!$C$5</f>
        <v>296.52645746331433</v>
      </c>
      <c r="G132" s="57">
        <f>95.6120785984899*Deflactores!$D$5</f>
        <v>290.2797410782124</v>
      </c>
      <c r="H132" s="57">
        <f>101.76931173269*Deflactores!$E$5</f>
        <v>292.87396406226588</v>
      </c>
      <c r="I132" s="57">
        <f>108.84738859964*Deflactores!$F$5</f>
        <v>298.73913042957315</v>
      </c>
      <c r="J132" s="57">
        <f>112.41079347924*Deflactores!$G$5</f>
        <v>295.29594005951299</v>
      </c>
      <c r="K132" s="57">
        <f>122.22620291332*Deflactores!$H$5</f>
        <v>303.78166175655429</v>
      </c>
      <c r="L132" s="57">
        <f>1045.64662823755*Deflactores!$I$5</f>
        <v>2413.6251899411927</v>
      </c>
      <c r="M132" s="57">
        <f>1254.96676436468*Deflactores!$J$5</f>
        <v>2839.9405119290182</v>
      </c>
      <c r="N132" s="57">
        <f>1351.68793149371*Deflactores!$K$5</f>
        <v>2964.7964321869918</v>
      </c>
      <c r="O132" s="57">
        <f>1091.70411365079*Deflactores!$L$5</f>
        <v>2308.5160090185309</v>
      </c>
      <c r="P132" s="57">
        <f>194.37157604221*Deflactores!$M$5</f>
        <v>401.22790502168971</v>
      </c>
      <c r="Q132" s="57">
        <f>217.859523489999*Deflactores!$N$5</f>
        <v>441.15407396397637</v>
      </c>
      <c r="R132" s="57">
        <f>241.66211769365*Deflactores!$O$5</f>
        <v>472.07512543412673</v>
      </c>
      <c r="S132" s="57">
        <f>239.34692403782*Deflactores!$P$5</f>
        <v>437.90625445415117</v>
      </c>
      <c r="T132" s="57">
        <f>250.44543828819*Deflactores!$Q$5</f>
        <v>433.29736424082807</v>
      </c>
      <c r="U132" s="57">
        <f>268.2441466776*Deflactores!$R$5</f>
        <v>445.8555396826107</v>
      </c>
      <c r="V132" s="57">
        <f>278.83264885436*Deflactores!$S$5</f>
        <v>449.17131540374982</v>
      </c>
    </row>
    <row r="133" spans="3:22" x14ac:dyDescent="0.2">
      <c r="C133" s="87" t="s">
        <v>125</v>
      </c>
      <c r="D133" s="56">
        <f>6.33798051839999*Deflactores!$A$5</f>
        <v>23.600820287125472</v>
      </c>
      <c r="E133" s="56">
        <f>3.554264065*Deflactores!$B$5</f>
        <v>12.294721532883626</v>
      </c>
      <c r="F133" s="56">
        <f>3.972081537*Deflactores!$C$5</f>
        <v>12.842113468598896</v>
      </c>
      <c r="G133" s="56">
        <f>4.39576342712*Deflactores!$D$5</f>
        <v>13.345605368793043</v>
      </c>
      <c r="H133" s="56">
        <f>4.455573171*Deflactores!$E$5</f>
        <v>12.822346486805291</v>
      </c>
      <c r="I133" s="56">
        <f>4.629562808*Deflactores!$F$5</f>
        <v>12.706152947941163</v>
      </c>
      <c r="J133" s="56">
        <f>4.7170987258*Deflactores!$G$5</f>
        <v>12.391515614075704</v>
      </c>
      <c r="K133" s="56">
        <f>5.046358132*Deflactores!$H$5</f>
        <v>12.54224562833571</v>
      </c>
      <c r="L133" s="56">
        <f>5.143308912*Deflactores!$I$5</f>
        <v>11.872098675033467</v>
      </c>
      <c r="M133" s="56">
        <f>6.749731251*Deflactores!$J$5</f>
        <v>15.274376795191342</v>
      </c>
      <c r="N133" s="56">
        <f>24.86316433908*Deflactores!$K$5</f>
        <v>54.534940505034946</v>
      </c>
      <c r="O133" s="56">
        <f>9.245342365*Deflactores!$L$5</f>
        <v>19.550188179731332</v>
      </c>
      <c r="P133" s="56">
        <f>12.26222954297*Deflactores!$M$5</f>
        <v>25.312078908865264</v>
      </c>
      <c r="Q133" s="56">
        <f>16.18188487038*Deflactores!$N$5</f>
        <v>32.767465569674194</v>
      </c>
      <c r="R133" s="56">
        <f>20.8623101315599*Deflactores!$O$5</f>
        <v>40.753502312210259</v>
      </c>
      <c r="S133" s="56">
        <f>19.85339796843*Deflactores!$P$5</f>
        <v>36.323538217558536</v>
      </c>
      <c r="T133" s="56">
        <f>20.49881051983*Deflactores!$Q$5</f>
        <v>35.465132162214914</v>
      </c>
      <c r="U133" s="56">
        <f>22.18707046851*Deflactores!$R$5</f>
        <v>36.87770413720532</v>
      </c>
      <c r="V133" s="56">
        <f>21.95025763725*Deflactores!$S$5</f>
        <v>35.35965439084778</v>
      </c>
    </row>
    <row r="134" spans="3:22" x14ac:dyDescent="0.2">
      <c r="C134" s="88" t="s">
        <v>126</v>
      </c>
      <c r="D134" s="57">
        <f>109.45553182295*Deflactores!$A$5</f>
        <v>407.58098395627752</v>
      </c>
      <c r="E134" s="57">
        <f>108.984840964259*Deflactores!$B$5</f>
        <v>376.99457509530112</v>
      </c>
      <c r="F134" s="57">
        <f>109.233672117199*Deflactores!$C$5</f>
        <v>353.16274322512658</v>
      </c>
      <c r="G134" s="57">
        <f>107.0331820118*Deflactores!$D$5</f>
        <v>324.9543866903569</v>
      </c>
      <c r="H134" s="57">
        <f>110.899221325379*Deflactores!$E$5</f>
        <v>319.14821873114198</v>
      </c>
      <c r="I134" s="57">
        <f>122.27929363444*Deflactores!$F$5</f>
        <v>335.60391590337025</v>
      </c>
      <c r="J134" s="57">
        <f>199.26363327984*Deflactores!$G$5</f>
        <v>523.45277608872402</v>
      </c>
      <c r="K134" s="57">
        <f>172.075571137309*Deflactores!$H$5</f>
        <v>427.67754950933875</v>
      </c>
      <c r="L134" s="57">
        <f>153.148143308539*Deflactores!$I$5</f>
        <v>353.50586565295953</v>
      </c>
      <c r="M134" s="57">
        <f>194.953607456489*Deflactores!$J$5</f>
        <v>441.17235888926177</v>
      </c>
      <c r="N134" s="57">
        <f>133.35181996773*Deflactores!$K$5</f>
        <v>292.49428869951237</v>
      </c>
      <c r="O134" s="57">
        <f>249.90716109256*Deflactores!$L$5</f>
        <v>528.45333725204659</v>
      </c>
      <c r="P134" s="57">
        <f>353.0624452702*Deflactores!$M$5</f>
        <v>728.80257567513138</v>
      </c>
      <c r="Q134" s="57">
        <f>524.209840837349*Deflactores!$N$5</f>
        <v>1061.497350185934</v>
      </c>
      <c r="R134" s="57">
        <f>403.343934846528*Deflactores!$O$5</f>
        <v>787.91264618952812</v>
      </c>
      <c r="S134" s="57">
        <f>386.580542414009*Deflactores!$P$5</f>
        <v>707.28311238553192</v>
      </c>
      <c r="T134" s="57">
        <f>364.99142630279*Deflactores!$Q$5</f>
        <v>631.47416087297552</v>
      </c>
      <c r="U134" s="57">
        <f>437.448084205*Deflactores!$R$5</f>
        <v>727.09378408453938</v>
      </c>
      <c r="V134" s="57">
        <f>374.6358585124*Deflactores!$S$5</f>
        <v>603.50063759327418</v>
      </c>
    </row>
    <row r="135" spans="3:22" x14ac:dyDescent="0.2">
      <c r="C135" s="87" t="s">
        <v>127</v>
      </c>
      <c r="D135" s="56">
        <f>168.145621939619*Deflactores!$A$5</f>
        <v>626.12603398561691</v>
      </c>
      <c r="E135" s="56">
        <f>180.690713609919*Deflactores!$B$5</f>
        <v>625.03572238434106</v>
      </c>
      <c r="F135" s="56">
        <f>184.05198404973*Deflactores!$C$5</f>
        <v>595.05738773745293</v>
      </c>
      <c r="G135" s="56">
        <f>202.91752296671*Deflactores!$D$5</f>
        <v>616.06072046988334</v>
      </c>
      <c r="H135" s="56">
        <f>215.22518708014*Deflactores!$E$5</f>
        <v>619.37977798031864</v>
      </c>
      <c r="I135" s="56">
        <f>232.36405837457*Deflactores!$F$5</f>
        <v>637.73911009689766</v>
      </c>
      <c r="J135" s="56">
        <f>245.32097440796*Deflactores!$G$5</f>
        <v>644.44245531896274</v>
      </c>
      <c r="K135" s="56">
        <f>268.95410375599*Deflactores!$H$5</f>
        <v>668.45997525736334</v>
      </c>
      <c r="L135" s="56">
        <f>290.24802463175*Deflactores!$I$5</f>
        <v>669.96815622372253</v>
      </c>
      <c r="M135" s="56">
        <f>320.39755102817*Deflactores!$J$5</f>
        <v>725.04707767968796</v>
      </c>
      <c r="N135" s="56">
        <f>330.42091024407*Deflactores!$K$5</f>
        <v>724.74623245991131</v>
      </c>
      <c r="O135" s="56">
        <f>346.845641381639*Deflactores!$L$5</f>
        <v>733.43931361601346</v>
      </c>
      <c r="P135" s="56">
        <f>367.903559809254*Deflactores!$M$5</f>
        <v>759.4380698967683</v>
      </c>
      <c r="Q135" s="56">
        <f>387.015021271943*Deflactores!$N$5</f>
        <v>783.68505807922725</v>
      </c>
      <c r="R135" s="56">
        <f>400.185791997995*Deflactores!$O$5</f>
        <v>781.74336862302903</v>
      </c>
      <c r="S135" s="56">
        <f>412.976977419946*Deflactores!$P$5</f>
        <v>755.57771249731695</v>
      </c>
      <c r="T135" s="56">
        <f>435.709711989344*Deflactores!$Q$5</f>
        <v>753.82435020384935</v>
      </c>
      <c r="U135" s="56">
        <f>480.81214223413*Deflactores!$R$5</f>
        <v>799.17030741178758</v>
      </c>
      <c r="V135" s="56">
        <f>494.89480554938*Deflactores!$S$5</f>
        <v>797.22568970467273</v>
      </c>
    </row>
    <row r="136" spans="3:22" x14ac:dyDescent="0.2">
      <c r="C136" s="88" t="s">
        <v>128</v>
      </c>
      <c r="D136" s="57">
        <f>37.6256673036599*Deflactores!$A$5</f>
        <v>140.10718550473283</v>
      </c>
      <c r="E136" s="57">
        <f>39.73659514783*Deflactores!$B$5</f>
        <v>137.45472004132156</v>
      </c>
      <c r="F136" s="57">
        <f>40.22347897121*Deflactores!$C$5</f>
        <v>130.04629342030557</v>
      </c>
      <c r="G136" s="57">
        <f>48.25713944829*Deflactores!$D$5</f>
        <v>146.50941752924146</v>
      </c>
      <c r="H136" s="57">
        <f>52.9881181253*Deflactores!$E$5</f>
        <v>152.49037199267312</v>
      </c>
      <c r="I136" s="57">
        <f>60.98646054071*Deflactores!$F$5</f>
        <v>167.38152769950275</v>
      </c>
      <c r="J136" s="57">
        <f>68.30361819388*Deflactores!$G$5</f>
        <v>179.42922133854344</v>
      </c>
      <c r="K136" s="57">
        <f>80.0232157242799*Deflactores!$H$5</f>
        <v>198.89013053170578</v>
      </c>
      <c r="L136" s="57">
        <f>97.84085142345*Deflactores!$I$5</f>
        <v>225.84220827926174</v>
      </c>
      <c r="M136" s="57">
        <f>94.83676868499*Deflactores!$J$5</f>
        <v>214.61188380179263</v>
      </c>
      <c r="N136" s="57">
        <f>103.57579400892*Deflactores!$K$5</f>
        <v>227.18346253135115</v>
      </c>
      <c r="O136" s="57">
        <f>116.76361228468*Deflactores!$L$5</f>
        <v>246.90817306587462</v>
      </c>
      <c r="P136" s="57">
        <f>148.11082162256*Deflactores!$M$5</f>
        <v>305.73500447285488</v>
      </c>
      <c r="Q136" s="57">
        <f>201.85607242483*Deflactores!$N$5</f>
        <v>408.74792746285021</v>
      </c>
      <c r="R136" s="57">
        <f>196.13244196744*Deflactores!$O$5</f>
        <v>383.13513109594726</v>
      </c>
      <c r="S136" s="57">
        <f>215.209611464589*Deflactores!$P$5</f>
        <v>393.74491758289685</v>
      </c>
      <c r="T136" s="57">
        <f>205.03037301484*Deflactores!$Q$5</f>
        <v>354.72444946038883</v>
      </c>
      <c r="U136" s="57">
        <f>209.86016867683*Deflactores!$R$5</f>
        <v>348.81401858042926</v>
      </c>
      <c r="V136" s="57">
        <f>249.663200067859*Deflactores!$S$5</f>
        <v>402.18227113340521</v>
      </c>
    </row>
    <row r="137" spans="3:22" x14ac:dyDescent="0.2">
      <c r="C137" s="87" t="s">
        <v>129</v>
      </c>
      <c r="D137" s="56">
        <f>5357.98266918497*Deflactores!$A$5</f>
        <v>19951.589581233056</v>
      </c>
      <c r="E137" s="56">
        <f>5904.94991651172*Deflactores!$B$5</f>
        <v>20426.089216062799</v>
      </c>
      <c r="F137" s="56">
        <f>6649.39755630949*Deflactores!$C$5</f>
        <v>21498.128152838744</v>
      </c>
      <c r="G137" s="56">
        <f>7483.6866122123*Deflactores!$D$5</f>
        <v>22720.587649035602</v>
      </c>
      <c r="H137" s="56">
        <f>8605.21376938476*Deflactores!$E$5</f>
        <v>24764.273486123653</v>
      </c>
      <c r="I137" s="56">
        <f>9387.66443911196*Deflactores!$F$5</f>
        <v>25765.089520156016</v>
      </c>
      <c r="J137" s="56">
        <f>10408.6395597441*Deflactores!$G$5</f>
        <v>27342.828107542064</v>
      </c>
      <c r="K137" s="56">
        <f>12237.3550090704*Deflactores!$H$5</f>
        <v>30414.787922329986</v>
      </c>
      <c r="L137" s="56">
        <f>13852.6512063431*Deflactores!$I$5</f>
        <v>31975.532647634733</v>
      </c>
      <c r="M137" s="56">
        <f>15562.6487022332*Deflactores!$J$5</f>
        <v>35217.662951230508</v>
      </c>
      <c r="N137" s="56">
        <f>16778.5150491276*Deflactores!$K$5</f>
        <v>36802.046090681353</v>
      </c>
      <c r="O137" s="56">
        <f>18199.7732965329*Deflactores!$L$5</f>
        <v>38485.215444551839</v>
      </c>
      <c r="P137" s="56">
        <f>19856.0594256753*Deflactores!$M$5</f>
        <v>40987.500783652613</v>
      </c>
      <c r="Q137" s="56">
        <f>21306.0154466242*Deflactores!$N$5</f>
        <v>43143.560417496068</v>
      </c>
      <c r="R137" s="56">
        <f>22450.8352755719*Deflactores!$O$5</f>
        <v>43856.608474531342</v>
      </c>
      <c r="S137" s="56">
        <f>23346.8170723634*Deflactores!$P$5</f>
        <v>42715.055807315926</v>
      </c>
      <c r="T137" s="56">
        <f>25502.0952646908*Deflactores!$Q$5</f>
        <v>44121.349290034566</v>
      </c>
      <c r="U137" s="56">
        <f>26671.4728423152*Deflactores!$R$5</f>
        <v>44331.345401295803</v>
      </c>
      <c r="V137" s="56">
        <f>27586.2027816763*Deflactores!$S$5</f>
        <v>44438.59440905058</v>
      </c>
    </row>
    <row r="138" spans="3:22" x14ac:dyDescent="0.2">
      <c r="C138" s="88" t="s">
        <v>130</v>
      </c>
      <c r="D138" s="57">
        <f>5.825565739*Deflactores!$A$5</f>
        <v>21.692734724858841</v>
      </c>
      <c r="E138" s="57">
        <f>5.92146785128*Deflactores!$B$5</f>
        <v>20.483227178960423</v>
      </c>
      <c r="F138" s="57">
        <f>5.23768950202*Deflactores!$C$5</f>
        <v>16.933943140812744</v>
      </c>
      <c r="G138" s="57">
        <f>5.39975773091*Deflactores!$D$5</f>
        <v>16.393747515895829</v>
      </c>
      <c r="H138" s="57">
        <f>6.57712387525999*Deflactores!$E$5</f>
        <v>18.927791774160301</v>
      </c>
      <c r="I138" s="57">
        <f>6.661455917*Deflactores!$F$5</f>
        <v>18.282823075886789</v>
      </c>
      <c r="J138" s="57">
        <f>5.884315873*Deflactores!$G$5</f>
        <v>15.457720148960174</v>
      </c>
      <c r="K138" s="57">
        <f>6.268998094*Deflactores!$H$5</f>
        <v>15.581001562280003</v>
      </c>
      <c r="L138" s="57">
        <f>6.492147653*Deflactores!$I$5</f>
        <v>14.98557035325568</v>
      </c>
      <c r="M138" s="57">
        <f>7.0365279504*Deflactores!$J$5</f>
        <v>15.923386464962093</v>
      </c>
      <c r="N138" s="57">
        <f>10.40879671*Deflactores!$K$5</f>
        <v>22.830686455168149</v>
      </c>
      <c r="O138" s="57">
        <f>8.480915807*Deflactores!$L$5</f>
        <v>17.933732837302884</v>
      </c>
      <c r="P138" s="57">
        <f>17.00020386953*Deflactores!$M$5</f>
        <v>35.092354151781414</v>
      </c>
      <c r="Q138" s="57">
        <f>23.58124672871*Deflactores!$N$5</f>
        <v>47.750784068880343</v>
      </c>
      <c r="R138" s="57">
        <f>24.2334173202399*Deflactores!$O$5</f>
        <v>47.338795299526552</v>
      </c>
      <c r="S138" s="57">
        <f>28.36021246125*Deflactores!$P$5</f>
        <v>51.88750373273043</v>
      </c>
      <c r="T138" s="57">
        <f>59.84470980392*Deflactores!$Q$5</f>
        <v>103.53774139003178</v>
      </c>
      <c r="U138" s="57">
        <f>54.8438541566299*Deflactores!$R$5</f>
        <v>91.15738962486202</v>
      </c>
      <c r="V138" s="57">
        <f>36.46642153386*Deflactores!$S$5</f>
        <v>58.743732470823247</v>
      </c>
    </row>
    <row r="139" spans="3:22" x14ac:dyDescent="0.2">
      <c r="C139" s="87" t="s">
        <v>131</v>
      </c>
      <c r="D139" s="56">
        <f>4716.69819890403*Deflactores!$A$5</f>
        <v>17563.630279041055</v>
      </c>
      <c r="E139" s="56">
        <f>7203.94907014429*Deflactores!$B$5</f>
        <v>24919.518115348579</v>
      </c>
      <c r="F139" s="56">
        <f>8372.67918320835*Deflactores!$C$5</f>
        <v>27069.659850977416</v>
      </c>
      <c r="G139" s="56">
        <f>9424.3604154737*Deflactores!$D$5</f>
        <v>28612.503162070861</v>
      </c>
      <c r="H139" s="56">
        <f>11030.8977371429*Deflactores!$E$5</f>
        <v>31744.960169606577</v>
      </c>
      <c r="I139" s="56">
        <f>11867.6283180875*Deflactores!$F$5</f>
        <v>32571.520636541605</v>
      </c>
      <c r="J139" s="56">
        <f>12704.280803066*Deflactores!$G$5</f>
        <v>33373.330321827409</v>
      </c>
      <c r="K139" s="56">
        <f>13636.2497292077*Deflactores!$H$5</f>
        <v>33891.60837961892</v>
      </c>
      <c r="L139" s="56">
        <f>15367.9965360672*Deflactores!$I$5</f>
        <v>35473.344968271726</v>
      </c>
      <c r="M139" s="56">
        <f>17619.5815148248*Deflactores!$J$5</f>
        <v>39872.42114138246</v>
      </c>
      <c r="N139" s="56">
        <f>19176.9432464531*Deflactores!$K$5</f>
        <v>42062.765814966624</v>
      </c>
      <c r="O139" s="56">
        <f>20808.8967656846*Deflactores!$L$5</f>
        <v>44002.464324287525</v>
      </c>
      <c r="P139" s="56">
        <f>21738.3591264923*Deflactores!$M$5</f>
        <v>44873.002876910075</v>
      </c>
      <c r="Q139" s="56">
        <f>23662.864085999*Deflactores!$N$5</f>
        <v>47916.054923683572</v>
      </c>
      <c r="R139" s="56">
        <f>25004.5077280037*Deflactores!$O$5</f>
        <v>48845.082691361786</v>
      </c>
      <c r="S139" s="56">
        <f>26574.1575997013*Deflactores!$P$5</f>
        <v>48619.759232505166</v>
      </c>
      <c r="T139" s="56">
        <f>28753.8898003696*Deflactores!$Q$5</f>
        <v>49747.301237863649</v>
      </c>
      <c r="U139" s="56">
        <f>32292.8361141942*Deflactores!$R$5</f>
        <v>53674.758804265352</v>
      </c>
      <c r="V139" s="56">
        <f>34686.2828344877*Deflactores!$S$5</f>
        <v>55876.108308145587</v>
      </c>
    </row>
    <row r="140" spans="3:22" x14ac:dyDescent="0.2">
      <c r="C140" s="88" t="s">
        <v>132</v>
      </c>
      <c r="D140" s="57">
        <f>7.40450548425*Deflactores!$A$5</f>
        <v>27.57225313985899</v>
      </c>
      <c r="E140" s="57">
        <f>7.29339134641*Deflactores!$B$5</f>
        <v>25.228912088290247</v>
      </c>
      <c r="F140" s="57">
        <f>6.98010958237*Deflactores!$C$5</f>
        <v>22.567351260304704</v>
      </c>
      <c r="G140" s="57">
        <f>6.95238889795*Deflactores!$D$5</f>
        <v>21.107559617513001</v>
      </c>
      <c r="H140" s="57">
        <f>6.57097810473*Deflactores!$E$5</f>
        <v>18.910105340532226</v>
      </c>
      <c r="I140" s="57">
        <f>7.39067910984*Deflactores!$F$5</f>
        <v>20.284226190107383</v>
      </c>
      <c r="J140" s="57">
        <f>8.64039633757*Deflactores!$G$5</f>
        <v>22.697766646943133</v>
      </c>
      <c r="K140" s="57">
        <f>8.94236129652*Deflactores!$H$5</f>
        <v>22.225392836680346</v>
      </c>
      <c r="L140" s="57">
        <f>9.76827463818999*Deflactores!$I$5</f>
        <v>22.547726059938899</v>
      </c>
      <c r="M140" s="57">
        <f>10.28407766404*Deflactores!$J$5</f>
        <v>23.27246395303305</v>
      </c>
      <c r="N140" s="57">
        <f>10.46637012519*Deflactores!$K$5</f>
        <v>22.956968159670389</v>
      </c>
      <c r="O140" s="57">
        <f>11.6901647065*Deflactores!$L$5</f>
        <v>24.720006122145229</v>
      </c>
      <c r="P140" s="57">
        <f>14.92716554125*Deflactores!$M$5</f>
        <v>30.81312339993103</v>
      </c>
      <c r="Q140" s="57">
        <f>16.38045358248*Deflactores!$N$5</f>
        <v>33.169556765419955</v>
      </c>
      <c r="R140" s="57">
        <f>19.41377792049*Deflactores!$O$5</f>
        <v>37.923865496302454</v>
      </c>
      <c r="S140" s="57">
        <f>19.17349443068*Deflactores!$P$5</f>
        <v>35.079594879647992</v>
      </c>
      <c r="T140" s="57">
        <f>21.2416658047*Deflactores!$Q$5</f>
        <v>36.750351166987336</v>
      </c>
      <c r="U140" s="57">
        <f>23.3593119534199*Deflactores!$R$5</f>
        <v>38.826117052701356</v>
      </c>
      <c r="V140" s="57">
        <f>24.6799922412099*Deflactores!$S$5</f>
        <v>39.756981919749272</v>
      </c>
    </row>
    <row r="141" spans="3:22" x14ac:dyDescent="0.2">
      <c r="C141" s="87" t="s">
        <v>133</v>
      </c>
      <c r="D141" s="56">
        <f>602.38380628314*Deflactores!$A$5</f>
        <v>2243.1043949551267</v>
      </c>
      <c r="E141" s="56">
        <f>628.63256274128*Deflactores!$B$5</f>
        <v>2174.5323825305122</v>
      </c>
      <c r="F141" s="56">
        <f>668.71908119364*Deflactores!$C$5</f>
        <v>2162.0317305449926</v>
      </c>
      <c r="G141" s="56">
        <f>690.331566020019*Deflactores!$D$5</f>
        <v>2095.8572512989267</v>
      </c>
      <c r="H141" s="56">
        <f>723.20125851685*Deflactores!$E$5</f>
        <v>2081.2444910012446</v>
      </c>
      <c r="I141" s="56">
        <f>812.543323096589*Deflactores!$F$5</f>
        <v>2230.0809316709096</v>
      </c>
      <c r="J141" s="56">
        <f>889.14251590497*Deflactores!$G$5</f>
        <v>2335.7203250195735</v>
      </c>
      <c r="K141" s="56">
        <f>1015.43554164168*Deflactores!$H$5</f>
        <v>2523.7689537433853</v>
      </c>
      <c r="L141" s="56">
        <f>1169.6152795965*Deflactores!$I$5</f>
        <v>2699.777176284158</v>
      </c>
      <c r="M141" s="56">
        <f>1354.37821311077*Deflactores!$J$5</f>
        <v>3064.9047170858776</v>
      </c>
      <c r="N141" s="56">
        <f>1420.45193313629*Deflactores!$K$5</f>
        <v>3115.6236031505809</v>
      </c>
      <c r="O141" s="56">
        <f>1511.15177450545*Deflactores!$L$5</f>
        <v>3195.4794526115393</v>
      </c>
      <c r="P141" s="56">
        <f>1776.73594354892*Deflactores!$M$5</f>
        <v>3667.594073796362</v>
      </c>
      <c r="Q141" s="56">
        <f>2039.28268662796*Deflactores!$N$5</f>
        <v>4129.4401583111239</v>
      </c>
      <c r="R141" s="56">
        <f>2326.28240864612*Deflactores!$O$5</f>
        <v>4544.2788896229049</v>
      </c>
      <c r="S141" s="56">
        <f>2610.60715341061*Deflactores!$P$5</f>
        <v>4776.3354594881393</v>
      </c>
      <c r="T141" s="56">
        <f>2957.71768339998*Deflactores!$Q$5</f>
        <v>5117.1675760809148</v>
      </c>
      <c r="U141" s="56">
        <f>3243.81462884346*Deflactores!$R$5</f>
        <v>5391.6282606218783</v>
      </c>
      <c r="V141" s="56">
        <f>3350.9640313935*Deflactores!$S$5</f>
        <v>5398.0655710007795</v>
      </c>
    </row>
    <row r="142" spans="3:22" x14ac:dyDescent="0.2">
      <c r="C142" s="88" t="s">
        <v>134</v>
      </c>
      <c r="D142" s="57">
        <f>5628.68073553719*Deflactores!$A$5</f>
        <v>20959.591483022417</v>
      </c>
      <c r="E142" s="57">
        <f>4822.7510001137*Deflactores!$B$5</f>
        <v>16682.604185976248</v>
      </c>
      <c r="F142" s="57">
        <f>4246.40835409433*Deflactores!$C$5</f>
        <v>13729.037888399638</v>
      </c>
      <c r="G142" s="57">
        <f>3386.90428668707*Deflactores!$D$5</f>
        <v>10282.693502824215</v>
      </c>
      <c r="H142" s="57">
        <f>4147.6563509017*Deflactores!$E$5</f>
        <v>11936.21668826142</v>
      </c>
      <c r="I142" s="57">
        <f>5031.93792523869*Deflactores!$F$5</f>
        <v>13810.499080419542</v>
      </c>
      <c r="J142" s="57">
        <f>5087.46222791138*Deflactores!$G$5</f>
        <v>13364.436764569242</v>
      </c>
      <c r="K142" s="57">
        <f>5560.77295751838*Deflactores!$H$5</f>
        <v>13820.77500095317</v>
      </c>
      <c r="L142" s="57">
        <f>5592.67178911086*Deflactores!$I$5</f>
        <v>12909.345418177771</v>
      </c>
      <c r="M142" s="57">
        <f>5368.9599508503*Deflactores!$J$5</f>
        <v>12149.745558451637</v>
      </c>
      <c r="N142" s="57">
        <f>6507.05200347772*Deflactores!$K$5</f>
        <v>14272.587713827446</v>
      </c>
      <c r="O142" s="57">
        <f>6764.9578412375*Deflactores!$L$5</f>
        <v>14305.170495883756</v>
      </c>
      <c r="P142" s="57">
        <f>7217.1744711019*Deflactores!$M$5</f>
        <v>14897.917957857149</v>
      </c>
      <c r="Q142" s="57">
        <f>10152.7257328329*Deflactores!$N$5</f>
        <v>20558.735496746551</v>
      </c>
      <c r="R142" s="57">
        <f>10870.8573188111*Deflactores!$O$5</f>
        <v>21235.687998314232</v>
      </c>
      <c r="S142" s="57">
        <f>14173.8633934258*Deflactores!$P$5</f>
        <v>25932.330046485728</v>
      </c>
      <c r="T142" s="57">
        <f>15003.3763319017*Deflactores!$Q$5</f>
        <v>25957.443919763293</v>
      </c>
      <c r="U142" s="57">
        <f>18164.6651016901*Deflactores!$R$5</f>
        <v>30191.960057200478</v>
      </c>
      <c r="V142" s="57">
        <f>9796.33428538821*Deflactores!$S$5</f>
        <v>15780.907921586351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20.5192558428399*Deflactores!$A$5</f>
        <v>76.407819204636354</v>
      </c>
      <c r="E144" s="57">
        <f>17.13099901486*Deflactores!$B$5</f>
        <v>59.2586421875234</v>
      </c>
      <c r="F144" s="57">
        <f>18.53898012962*Deflactores!$C$5</f>
        <v>59.938267681306243</v>
      </c>
      <c r="G144" s="57">
        <f>16.06206947707*Deflactores!$D$5</f>
        <v>48.764689956837501</v>
      </c>
      <c r="H144" s="57">
        <f>14.63221953391*Deflactores!$E$5</f>
        <v>42.108923259515386</v>
      </c>
      <c r="I144" s="57">
        <f>16.54134954242*Deflactores!$F$5</f>
        <v>45.398869389600705</v>
      </c>
      <c r="J144" s="57">
        <f>146.31713270362*Deflactores!$G$5</f>
        <v>384.36571712757649</v>
      </c>
      <c r="K144" s="57">
        <f>54.55625279286*Deflactores!$H$5</f>
        <v>135.59440396245469</v>
      </c>
      <c r="L144" s="57">
        <f>95.50756917919*Deflactores!$I$5</f>
        <v>220.45638418926231</v>
      </c>
      <c r="M144" s="57">
        <f>248.81277587868*Deflactores!$J$5</f>
        <v>563.0535422673903</v>
      </c>
      <c r="N144" s="57">
        <f>360.47690020218*Deflactores!$K$5</f>
        <v>790.67113251815169</v>
      </c>
      <c r="O144" s="57">
        <f>556.46580018305*Deflactores!$L$5</f>
        <v>1176.7018115357159</v>
      </c>
      <c r="P144" s="57">
        <f>1062.16632476489*Deflactores!$M$5</f>
        <v>2192.5570494806129</v>
      </c>
      <c r="Q144" s="57">
        <f>834.60990452375*Deflactores!$N$5</f>
        <v>1690.0411496963536</v>
      </c>
      <c r="R144" s="57">
        <f>839.446804496437*Deflactores!$O$5</f>
        <v>1639.8182690358226</v>
      </c>
      <c r="S144" s="57">
        <f>792.954548786739*Deflactores!$P$5</f>
        <v>1450.7801084450696</v>
      </c>
      <c r="T144" s="57">
        <f>735.86732740476*Deflactores!$Q$5</f>
        <v>1273.1290918084997</v>
      </c>
      <c r="U144" s="57">
        <f>813.5683259665*Deflactores!$R$5</f>
        <v>1352.2529737748141</v>
      </c>
      <c r="V144" s="57">
        <f>771.33078705844*Deflactores!$S$5</f>
        <v>1242.5362153892247</v>
      </c>
    </row>
    <row r="145" spans="3:22" x14ac:dyDescent="0.2">
      <c r="C145" s="87" t="s">
        <v>137</v>
      </c>
      <c r="D145" s="56">
        <f>36.95450129495*Deflactores!$A$5</f>
        <v>137.60795593020134</v>
      </c>
      <c r="E145" s="56">
        <f>34.0665509522*Deflactores!$B$5</f>
        <v>117.84120422214339</v>
      </c>
      <c r="F145" s="56">
        <f>36.52572419586*Deflactores!$C$5</f>
        <v>118.0911041922507</v>
      </c>
      <c r="G145" s="56">
        <f>36.48382858127*Deflactores!$D$5</f>
        <v>110.7654646709062</v>
      </c>
      <c r="H145" s="56">
        <f>38.33013361667*Deflactores!$E$5</f>
        <v>110.30730172212132</v>
      </c>
      <c r="I145" s="56">
        <f>39.68252993726*Deflactores!$F$5</f>
        <v>108.91142763476243</v>
      </c>
      <c r="J145" s="56">
        <f>41.83464362431*Deflactores!$G$5</f>
        <v>109.89692389616299</v>
      </c>
      <c r="K145" s="56">
        <f>42.87140152622*Deflactores!$H$5</f>
        <v>106.552811811585</v>
      </c>
      <c r="L145" s="56">
        <f>45.994257132*Deflactores!$I$5</f>
        <v>106.1667437244465</v>
      </c>
      <c r="M145" s="56">
        <f>49.48321797862*Deflactores!$J$5</f>
        <v>111.97857934448128</v>
      </c>
      <c r="N145" s="56">
        <f>48.740636024*Deflactores!$K$5</f>
        <v>106.90785973563484</v>
      </c>
      <c r="O145" s="56">
        <f>50.38469835372*Deflactores!$L$5</f>
        <v>106.54341346224719</v>
      </c>
      <c r="P145" s="56">
        <f>87.59633913413*Deflactores!$M$5</f>
        <v>180.81911128160044</v>
      </c>
      <c r="Q145" s="56">
        <f>110.52570479954*Deflactores!$N$5</f>
        <v>223.80873770843073</v>
      </c>
      <c r="R145" s="56">
        <f>115.73473379206*Deflactores!$O$5</f>
        <v>226.08214102150779</v>
      </c>
      <c r="S145" s="56">
        <f>117.82892106149*Deflactores!$P$5</f>
        <v>215.57837726904634</v>
      </c>
      <c r="T145" s="56">
        <f>131.5258325197*Deflactores!$Q$5</f>
        <v>227.55374164486835</v>
      </c>
      <c r="U145" s="56">
        <f>137.66169731541*Deflactores!$R$5</f>
        <v>228.811070475864</v>
      </c>
      <c r="V145" s="56">
        <f>139.8469898441*Deflactores!$S$5</f>
        <v>225.27941631519244</v>
      </c>
    </row>
    <row r="146" spans="3:22" x14ac:dyDescent="0.2">
      <c r="C146" s="88" t="s">
        <v>138</v>
      </c>
      <c r="D146" s="57">
        <f>135.843693973539*Deflactores!$A$5</f>
        <v>505.84292572393662</v>
      </c>
      <c r="E146" s="57">
        <f>146.56974781095*Deflactores!$B$5</f>
        <v>507.00628921351955</v>
      </c>
      <c r="F146" s="57">
        <f>160.106924677139*Deflactores!$C$5</f>
        <v>517.64075703369326</v>
      </c>
      <c r="G146" s="57">
        <f>170.93427034018*Deflactores!$D$5</f>
        <v>518.95907361357467</v>
      </c>
      <c r="H146" s="57">
        <f>182.28205063031*Deflactores!$E$5</f>
        <v>524.57529521003119</v>
      </c>
      <c r="I146" s="57">
        <f>210.4206509236*Deflactores!$F$5</f>
        <v>577.51392192379092</v>
      </c>
      <c r="J146" s="57">
        <f>213.248229616399*Deflactores!$G$5</f>
        <v>560.18941314768813</v>
      </c>
      <c r="K146" s="57">
        <f>219.565958508789*Deflactores!$H$5</f>
        <v>545.71041357042532</v>
      </c>
      <c r="L146" s="57">
        <f>243.305071569079*Deflactores!$I$5</f>
        <v>561.61157481030284</v>
      </c>
      <c r="M146" s="57">
        <f>234.29279884835*Deflactores!$J$5</f>
        <v>530.1954043695406</v>
      </c>
      <c r="N146" s="57">
        <f>236.182933816399*Deflactores!$K$5</f>
        <v>518.04436749576359</v>
      </c>
      <c r="O146" s="57">
        <f>250.5968351096*Deflactores!$L$5</f>
        <v>529.91172097473566</v>
      </c>
      <c r="P146" s="57">
        <f>94.78099790299*Deflactores!$M$5</f>
        <v>195.6499093068189</v>
      </c>
      <c r="Q146" s="57">
        <f>122.81760017969*Deflactores!$N$5</f>
        <v>248.69917920405388</v>
      </c>
      <c r="R146" s="57">
        <f>77.7278226534499*Deflactores!$O$5</f>
        <v>151.8374993111843</v>
      </c>
      <c r="S146" s="57">
        <f>61.57294763745*Deflactores!$P$5</f>
        <v>112.65312468087856</v>
      </c>
      <c r="T146" s="57">
        <f>81.17168908215*Deflactores!$Q$5</f>
        <v>140.43569398057645</v>
      </c>
      <c r="U146" s="57">
        <f>83.01780791045*Deflactores!$R$5</f>
        <v>137.98604744083269</v>
      </c>
      <c r="V146" s="57">
        <f>85.16751586172*Deflactores!$S$5</f>
        <v>137.19629062972382</v>
      </c>
    </row>
    <row r="147" spans="3:22" x14ac:dyDescent="0.2">
      <c r="C147" s="87" t="s">
        <v>139</v>
      </c>
      <c r="D147" s="56">
        <f>357.15423714742*Deflactores!$A$5</f>
        <v>1329.9398666863635</v>
      </c>
      <c r="E147" s="56">
        <f>408.1078169794*Deflactores!$B$5</f>
        <v>1411.7048911937723</v>
      </c>
      <c r="F147" s="56">
        <f>433.484697570739*Deflactores!$C$5</f>
        <v>1401.4968276077225</v>
      </c>
      <c r="G147" s="56">
        <f>475.012174271469*Deflactores!$D$5</f>
        <v>1442.1442664744923</v>
      </c>
      <c r="H147" s="56">
        <f>571.988267481629*Deflactores!$E$5</f>
        <v>1646.0804189623104</v>
      </c>
      <c r="I147" s="56">
        <f>683.643066779299*Deflactores!$F$5</f>
        <v>1876.3053291526544</v>
      </c>
      <c r="J147" s="56">
        <f>727.291773735169*Deflactores!$G$5</f>
        <v>1910.5488127556041</v>
      </c>
      <c r="K147" s="56">
        <f>718.937225208759*Deflactores!$H$5</f>
        <v>1786.8504442328713</v>
      </c>
      <c r="L147" s="56">
        <f>781.62582064006*Deflactores!$I$5</f>
        <v>1804.1962923794929</v>
      </c>
      <c r="M147" s="56">
        <f>926.82141808394*Deflactores!$J$5</f>
        <v>2097.3604778072172</v>
      </c>
      <c r="N147" s="56">
        <f>1854.26126836731*Deflactores!$K$5</f>
        <v>4067.1423223574952</v>
      </c>
      <c r="O147" s="56">
        <f>1862.05236303314*Deflactores!$L$5</f>
        <v>3937.4933518550433</v>
      </c>
      <c r="P147" s="56">
        <f>1459.74634075309*Deflactores!$M$5</f>
        <v>3013.2541912210991</v>
      </c>
      <c r="Q147" s="56">
        <f>1793.1591568127*Deflactores!$N$5</f>
        <v>3631.0529584447822</v>
      </c>
      <c r="R147" s="56">
        <f>2093.88606839417*Deflactores!$O$5</f>
        <v>4090.3040071634759</v>
      </c>
      <c r="S147" s="56">
        <f>2130.22696140234*Deflactores!$P$5</f>
        <v>3897.4376359962962</v>
      </c>
      <c r="T147" s="56">
        <f>2095.31694480268*Deflactores!$Q$5</f>
        <v>3625.1221648821652</v>
      </c>
      <c r="U147" s="56">
        <f>2433.27914305352*Deflactores!$R$5</f>
        <v>4044.4162490094795</v>
      </c>
      <c r="V147" s="56">
        <f>2548.82923468897*Deflactores!$S$5</f>
        <v>4105.9071984169323</v>
      </c>
    </row>
    <row r="148" spans="3:22" x14ac:dyDescent="0.2">
      <c r="C148" s="88" t="s">
        <v>140</v>
      </c>
      <c r="D148" s="57">
        <f>89.84306754242*Deflactores!$A$5</f>
        <v>334.5497962571859</v>
      </c>
      <c r="E148" s="57">
        <f>73.98508963517*Deflactores!$B$5</f>
        <v>255.92529367956507</v>
      </c>
      <c r="F148" s="57">
        <f>93.12142055711*Deflactores!$C$5</f>
        <v>301.07031741718356</v>
      </c>
      <c r="G148" s="57">
        <f>61.00758012491*Deflactores!$D$5</f>
        <v>185.21995151715979</v>
      </c>
      <c r="H148" s="57">
        <f>74.42424273513*Deflactores!$E$5</f>
        <v>214.1797229544226</v>
      </c>
      <c r="I148" s="57">
        <f>74.79077980175*Deflactores!$F$5</f>
        <v>205.2684295836049</v>
      </c>
      <c r="J148" s="57">
        <f>63.99003563311*Deflactores!$G$5</f>
        <v>168.09771679274428</v>
      </c>
      <c r="K148" s="57">
        <f>62.2352737227299*Deflactores!$H$5</f>
        <v>154.67988386068541</v>
      </c>
      <c r="L148" s="57">
        <f>55.04025402265*Deflactores!$I$5</f>
        <v>127.04726432651971</v>
      </c>
      <c r="M148" s="57">
        <f>44.0479430547199*Deflactores!$J$5</f>
        <v>99.678765605852021</v>
      </c>
      <c r="N148" s="57">
        <f>55.71742713493*Deflactores!$K$5</f>
        <v>122.21077464066109</v>
      </c>
      <c r="O148" s="57">
        <f>46.70227448405*Deflactores!$L$5</f>
        <v>98.756565039832623</v>
      </c>
      <c r="P148" s="57">
        <f>60.6660576858899*Deflactores!$M$5</f>
        <v>125.2287794690139</v>
      </c>
      <c r="Q148" s="57">
        <f>87.07516050608*Deflactores!$N$5</f>
        <v>176.32261919496824</v>
      </c>
      <c r="R148" s="57">
        <f>105.12846615591*Deflactores!$O$5</f>
        <v>205.36331602523492</v>
      </c>
      <c r="S148" s="57">
        <f>108.03943382123*Deflactores!$P$5</f>
        <v>197.66764911725451</v>
      </c>
      <c r="T148" s="57">
        <f>124.722866414629*Deflactores!$Q$5</f>
        <v>215.7838834973424</v>
      </c>
      <c r="U148" s="57">
        <f>156.5371292804*Deflactores!$R$5</f>
        <v>260.18441453472906</v>
      </c>
      <c r="V148" s="57">
        <f>170.20243567078*Deflactores!$S$5</f>
        <v>274.17898237267684</v>
      </c>
    </row>
    <row r="149" spans="3:22" x14ac:dyDescent="0.2">
      <c r="C149" s="87" t="s">
        <v>141</v>
      </c>
      <c r="D149" s="56">
        <f>342.87869512914*Deflactores!$A$5</f>
        <v>1276.7818456579575</v>
      </c>
      <c r="E149" s="56">
        <f>339.55561723391*Deflactores!$B$5</f>
        <v>1174.5727617504256</v>
      </c>
      <c r="F149" s="56">
        <f>359.708985684769*Deflactores!$C$5</f>
        <v>1162.9730071773247</v>
      </c>
      <c r="G149" s="56">
        <f>366.9553559272*Deflactores!$D$5</f>
        <v>1114.0821041358813</v>
      </c>
      <c r="H149" s="56">
        <f>379.97259226571*Deflactores!$E$5</f>
        <v>1093.4934847960385</v>
      </c>
      <c r="I149" s="56">
        <f>428.699274625399*Deflactores!$F$5</f>
        <v>1176.5945895904026</v>
      </c>
      <c r="J149" s="56">
        <f>479.34269639544*Deflactores!$G$5</f>
        <v>1259.2024997038584</v>
      </c>
      <c r="K149" s="56">
        <f>547.50883628747*Deflactores!$H$5</f>
        <v>1360.7814048822036</v>
      </c>
      <c r="L149" s="56">
        <f>619.66015301055*Deflactores!$I$5</f>
        <v>1430.3372804156363</v>
      </c>
      <c r="M149" s="56">
        <f>688.66732781244*Deflactores!$J$5</f>
        <v>1558.4271225593368</v>
      </c>
      <c r="N149" s="56">
        <f>779.6155489472*Deflactores!$K$5</f>
        <v>1710.0111232345625</v>
      </c>
      <c r="O149" s="56">
        <f>822.97388076907*Deflactores!$L$5</f>
        <v>1740.2594301913764</v>
      </c>
      <c r="P149" s="56">
        <f>945.186427993419*Deflactores!$M$5</f>
        <v>1951.083476713583</v>
      </c>
      <c r="Q149" s="56">
        <f>1060.87734263828*Deflactores!$N$5</f>
        <v>2148.2208084533831</v>
      </c>
      <c r="R149" s="56">
        <f>1200.0849063281*Deflactores!$O$5</f>
        <v>2344.3071594887642</v>
      </c>
      <c r="S149" s="56">
        <f>1289.9565144915*Deflactores!$P$5</f>
        <v>2360.088929241665</v>
      </c>
      <c r="T149" s="56">
        <f>1396.17802958862*Deflactores!$Q$5</f>
        <v>2415.5371499941966</v>
      </c>
      <c r="U149" s="56">
        <f>1455.26470131944*Deflactores!$R$5</f>
        <v>2418.8331295357734</v>
      </c>
      <c r="V149" s="56">
        <f>1537.98250848142*Deflactores!$S$5</f>
        <v>2477.5349272795752</v>
      </c>
    </row>
    <row r="150" spans="3:22" x14ac:dyDescent="0.2">
      <c r="C150" s="88" t="s">
        <v>142</v>
      </c>
      <c r="D150" s="57">
        <f>18.7075659856099*Deflactores!$A$5</f>
        <v>69.661606177890221</v>
      </c>
      <c r="E150" s="57">
        <f>20.5800457263499*Deflactores!$B$5</f>
        <v>71.18940143787087</v>
      </c>
      <c r="F150" s="57">
        <f>23.8652859109499*Deflactores!$C$5</f>
        <v>77.158715593851923</v>
      </c>
      <c r="G150" s="57">
        <f>23.18826309828*Deflactores!$D$5</f>
        <v>70.399923387174397</v>
      </c>
      <c r="H150" s="57">
        <f>21.8423083148199*Deflactores!$E$5</f>
        <v>62.858275363344696</v>
      </c>
      <c r="I150" s="57">
        <f>20.48935163444*Deflactores!$F$5</f>
        <v>56.234432163112118</v>
      </c>
      <c r="J150" s="57">
        <f>21.5077587431199*Deflactores!$G$5</f>
        <v>56.499501872084288</v>
      </c>
      <c r="K150" s="57">
        <f>24.34945571111*Deflactores!$H$5</f>
        <v>60.518268116652045</v>
      </c>
      <c r="L150" s="57">
        <f>26.8133116162499*Deflactores!$I$5</f>
        <v>61.892117848460259</v>
      </c>
      <c r="M150" s="57">
        <f>28.42454445022*Deflactores!$J$5</f>
        <v>64.323628011115503</v>
      </c>
      <c r="N150" s="57">
        <f>132.12176924808*Deflactores!$K$5</f>
        <v>289.79629169883094</v>
      </c>
      <c r="O150" s="57">
        <f>29.35235286849*Deflactores!$L$5</f>
        <v>62.068444784614123</v>
      </c>
      <c r="P150" s="57">
        <f>44.47048334379*Deflactores!$M$5</f>
        <v>91.797366830302607</v>
      </c>
      <c r="Q150" s="57">
        <f>69.97671619161*Deflactores!$N$5</f>
        <v>141.69916896915839</v>
      </c>
      <c r="R150" s="57">
        <f>76.7029103584299*Deflactores!$O$5</f>
        <v>149.83538327889872</v>
      </c>
      <c r="S150" s="57">
        <f>71.45566917725*Deflactores!$P$5</f>
        <v>130.73443318611484</v>
      </c>
      <c r="T150" s="57">
        <f>71.40455339734*Deflactores!$Q$5</f>
        <v>123.53750578702341</v>
      </c>
      <c r="U150" s="57">
        <f>73.4584643971*Deflactores!$R$5</f>
        <v>122.09721514404193</v>
      </c>
      <c r="V150" s="57">
        <f>74.411084774838*Deflactores!$S$5</f>
        <v>119.86876345456808</v>
      </c>
    </row>
    <row r="151" spans="3:22" x14ac:dyDescent="0.2">
      <c r="C151" s="87" t="s">
        <v>143</v>
      </c>
      <c r="D151" s="56">
        <f>43.09638433476*Deflactores!$A$5</f>
        <v>160.47856549207691</v>
      </c>
      <c r="E151" s="56">
        <f>49.8516351752499*Deflactores!$B$5</f>
        <v>172.44412942587704</v>
      </c>
      <c r="F151" s="56">
        <f>44.61879786302*Deflactores!$C$5</f>
        <v>144.25677309286834</v>
      </c>
      <c r="G151" s="56">
        <f>43.01179650741*Deflactores!$D$5</f>
        <v>130.58447569067837</v>
      </c>
      <c r="H151" s="56">
        <f>72.66717688817*Deflactores!$E$5</f>
        <v>209.12320020747455</v>
      </c>
      <c r="I151" s="56">
        <f>83.9373622477999*Deflactores!$F$5</f>
        <v>230.37185302342439</v>
      </c>
      <c r="J151" s="56">
        <f>153.67729701814*Deflactores!$G$5</f>
        <v>403.70039641395704</v>
      </c>
      <c r="K151" s="56">
        <f>220.12080702452*Deflactores!$H$5</f>
        <v>547.08943705405136</v>
      </c>
      <c r="L151" s="56">
        <f>230.23721046073*Deflactores!$I$5</f>
        <v>531.4475424326281</v>
      </c>
      <c r="M151" s="56">
        <f>242.234704079849*Deflactores!$J$5</f>
        <v>548.16762407230942</v>
      </c>
      <c r="N151" s="56">
        <f>233.572714686639*Deflactores!$K$5</f>
        <v>512.31910489422012</v>
      </c>
      <c r="O151" s="56">
        <f>231.88984514513*Deflactores!$L$5</f>
        <v>490.35394586558931</v>
      </c>
      <c r="P151" s="56">
        <f>461.90105019663*Deflactores!$M$5</f>
        <v>953.47063840994019</v>
      </c>
      <c r="Q151" s="56">
        <f>464.91617155111*Deflactores!$N$5</f>
        <v>941.43078918889842</v>
      </c>
      <c r="R151" s="56">
        <f>529.709738571369*Deflactores!$O$5</f>
        <v>1034.7620622805139</v>
      </c>
      <c r="S151" s="56">
        <f>525.026806258089*Deflactores!$P$5</f>
        <v>960.58273211890457</v>
      </c>
      <c r="T151" s="56">
        <f>641.46877520373*Deflactores!$Q$5</f>
        <v>1109.8095115580923</v>
      </c>
      <c r="U151" s="56">
        <f>1085.66618486037*Deflactores!$R$5</f>
        <v>1804.5138682852848</v>
      </c>
      <c r="V151" s="56">
        <f>535.55672130543*Deflactores!$S$5</f>
        <v>862.72794082922155</v>
      </c>
    </row>
    <row r="152" spans="3:22" x14ac:dyDescent="0.2">
      <c r="C152" s="88" t="s">
        <v>144</v>
      </c>
      <c r="D152" s="57">
        <f>678.44721150574*Deflactores!$A$5</f>
        <v>2526.3426838507462</v>
      </c>
      <c r="E152" s="57">
        <f>736.81475745617*Deflactores!$B$5</f>
        <v>2548.750486338105</v>
      </c>
      <c r="F152" s="57">
        <f>747.57260765507*Deflactores!$C$5</f>
        <v>2416.9726034309178</v>
      </c>
      <c r="G152" s="57">
        <f>766.533401883579*Deflactores!$D$5</f>
        <v>2327.2071969166554</v>
      </c>
      <c r="H152" s="57">
        <f>839.57765320767*Deflactores!$E$5</f>
        <v>2416.1550397322826</v>
      </c>
      <c r="I152" s="57">
        <f>992.574045490239*Deflactores!$F$5</f>
        <v>2724.1876084631976</v>
      </c>
      <c r="J152" s="57">
        <f>1105.08848766432*Deflactores!$G$5</f>
        <v>2902.9965336384457</v>
      </c>
      <c r="K152" s="57">
        <f>1212.86646386487*Deflactores!$H$5</f>
        <v>3014.4648291410954</v>
      </c>
      <c r="L152" s="57">
        <f>1347.25005625124*Deflactores!$I$5</f>
        <v>3109.8045793907995</v>
      </c>
      <c r="M152" s="57">
        <f>1554.2829444968*Deflactores!$J$5</f>
        <v>3517.2812750235521</v>
      </c>
      <c r="N152" s="57">
        <f>1657.85055297099*Deflactores!$K$5</f>
        <v>3636.3344600672681</v>
      </c>
      <c r="O152" s="57">
        <f>1830.8304714417*Deflactores!$L$5</f>
        <v>3871.4715830722466</v>
      </c>
      <c r="P152" s="57">
        <f>2201.67452918483*Deflactores!$M$5</f>
        <v>4544.7656332868846</v>
      </c>
      <c r="Q152" s="57">
        <f>2483.41697163107*Deflactores!$N$5</f>
        <v>5028.788720528989</v>
      </c>
      <c r="R152" s="57">
        <f>2744.17665261521*Deflactores!$O$5</f>
        <v>5360.6148529201901</v>
      </c>
      <c r="S152" s="57">
        <f>2965.76541632754*Deflactores!$P$5</f>
        <v>5426.1287471086662</v>
      </c>
      <c r="T152" s="57">
        <f>3287.70824833605*Deflactores!$Q$5</f>
        <v>5688.086507519417</v>
      </c>
      <c r="U152" s="57">
        <f>3516.74807606508*Deflactores!$R$5</f>
        <v>5845.2780081210749</v>
      </c>
      <c r="V152" s="57">
        <f>3912.23873500985*Deflactores!$S$5</f>
        <v>6302.2225912136</v>
      </c>
    </row>
    <row r="153" spans="3:22" x14ac:dyDescent="0.2">
      <c r="C153" s="87" t="s">
        <v>145</v>
      </c>
      <c r="D153" s="56">
        <f>172.33679243631*Deflactores!$A$5</f>
        <v>641.73274994158157</v>
      </c>
      <c r="E153" s="56">
        <f>127.9117655087*Deflactores!$B$5</f>
        <v>442.46558751649059</v>
      </c>
      <c r="F153" s="56">
        <f>170.28563016976*Deflactores!$C$5</f>
        <v>550.54946992945509</v>
      </c>
      <c r="G153" s="56">
        <f>229.32198779427*Deflactores!$D$5</f>
        <v>696.22508177029681</v>
      </c>
      <c r="H153" s="56">
        <f>122.52460243852*Deflactores!$E$5</f>
        <v>352.60399623785503</v>
      </c>
      <c r="I153" s="56">
        <f>134.24937728584*Deflactores!$F$5</f>
        <v>368.45663223578873</v>
      </c>
      <c r="J153" s="56">
        <f>389.51280517986*Deflactores!$G$5</f>
        <v>1023.2251406716282</v>
      </c>
      <c r="K153" s="56">
        <f>324.16419726236*Deflactores!$H$5</f>
        <v>805.67943844394381</v>
      </c>
      <c r="L153" s="56">
        <f>245.76967192458*Deflactores!$I$5</f>
        <v>567.30051535726534</v>
      </c>
      <c r="M153" s="56">
        <f>292.46106556478*Deflactores!$J$5</f>
        <v>661.82790799230429</v>
      </c>
      <c r="N153" s="56">
        <f>643.20272798335*Deflactores!$K$5</f>
        <v>1410.8028256127477</v>
      </c>
      <c r="O153" s="56">
        <f>505.17477563346*Deflactores!$L$5</f>
        <v>1068.2418819530321</v>
      </c>
      <c r="P153" s="56">
        <f>361.58089706786*Deflactores!$M$5</f>
        <v>746.38663111367532</v>
      </c>
      <c r="Q153" s="56">
        <f>485.45918603813*Deflactores!$N$5</f>
        <v>983.02931280297344</v>
      </c>
      <c r="R153" s="56">
        <f>1018.00236763471*Deflactores!$O$5</f>
        <v>1988.6178271540548</v>
      </c>
      <c r="S153" s="56">
        <f>761.15564736025*Deflactores!$P$5</f>
        <v>1392.6012207262943</v>
      </c>
      <c r="T153" s="56">
        <f>644.47179766029*Deflactores!$Q$5</f>
        <v>1115.0050612318146</v>
      </c>
      <c r="U153" s="56">
        <f>670.77644255569*Deflactores!$R$5</f>
        <v>1114.9148881951091</v>
      </c>
      <c r="V153" s="56">
        <f>1711.74245680992*Deflactores!$S$5</f>
        <v>2757.4447042582606</v>
      </c>
    </row>
    <row r="154" spans="3:22" x14ac:dyDescent="0.2">
      <c r="C154" s="88" t="s">
        <v>146</v>
      </c>
      <c r="D154" s="57">
        <f>143.244116595899*Deflactores!$A$5</f>
        <v>533.39997545800361</v>
      </c>
      <c r="E154" s="57">
        <f>152.442711379869*Deflactores!$B$5</f>
        <v>527.32173295436883</v>
      </c>
      <c r="F154" s="57">
        <f>168.0850580005*Deflactores!$C$5</f>
        <v>543.43481298441623</v>
      </c>
      <c r="G154" s="57">
        <f>180.51509950736*Deflactores!$D$5</f>
        <v>548.04661831221608</v>
      </c>
      <c r="H154" s="57">
        <f>174.499467376549*Deflactores!$E$5</f>
        <v>502.17840591829156</v>
      </c>
      <c r="I154" s="57">
        <f>218.39631606889*Deflactores!$F$5</f>
        <v>599.40368244772208</v>
      </c>
      <c r="J154" s="57">
        <f>218.56810366853*Deflactores!$G$5</f>
        <v>574.16438085852769</v>
      </c>
      <c r="K154" s="57">
        <f>207.31314084016*Deflactores!$H$5</f>
        <v>515.25719467090767</v>
      </c>
      <c r="L154" s="57">
        <f>207.13983345828*Deflactores!$I$5</f>
        <v>478.1327710278311</v>
      </c>
      <c r="M154" s="57">
        <f>204.999128181949*Deflactores!$J$5</f>
        <v>463.90497785714246</v>
      </c>
      <c r="N154" s="57">
        <f>214.94890694772*Deflactores!$K$5</f>
        <v>471.46958818878784</v>
      </c>
      <c r="O154" s="57">
        <f>248.157233550698*Deflactores!$L$5</f>
        <v>524.75294289198382</v>
      </c>
      <c r="P154" s="57">
        <f>377.685732820093*Deflactores!$M$5</f>
        <v>779.6307383085649</v>
      </c>
      <c r="Q154" s="57">
        <f>395.161533200329*Deflactores!$N$5</f>
        <v>800.18131616439928</v>
      </c>
      <c r="R154" s="57">
        <f>431.404334890579*Deflactores!$O$5</f>
        <v>842.72726503400747</v>
      </c>
      <c r="S154" s="57">
        <f>563.304528378219*Deflactores!$P$5</f>
        <v>1030.6151922812683</v>
      </c>
      <c r="T154" s="57">
        <f>633.049913250977*Deflactores!$Q$5</f>
        <v>1095.2439809620125</v>
      </c>
      <c r="U154" s="57">
        <f>584.221263649887*Deflactores!$R$5</f>
        <v>971.04928485818346</v>
      </c>
      <c r="V154" s="57">
        <f>551.772033070485*Deflactores!$S$5</f>
        <v>888.84917500003053</v>
      </c>
    </row>
    <row r="155" spans="3:22" x14ac:dyDescent="0.2">
      <c r="C155" s="90" t="s">
        <v>147</v>
      </c>
      <c r="D155" s="58">
        <f>4003.74337188955*Deflactores!$A$5</f>
        <v>14908.791139608811</v>
      </c>
      <c r="E155" s="58">
        <f>4984.49275588058*Deflactores!$B$5</f>
        <v>17242.092679522793</v>
      </c>
      <c r="F155" s="58">
        <f>6188.91614305418*Deflactores!$C$5</f>
        <v>20009.348402443233</v>
      </c>
      <c r="G155" s="58">
        <f>6948.74558816539*Deflactores!$D$5</f>
        <v>21096.498472975127</v>
      </c>
      <c r="H155" s="58">
        <f>8666.11686473286*Deflactores!$E$5</f>
        <v>24939.541753684614</v>
      </c>
      <c r="I155" s="58">
        <f>11585.0705110253*Deflactores!$F$5</f>
        <v>31796.021337350077</v>
      </c>
      <c r="J155" s="58">
        <f>13078.2440243672*Deflactores!$G$5</f>
        <v>34355.707703606284</v>
      </c>
      <c r="K155" s="58">
        <f>14558.484444016*Deflactores!$H$5</f>
        <v>36183.735497342837</v>
      </c>
      <c r="L155" s="58">
        <f>16933.3174490689*Deflactores!$I$5</f>
        <v>39086.513971963424</v>
      </c>
      <c r="M155" s="58">
        <f>18905.9408202779*Deflactores!$J$5</f>
        <v>42783.401741177498</v>
      </c>
      <c r="N155" s="58">
        <f>19523.049708463*Deflactores!$K$5</f>
        <v>42821.916784517613</v>
      </c>
      <c r="O155" s="58">
        <f>20361.0038566964*Deflactores!$L$5</f>
        <v>43055.350598327997</v>
      </c>
      <c r="P155" s="58">
        <f>22849.4305593956*Deflactores!$M$5</f>
        <v>47166.511384843499</v>
      </c>
      <c r="Q155" s="58">
        <f>23055.379447928*Deflactores!$N$5</f>
        <v>46685.930490000712</v>
      </c>
      <c r="R155" s="58">
        <f>26510.0568684843*Deflactores!$O$5</f>
        <v>51786.099289753925</v>
      </c>
      <c r="S155" s="58">
        <f>23541.3161100392*Deflactores!$P$5</f>
        <v>43070.90890810651</v>
      </c>
      <c r="T155" s="58">
        <f>25335.7109895286*Deflactores!$Q$5</f>
        <v>43833.486718563239</v>
      </c>
      <c r="U155" s="58">
        <f>32167.7068561196*Deflactores!$R$5</f>
        <v>53466.778225453359</v>
      </c>
      <c r="V155" s="58">
        <f>40695.8779612428*Deflactores!$S$5</f>
        <v>65556.960816699822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0.150079299*Deflactores!$R$5</f>
        <v>0.24945068766497933</v>
      </c>
      <c r="V156" s="59">
        <f>108.237900364679*Deflactores!$S$5</f>
        <v>174.36035659058248</v>
      </c>
    </row>
    <row r="157" spans="3:22" x14ac:dyDescent="0.2">
      <c r="C157" s="87" t="s">
        <v>149</v>
      </c>
      <c r="D157" s="56">
        <f>29.58173367111*Deflactores!$A$5</f>
        <v>110.1538854729271</v>
      </c>
      <c r="E157" s="56">
        <f>15.95268081052*Deflactores!$B$5</f>
        <v>55.182666420233936</v>
      </c>
      <c r="F157" s="56">
        <f>15.5502917533899*Deflactores!$C$5</f>
        <v>50.275556860214266</v>
      </c>
      <c r="G157" s="56">
        <f>17.67754119907*Deflactores!$D$5</f>
        <v>53.669286949761151</v>
      </c>
      <c r="H157" s="56">
        <f>18.85498554836*Deflactores!$E$5</f>
        <v>54.261292189825504</v>
      </c>
      <c r="I157" s="56">
        <f>36.33098803154*Deflactores!$F$5</f>
        <v>99.71289078978775</v>
      </c>
      <c r="J157" s="56">
        <f>30.09750793445*Deflactores!$G$5</f>
        <v>79.06422171633757</v>
      </c>
      <c r="K157" s="56">
        <f>34.50073907504*Deflactores!$H$5</f>
        <v>85.748322358321175</v>
      </c>
      <c r="L157" s="56">
        <f>34.91400874352*Deflactores!$I$5</f>
        <v>80.590640001607326</v>
      </c>
      <c r="M157" s="56">
        <f>38.5316858905*Deflactores!$J$5</f>
        <v>87.195692237118209</v>
      </c>
      <c r="N157" s="56">
        <f>97.05424863557*Deflactores!$K$5</f>
        <v>212.87908501583465</v>
      </c>
      <c r="O157" s="56">
        <f>99.5189529449599*Deflactores!$L$5</f>
        <v>210.44264027358099</v>
      </c>
      <c r="P157" s="56">
        <f>132.15607279111*Deflactores!$M$5</f>
        <v>272.80071140831865</v>
      </c>
      <c r="Q157" s="56">
        <f>37.98587322724*Deflactores!$N$5</f>
        <v>76.919394933154422</v>
      </c>
      <c r="R157" s="56">
        <f>56.1026444906199*Deflactores!$O$5</f>
        <v>109.59377161740204</v>
      </c>
      <c r="S157" s="56">
        <f>55.86803522066*Deflactores!$P$5</f>
        <v>102.21548551560257</v>
      </c>
      <c r="T157" s="56">
        <f>60.12162499685*Deflactores!$Q$5</f>
        <v>104.01683425766366</v>
      </c>
      <c r="U157" s="56">
        <f>61.46997312654*Deflactores!$R$5</f>
        <v>102.17083348159296</v>
      </c>
      <c r="V157" s="56">
        <f>59.37168260067*Deflactores!$S$5</f>
        <v>95.641801206020673</v>
      </c>
    </row>
    <row r="158" spans="3:22" x14ac:dyDescent="0.2">
      <c r="C158" s="88" t="s">
        <v>150</v>
      </c>
      <c r="D158" s="57">
        <f>136.14077199456*Deflactores!$A$5</f>
        <v>506.94915900518714</v>
      </c>
      <c r="E158" s="57">
        <f>150.61683387752*Deflactores!$B$5</f>
        <v>521.00575444686365</v>
      </c>
      <c r="F158" s="57">
        <f>107.99162605367*Deflactores!$C$5</f>
        <v>349.14709139812174</v>
      </c>
      <c r="G158" s="57">
        <f>104.17339324806*Deflactores!$D$5</f>
        <v>316.27202402190278</v>
      </c>
      <c r="H158" s="57">
        <f>151.389463789909*Deflactores!$E$5</f>
        <v>435.67192921448634</v>
      </c>
      <c r="I158" s="57">
        <f>117.39342180302*Deflactores!$F$5</f>
        <v>322.19430524493339</v>
      </c>
      <c r="J158" s="57">
        <f>102.94370488535*Deflactores!$G$5</f>
        <v>270.42650591148583</v>
      </c>
      <c r="K158" s="57">
        <f>120.15442575349*Deflactores!$H$5</f>
        <v>298.63245566652495</v>
      </c>
      <c r="L158" s="57">
        <f>107.73536860712*Deflactores!$I$5</f>
        <v>248.681335066353</v>
      </c>
      <c r="M158" s="57">
        <f>190.83074786321*Deflactores!$J$5</f>
        <v>431.84248951230205</v>
      </c>
      <c r="N158" s="57">
        <f>161.51215903484*Deflactores!$K$5</f>
        <v>354.26126231085607</v>
      </c>
      <c r="O158" s="57">
        <f>155.46538471101*Deflactores!$L$5</f>
        <v>328.74688751827216</v>
      </c>
      <c r="P158" s="57">
        <f>277.45103824322*Deflactores!$M$5</f>
        <v>572.72313723610102</v>
      </c>
      <c r="Q158" s="57">
        <f>218.12870264263*Deflactores!$N$5</f>
        <v>441.69914758713975</v>
      </c>
      <c r="R158" s="57">
        <f>212.32696675616*Deflactores!$O$5</f>
        <v>414.77034307680276</v>
      </c>
      <c r="S158" s="57">
        <f>194.685389917509*Deflactores!$P$5</f>
        <v>356.19404861142516</v>
      </c>
      <c r="T158" s="57">
        <f>187.439075168639*Deflactores!$Q$5</f>
        <v>324.28962484376615</v>
      </c>
      <c r="U158" s="57">
        <f>193.27586451741*Deflactores!$R$5</f>
        <v>321.2488173529602</v>
      </c>
      <c r="V158" s="57">
        <f>197.325995191219*Deflactores!$S$5</f>
        <v>317.87230508177959</v>
      </c>
    </row>
    <row r="159" spans="3:22" x14ac:dyDescent="0.2">
      <c r="C159" s="87" t="s">
        <v>151</v>
      </c>
      <c r="D159" s="56">
        <f>17.10347442701*Deflactores!$A$5</f>
        <v>63.688429629192271</v>
      </c>
      <c r="E159" s="56">
        <f>18.3298306009599*Deflactores!$B$5</f>
        <v>63.405576755797668</v>
      </c>
      <c r="F159" s="56">
        <f>17.63346682007*Deflactores!$C$5</f>
        <v>57.01065792298531</v>
      </c>
      <c r="G159" s="56">
        <f>16.010018341*Deflactores!$D$5</f>
        <v>48.606661907215475</v>
      </c>
      <c r="H159" s="56">
        <f>9.37921894636*Deflactores!$E$5</f>
        <v>26.991722611267328</v>
      </c>
      <c r="I159" s="56">
        <f>8.6880724008*Deflactores!$F$5</f>
        <v>23.845011143728534</v>
      </c>
      <c r="J159" s="56">
        <f>13.3592043443699*Deflactores!$G$5</f>
        <v>35.093772432505659</v>
      </c>
      <c r="K159" s="56">
        <f>12.5065585275899*Deflactores!$H$5</f>
        <v>31.08386779438133</v>
      </c>
      <c r="L159" s="56">
        <f>8.44150337384*Deflactores!$I$5</f>
        <v>19.485191874443725</v>
      </c>
      <c r="M159" s="56">
        <f>6.964427172*Deflactores!$J$5</f>
        <v>15.760225234454577</v>
      </c>
      <c r="N159" s="56">
        <f>8.90393254072999*Deflactores!$K$5</f>
        <v>19.529912795787045</v>
      </c>
      <c r="O159" s="56">
        <f>322.950475881969*Deflactores!$L$5</f>
        <v>682.91062969481266</v>
      </c>
      <c r="P159" s="56">
        <f>1353.55427615768*Deflactores!$M$5</f>
        <v>2794.049200063896</v>
      </c>
      <c r="Q159" s="56">
        <f>1461.5972508773*Deflactores!$N$5</f>
        <v>2959.6575416574274</v>
      </c>
      <c r="R159" s="56">
        <f>1516.99246693318*Deflactores!$O$5</f>
        <v>2963.3705768395807</v>
      </c>
      <c r="S159" s="56">
        <f>1588.44879393395*Deflactores!$P$5</f>
        <v>2906.2068148154563</v>
      </c>
      <c r="T159" s="56">
        <f>1748.39326824629*Deflactores!$Q$5</f>
        <v>3024.9071413142556</v>
      </c>
      <c r="U159" s="56">
        <f>1945.34180877998*Deflactores!$R$5</f>
        <v>3233.402975473658</v>
      </c>
      <c r="V159" s="56">
        <f>1959.86339763276*Deflactores!$S$5</f>
        <v>3157.1425510725448</v>
      </c>
    </row>
    <row r="160" spans="3:22" x14ac:dyDescent="0.2">
      <c r="C160" s="79" t="s">
        <v>179</v>
      </c>
      <c r="D160" s="44">
        <f t="shared" ref="D160:V160" si="32">+SUM(D131:D159)</f>
        <v>86238.396338861901</v>
      </c>
      <c r="E160" s="44">
        <f t="shared" si="32"/>
        <v>91607.120289310347</v>
      </c>
      <c r="F160" s="44">
        <f t="shared" si="32"/>
        <v>94368.84677555853</v>
      </c>
      <c r="G160" s="44">
        <f t="shared" si="32"/>
        <v>94602.161330276795</v>
      </c>
      <c r="H160" s="44">
        <f t="shared" si="32"/>
        <v>105244.13393009738</v>
      </c>
      <c r="I160" s="44">
        <f t="shared" si="32"/>
        <v>116742.11734314718</v>
      </c>
      <c r="J160" s="44">
        <f t="shared" si="32"/>
        <v>123047.61829528534</v>
      </c>
      <c r="K160" s="44">
        <f t="shared" si="32"/>
        <v>128936.9612665389</v>
      </c>
      <c r="L160" s="44">
        <f t="shared" si="32"/>
        <v>136890.11636859577</v>
      </c>
      <c r="M160" s="44">
        <f t="shared" si="32"/>
        <v>148843.97568494247</v>
      </c>
      <c r="N160" s="44">
        <f t="shared" si="32"/>
        <v>158443.80036498306</v>
      </c>
      <c r="O160" s="44">
        <f t="shared" si="32"/>
        <v>162324.14333815573</v>
      </c>
      <c r="P160" s="44">
        <f t="shared" si="32"/>
        <v>173084.11930963237</v>
      </c>
      <c r="Q160" s="44">
        <f t="shared" si="32"/>
        <v>187461.67489039246</v>
      </c>
      <c r="R160" s="44">
        <f t="shared" si="32"/>
        <v>195034.68839401606</v>
      </c>
      <c r="S160" s="44">
        <f t="shared" si="32"/>
        <v>188977.97830564002</v>
      </c>
      <c r="T160" s="44">
        <f t="shared" si="32"/>
        <v>192449.26953642335</v>
      </c>
      <c r="U160" s="44">
        <f t="shared" si="32"/>
        <v>212439.32682418573</v>
      </c>
      <c r="V160" s="44">
        <f t="shared" si="32"/>
        <v>213434.80986953995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55" t="s">
        <v>191</v>
      </c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ht="3.75" customHeight="1" x14ac:dyDescent="0.2">
      <c r="H166" s="27"/>
      <c r="I166" s="27"/>
      <c r="J166" s="27"/>
      <c r="L166" s="177"/>
      <c r="M166" s="156"/>
      <c r="N166" s="156"/>
      <c r="O166" s="156"/>
      <c r="P166" s="156"/>
      <c r="Q166" s="156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6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60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+IFERROR(IF(D131&gt;0,+((D131/D14)*100)," "),"")</f>
        <v>92.47237804301534</v>
      </c>
      <c r="E170" s="60">
        <f t="shared" si="33"/>
        <v>92.513832123195286</v>
      </c>
      <c r="F170" s="60">
        <f t="shared" si="33"/>
        <v>95.975138615316112</v>
      </c>
      <c r="G170" s="60">
        <f t="shared" si="33"/>
        <v>89.979298231456113</v>
      </c>
      <c r="H170" s="60">
        <f t="shared" si="33"/>
        <v>85.569754205374892</v>
      </c>
      <c r="I170" s="60">
        <f t="shared" si="33"/>
        <v>85.069997153145195</v>
      </c>
      <c r="J170" s="60">
        <f t="shared" si="33"/>
        <v>81.855393425312755</v>
      </c>
      <c r="K170" s="60">
        <f t="shared" si="33"/>
        <v>93.846815075992623</v>
      </c>
      <c r="L170" s="60">
        <f t="shared" si="33"/>
        <v>99.189835714088431</v>
      </c>
      <c r="M170" s="60">
        <f t="shared" si="33"/>
        <v>95.586288319764165</v>
      </c>
      <c r="N170" s="60">
        <f t="shared" si="33"/>
        <v>93.554530420753665</v>
      </c>
      <c r="O170" s="60">
        <f t="shared" si="33"/>
        <v>96.404390184198192</v>
      </c>
      <c r="P170" s="60">
        <f t="shared" si="33"/>
        <v>88.330848766330405</v>
      </c>
      <c r="Q170" s="60">
        <f t="shared" si="33"/>
        <v>96.229768212365371</v>
      </c>
      <c r="R170" s="60">
        <f t="shared" si="33"/>
        <v>88.126090105312329</v>
      </c>
      <c r="S170" s="60">
        <f t="shared" si="33"/>
        <v>95.430492385336862</v>
      </c>
      <c r="T170" s="60">
        <f t="shared" si="33"/>
        <v>93.948952584647586</v>
      </c>
      <c r="U170" s="60">
        <f t="shared" si="33"/>
        <v>96.47575242871828</v>
      </c>
      <c r="V170" s="60">
        <f t="shared" si="33"/>
        <v>79.002577069489362</v>
      </c>
    </row>
    <row r="171" spans="2:22" x14ac:dyDescent="0.2">
      <c r="C171" s="88" t="s">
        <v>124</v>
      </c>
      <c r="D171" s="62">
        <f t="shared" ref="D171:V171" si="34">+IFERROR(IF(D132&gt;0,+((D132/D15)*100)," "),"")</f>
        <v>89.564677008008999</v>
      </c>
      <c r="E171" s="62">
        <f t="shared" si="34"/>
        <v>90.020823457112229</v>
      </c>
      <c r="F171" s="62">
        <f t="shared" si="34"/>
        <v>89.20077231875409</v>
      </c>
      <c r="G171" s="62">
        <f t="shared" si="34"/>
        <v>86.531256937794211</v>
      </c>
      <c r="H171" s="62">
        <f t="shared" si="34"/>
        <v>91.422575330384362</v>
      </c>
      <c r="I171" s="62">
        <f t="shared" si="34"/>
        <v>91.585991052628927</v>
      </c>
      <c r="J171" s="62">
        <f t="shared" si="34"/>
        <v>90.511810487497073</v>
      </c>
      <c r="K171" s="62">
        <f t="shared" si="34"/>
        <v>91.157361524882589</v>
      </c>
      <c r="L171" s="62">
        <f t="shared" si="34"/>
        <v>99.258883826059431</v>
      </c>
      <c r="M171" s="62">
        <f t="shared" si="34"/>
        <v>99.342684760167955</v>
      </c>
      <c r="N171" s="62">
        <f t="shared" si="34"/>
        <v>96.696074782046509</v>
      </c>
      <c r="O171" s="62">
        <f t="shared" si="34"/>
        <v>98.612124260742675</v>
      </c>
      <c r="P171" s="62">
        <f t="shared" si="34"/>
        <v>84.353236201160286</v>
      </c>
      <c r="Q171" s="62">
        <f t="shared" si="34"/>
        <v>86.735051729951024</v>
      </c>
      <c r="R171" s="62">
        <f t="shared" si="34"/>
        <v>95.548598910436382</v>
      </c>
      <c r="S171" s="62">
        <f t="shared" si="34"/>
        <v>94.193681950410848</v>
      </c>
      <c r="T171" s="62">
        <f t="shared" si="34"/>
        <v>95.18334478225114</v>
      </c>
      <c r="U171" s="62">
        <f t="shared" si="34"/>
        <v>96.202163741321428</v>
      </c>
      <c r="V171" s="62">
        <f t="shared" si="34"/>
        <v>95.461854861918056</v>
      </c>
    </row>
    <row r="172" spans="2:22" x14ac:dyDescent="0.2">
      <c r="C172" s="87" t="s">
        <v>125</v>
      </c>
      <c r="D172" s="60">
        <f t="shared" ref="D172:V172" si="35">+IFERROR(IF(D133&gt;0,+((D133/D16)*100)," "),"")</f>
        <v>96.617071685740981</v>
      </c>
      <c r="E172" s="60">
        <f t="shared" si="35"/>
        <v>95.217952059984057</v>
      </c>
      <c r="F172" s="60">
        <f t="shared" si="35"/>
        <v>96.236960896021401</v>
      </c>
      <c r="G172" s="60">
        <f t="shared" si="35"/>
        <v>96.788200665292294</v>
      </c>
      <c r="H172" s="60">
        <f t="shared" si="35"/>
        <v>92.964720642537159</v>
      </c>
      <c r="I172" s="60">
        <f t="shared" si="35"/>
        <v>96.377774519670069</v>
      </c>
      <c r="J172" s="60">
        <f t="shared" si="35"/>
        <v>93.432215022393507</v>
      </c>
      <c r="K172" s="60">
        <f t="shared" si="35"/>
        <v>91.88577690423908</v>
      </c>
      <c r="L172" s="60">
        <f t="shared" si="35"/>
        <v>97.306755006560138</v>
      </c>
      <c r="M172" s="60">
        <f t="shared" si="35"/>
        <v>26.124068591676924</v>
      </c>
      <c r="N172" s="60">
        <f t="shared" si="35"/>
        <v>94.493413434310369</v>
      </c>
      <c r="O172" s="60">
        <f t="shared" si="35"/>
        <v>88.219651295250827</v>
      </c>
      <c r="P172" s="60">
        <f t="shared" si="35"/>
        <v>72.392727882760028</v>
      </c>
      <c r="Q172" s="60">
        <f t="shared" si="35"/>
        <v>91.796487805650088</v>
      </c>
      <c r="R172" s="60">
        <f t="shared" si="35"/>
        <v>91.561598119639669</v>
      </c>
      <c r="S172" s="60">
        <f t="shared" si="35"/>
        <v>93.188827062022</v>
      </c>
      <c r="T172" s="60">
        <f t="shared" si="35"/>
        <v>93.717991672049564</v>
      </c>
      <c r="U172" s="60">
        <f t="shared" si="35"/>
        <v>94.687759219496641</v>
      </c>
      <c r="V172" s="60">
        <f t="shared" si="35"/>
        <v>92.616957482539121</v>
      </c>
    </row>
    <row r="173" spans="2:22" x14ac:dyDescent="0.2">
      <c r="C173" s="88" t="s">
        <v>126</v>
      </c>
      <c r="D173" s="62">
        <f t="shared" ref="D173:V173" si="36">+IFERROR(IF(D134&gt;0,+((D134/D17)*100)," "),"")</f>
        <v>91.67006543430584</v>
      </c>
      <c r="E173" s="62">
        <f t="shared" si="36"/>
        <v>91.78093481807197</v>
      </c>
      <c r="F173" s="62">
        <f t="shared" si="36"/>
        <v>92.918848565738841</v>
      </c>
      <c r="G173" s="62">
        <f t="shared" si="36"/>
        <v>87.783008199179818</v>
      </c>
      <c r="H173" s="62">
        <f t="shared" si="36"/>
        <v>94.969116024161565</v>
      </c>
      <c r="I173" s="62">
        <f t="shared" si="36"/>
        <v>93.997095510575562</v>
      </c>
      <c r="J173" s="62">
        <f t="shared" si="36"/>
        <v>95.777363475944085</v>
      </c>
      <c r="K173" s="62">
        <f t="shared" si="36"/>
        <v>89.229452572713257</v>
      </c>
      <c r="L173" s="62">
        <f t="shared" si="36"/>
        <v>90.603649592742002</v>
      </c>
      <c r="M173" s="62">
        <f t="shared" si="36"/>
        <v>94.090705070451151</v>
      </c>
      <c r="N173" s="62">
        <f t="shared" si="36"/>
        <v>91.796474105094674</v>
      </c>
      <c r="O173" s="62">
        <f t="shared" si="36"/>
        <v>91.565032427001043</v>
      </c>
      <c r="P173" s="62">
        <f t="shared" si="36"/>
        <v>94.696441770290591</v>
      </c>
      <c r="Q173" s="62">
        <f t="shared" si="36"/>
        <v>95.424500597052088</v>
      </c>
      <c r="R173" s="62">
        <f t="shared" si="36"/>
        <v>89.572009813111848</v>
      </c>
      <c r="S173" s="62">
        <f t="shared" si="36"/>
        <v>95.177115542927098</v>
      </c>
      <c r="T173" s="62">
        <f t="shared" si="36"/>
        <v>96.894249864776569</v>
      </c>
      <c r="U173" s="62">
        <f t="shared" si="36"/>
        <v>99.134947044944184</v>
      </c>
      <c r="V173" s="62">
        <f t="shared" si="36"/>
        <v>95.999783747405971</v>
      </c>
    </row>
    <row r="174" spans="2:22" x14ac:dyDescent="0.2">
      <c r="C174" s="87" t="s">
        <v>127</v>
      </c>
      <c r="D174" s="60">
        <f t="shared" ref="D174:V174" si="37">+IFERROR(IF(D135&gt;0,+((D135/D18)*100)," "),"")</f>
        <v>86.625023337689782</v>
      </c>
      <c r="E174" s="60">
        <f t="shared" si="37"/>
        <v>91.019437535437135</v>
      </c>
      <c r="F174" s="60">
        <f t="shared" si="37"/>
        <v>94.643452652291018</v>
      </c>
      <c r="G174" s="60">
        <f t="shared" si="37"/>
        <v>95.099055874449348</v>
      </c>
      <c r="H174" s="60">
        <f t="shared" si="37"/>
        <v>93.497565104521968</v>
      </c>
      <c r="I174" s="60">
        <f t="shared" si="37"/>
        <v>95.306387881107781</v>
      </c>
      <c r="J174" s="60">
        <f t="shared" si="37"/>
        <v>94.625474707542367</v>
      </c>
      <c r="K174" s="60">
        <f t="shared" si="37"/>
        <v>97.28228588496583</v>
      </c>
      <c r="L174" s="60">
        <f t="shared" si="37"/>
        <v>96.073941733529949</v>
      </c>
      <c r="M174" s="60">
        <f t="shared" si="37"/>
        <v>97.557452203060265</v>
      </c>
      <c r="N174" s="60">
        <f t="shared" si="37"/>
        <v>97.273390026468434</v>
      </c>
      <c r="O174" s="60">
        <f t="shared" si="37"/>
        <v>98.035207499081309</v>
      </c>
      <c r="P174" s="60">
        <f t="shared" si="37"/>
        <v>96.074384676546529</v>
      </c>
      <c r="Q174" s="60">
        <f t="shared" si="37"/>
        <v>95.468510495440881</v>
      </c>
      <c r="R174" s="60">
        <f t="shared" si="37"/>
        <v>97.214232843397426</v>
      </c>
      <c r="S174" s="60">
        <f t="shared" si="37"/>
        <v>98.108735614452684</v>
      </c>
      <c r="T174" s="60">
        <f t="shared" si="37"/>
        <v>97.193027758519293</v>
      </c>
      <c r="U174" s="60">
        <f t="shared" si="37"/>
        <v>98.85492464884662</v>
      </c>
      <c r="V174" s="60">
        <f t="shared" si="37"/>
        <v>95.9962633441625</v>
      </c>
    </row>
    <row r="175" spans="2:22" x14ac:dyDescent="0.2">
      <c r="C175" s="88" t="s">
        <v>128</v>
      </c>
      <c r="D175" s="62">
        <f t="shared" ref="D175:V175" si="38">+IFERROR(IF(D136&gt;0,+((D136/D19)*100)," "),"")</f>
        <v>94.282604037050618</v>
      </c>
      <c r="E175" s="62">
        <f t="shared" si="38"/>
        <v>92.811813191136523</v>
      </c>
      <c r="F175" s="62">
        <f t="shared" si="38"/>
        <v>81.316116318817095</v>
      </c>
      <c r="G175" s="62">
        <f t="shared" si="38"/>
        <v>89.487551941990233</v>
      </c>
      <c r="H175" s="62">
        <f t="shared" si="38"/>
        <v>88.844939633825831</v>
      </c>
      <c r="I175" s="62">
        <f t="shared" si="38"/>
        <v>85.220005352807178</v>
      </c>
      <c r="J175" s="62">
        <f t="shared" si="38"/>
        <v>92.689895469372345</v>
      </c>
      <c r="K175" s="62">
        <f t="shared" si="38"/>
        <v>95.054461448853417</v>
      </c>
      <c r="L175" s="62">
        <f t="shared" si="38"/>
        <v>92.333196692542899</v>
      </c>
      <c r="M175" s="62">
        <f t="shared" si="38"/>
        <v>90.612217854145257</v>
      </c>
      <c r="N175" s="62">
        <f t="shared" si="38"/>
        <v>89.747445497797216</v>
      </c>
      <c r="O175" s="62">
        <f t="shared" si="38"/>
        <v>96.080501343991628</v>
      </c>
      <c r="P175" s="62">
        <f t="shared" si="38"/>
        <v>96.713579933881704</v>
      </c>
      <c r="Q175" s="62">
        <f t="shared" si="38"/>
        <v>94.367517918852812</v>
      </c>
      <c r="R175" s="62">
        <f t="shared" si="38"/>
        <v>98.994573104620926</v>
      </c>
      <c r="S175" s="62">
        <f t="shared" si="38"/>
        <v>98.586841297688977</v>
      </c>
      <c r="T175" s="62">
        <f t="shared" si="38"/>
        <v>99.538193390887585</v>
      </c>
      <c r="U175" s="62">
        <f t="shared" si="38"/>
        <v>98.477408778329149</v>
      </c>
      <c r="V175" s="62">
        <f t="shared" si="38"/>
        <v>96.823945080845931</v>
      </c>
    </row>
    <row r="176" spans="2:22" x14ac:dyDescent="0.2">
      <c r="C176" s="87" t="s">
        <v>129</v>
      </c>
      <c r="D176" s="60">
        <f t="shared" ref="D176:V176" si="39">+IFERROR(IF(D137&gt;0,+((D137/D20)*100)," "),"")</f>
        <v>97.231456632812254</v>
      </c>
      <c r="E176" s="60">
        <f t="shared" si="39"/>
        <v>95.273775816364875</v>
      </c>
      <c r="F176" s="60">
        <f t="shared" si="39"/>
        <v>95.620750907132717</v>
      </c>
      <c r="G176" s="60">
        <f t="shared" si="39"/>
        <v>93.290899986463202</v>
      </c>
      <c r="H176" s="60">
        <f t="shared" si="39"/>
        <v>92.539928011027229</v>
      </c>
      <c r="I176" s="60">
        <f t="shared" si="39"/>
        <v>92.425011851039258</v>
      </c>
      <c r="J176" s="60">
        <f t="shared" si="39"/>
        <v>93.848521131946654</v>
      </c>
      <c r="K176" s="60">
        <f t="shared" si="39"/>
        <v>97.6334640707544</v>
      </c>
      <c r="L176" s="60">
        <f t="shared" si="39"/>
        <v>98.873489323668451</v>
      </c>
      <c r="M176" s="60">
        <f t="shared" si="39"/>
        <v>97.715815781035303</v>
      </c>
      <c r="N176" s="60">
        <f t="shared" si="39"/>
        <v>97.44257348672464</v>
      </c>
      <c r="O176" s="60">
        <f t="shared" si="39"/>
        <v>97.799761340284348</v>
      </c>
      <c r="P176" s="60">
        <f t="shared" si="39"/>
        <v>99.108393576491963</v>
      </c>
      <c r="Q176" s="60">
        <f t="shared" si="39"/>
        <v>99.177759458246499</v>
      </c>
      <c r="R176" s="60">
        <f t="shared" si="39"/>
        <v>98.766663774097367</v>
      </c>
      <c r="S176" s="60">
        <f t="shared" si="39"/>
        <v>98.426564104973423</v>
      </c>
      <c r="T176" s="60">
        <f t="shared" si="39"/>
        <v>99.242759183842722</v>
      </c>
      <c r="U176" s="60">
        <f t="shared" si="39"/>
        <v>99.312907512768135</v>
      </c>
      <c r="V176" s="60">
        <f t="shared" si="39"/>
        <v>96.445576030338771</v>
      </c>
    </row>
    <row r="177" spans="3:22" x14ac:dyDescent="0.2">
      <c r="C177" s="88" t="s">
        <v>130</v>
      </c>
      <c r="D177" s="62">
        <f t="shared" ref="D177:V177" si="40">+IFERROR(IF(D138&gt;0,+((D138/D21)*100)," "),"")</f>
        <v>98.349221517625224</v>
      </c>
      <c r="E177" s="62">
        <f t="shared" si="40"/>
        <v>99.444634435081184</v>
      </c>
      <c r="F177" s="62">
        <f t="shared" si="40"/>
        <v>99.026068412831066</v>
      </c>
      <c r="G177" s="62">
        <f t="shared" si="40"/>
        <v>97.063589504651617</v>
      </c>
      <c r="H177" s="62">
        <f t="shared" si="40"/>
        <v>97.32503528483609</v>
      </c>
      <c r="I177" s="62">
        <f t="shared" si="40"/>
        <v>98.238733740409927</v>
      </c>
      <c r="J177" s="62">
        <f t="shared" si="40"/>
        <v>98.725316620915407</v>
      </c>
      <c r="K177" s="62">
        <f t="shared" si="40"/>
        <v>98.895910199863735</v>
      </c>
      <c r="L177" s="62">
        <f t="shared" si="40"/>
        <v>97.032670933412518</v>
      </c>
      <c r="M177" s="62">
        <f t="shared" si="40"/>
        <v>97.458621388158733</v>
      </c>
      <c r="N177" s="62">
        <f t="shared" si="40"/>
        <v>96.703404113646585</v>
      </c>
      <c r="O177" s="62">
        <f t="shared" si="40"/>
        <v>92.739080374342137</v>
      </c>
      <c r="P177" s="62">
        <f t="shared" si="40"/>
        <v>83.008861389590805</v>
      </c>
      <c r="Q177" s="62">
        <f t="shared" si="40"/>
        <v>95.652975759898965</v>
      </c>
      <c r="R177" s="62">
        <f t="shared" si="40"/>
        <v>95.946207466355588</v>
      </c>
      <c r="S177" s="62">
        <f t="shared" si="40"/>
        <v>98.844783464505539</v>
      </c>
      <c r="T177" s="62">
        <f t="shared" si="40"/>
        <v>94.178231229924108</v>
      </c>
      <c r="U177" s="62">
        <f t="shared" si="40"/>
        <v>97.231008814948112</v>
      </c>
      <c r="V177" s="62">
        <f t="shared" si="40"/>
        <v>95.776017388130214</v>
      </c>
    </row>
    <row r="178" spans="3:22" x14ac:dyDescent="0.2">
      <c r="C178" s="87" t="s">
        <v>131</v>
      </c>
      <c r="D178" s="60">
        <f t="shared" ref="D178:V178" si="41">+IFERROR(IF(D139&gt;0,+((D139/D22)*100)," "),"")</f>
        <v>94.916513184452882</v>
      </c>
      <c r="E178" s="60">
        <f t="shared" si="41"/>
        <v>96.55333126724193</v>
      </c>
      <c r="F178" s="60">
        <f t="shared" si="41"/>
        <v>99.602165796125306</v>
      </c>
      <c r="G178" s="60">
        <f t="shared" si="41"/>
        <v>95.840948306159532</v>
      </c>
      <c r="H178" s="60">
        <f t="shared" si="41"/>
        <v>99.50795958120645</v>
      </c>
      <c r="I178" s="60">
        <f t="shared" si="41"/>
        <v>99.375251532694449</v>
      </c>
      <c r="J178" s="60">
        <f t="shared" si="41"/>
        <v>99.022473220249367</v>
      </c>
      <c r="K178" s="60">
        <f t="shared" si="41"/>
        <v>99.628768843981987</v>
      </c>
      <c r="L178" s="60">
        <f t="shared" si="41"/>
        <v>99.855212152368111</v>
      </c>
      <c r="M178" s="60">
        <f t="shared" si="41"/>
        <v>98.779540623827288</v>
      </c>
      <c r="N178" s="60">
        <f t="shared" si="41"/>
        <v>96.780853397342383</v>
      </c>
      <c r="O178" s="60">
        <f t="shared" si="41"/>
        <v>99.959358672402061</v>
      </c>
      <c r="P178" s="60">
        <f t="shared" si="41"/>
        <v>98.13996938320507</v>
      </c>
      <c r="Q178" s="60">
        <f t="shared" si="41"/>
        <v>99.866187709150623</v>
      </c>
      <c r="R178" s="60">
        <f t="shared" si="41"/>
        <v>99.957622773233638</v>
      </c>
      <c r="S178" s="60">
        <f t="shared" si="41"/>
        <v>99.946464813331701</v>
      </c>
      <c r="T178" s="60">
        <f t="shared" si="41"/>
        <v>99.148376169646383</v>
      </c>
      <c r="U178" s="60">
        <f t="shared" si="41"/>
        <v>99.95786953727989</v>
      </c>
      <c r="V178" s="60">
        <f t="shared" si="41"/>
        <v>99.662892960901885</v>
      </c>
    </row>
    <row r="179" spans="3:22" x14ac:dyDescent="0.2">
      <c r="C179" s="88" t="s">
        <v>132</v>
      </c>
      <c r="D179" s="62">
        <f t="shared" ref="D179:V179" si="42">+IFERROR(IF(D140&gt;0,+((D140/D23)*100)," "),"")</f>
        <v>96.510815789085086</v>
      </c>
      <c r="E179" s="62">
        <f t="shared" si="42"/>
        <v>94.146538230657271</v>
      </c>
      <c r="F179" s="62">
        <f t="shared" si="42"/>
        <v>96.244902511097635</v>
      </c>
      <c r="G179" s="62">
        <f t="shared" si="42"/>
        <v>89.257682579972766</v>
      </c>
      <c r="H179" s="62">
        <f t="shared" si="42"/>
        <v>89.557748499660789</v>
      </c>
      <c r="I179" s="62">
        <f t="shared" si="42"/>
        <v>84.606586466532491</v>
      </c>
      <c r="J179" s="62">
        <f t="shared" si="42"/>
        <v>93.048250493892311</v>
      </c>
      <c r="K179" s="62">
        <f t="shared" si="42"/>
        <v>91.145822393915253</v>
      </c>
      <c r="L179" s="62">
        <f t="shared" si="42"/>
        <v>92.001998915063297</v>
      </c>
      <c r="M179" s="62">
        <f t="shared" si="42"/>
        <v>84.405658172804394</v>
      </c>
      <c r="N179" s="62">
        <f t="shared" si="42"/>
        <v>74.899593119021773</v>
      </c>
      <c r="O179" s="62">
        <f t="shared" si="42"/>
        <v>81.605595080696929</v>
      </c>
      <c r="P179" s="62">
        <f t="shared" si="42"/>
        <v>88.635720510363555</v>
      </c>
      <c r="Q179" s="62">
        <f t="shared" si="42"/>
        <v>89.171186476230304</v>
      </c>
      <c r="R179" s="62">
        <f t="shared" si="42"/>
        <v>94.031735083068213</v>
      </c>
      <c r="S179" s="62">
        <f t="shared" si="42"/>
        <v>93.845691451990803</v>
      </c>
      <c r="T179" s="62">
        <f t="shared" si="42"/>
        <v>97.302164466617867</v>
      </c>
      <c r="U179" s="62">
        <f t="shared" si="42"/>
        <v>97.779430914986463</v>
      </c>
      <c r="V179" s="62">
        <f t="shared" si="42"/>
        <v>96.702334346674633</v>
      </c>
    </row>
    <row r="180" spans="3:22" x14ac:dyDescent="0.2">
      <c r="C180" s="87" t="s">
        <v>133</v>
      </c>
      <c r="D180" s="60">
        <f t="shared" ref="D180:V180" si="43">+IFERROR(IF(D141&gt;0,+((D141/D24)*100)," "),"")</f>
        <v>97.421750562372807</v>
      </c>
      <c r="E180" s="60">
        <f t="shared" si="43"/>
        <v>99.203104766825575</v>
      </c>
      <c r="F180" s="60">
        <f t="shared" si="43"/>
        <v>99.006147997487787</v>
      </c>
      <c r="G180" s="60">
        <f t="shared" si="43"/>
        <v>97.652655413346992</v>
      </c>
      <c r="H180" s="60">
        <f t="shared" si="43"/>
        <v>96.302616591663664</v>
      </c>
      <c r="I180" s="60">
        <f t="shared" si="43"/>
        <v>98.152810710677358</v>
      </c>
      <c r="J180" s="60">
        <f t="shared" si="43"/>
        <v>97.620172027223234</v>
      </c>
      <c r="K180" s="60">
        <f t="shared" si="43"/>
        <v>98.563380174926749</v>
      </c>
      <c r="L180" s="60">
        <f t="shared" si="43"/>
        <v>98.139390311658531</v>
      </c>
      <c r="M180" s="60">
        <f t="shared" si="43"/>
        <v>98.269121527550922</v>
      </c>
      <c r="N180" s="60">
        <f t="shared" si="43"/>
        <v>94.163274675742272</v>
      </c>
      <c r="O180" s="60">
        <f t="shared" si="43"/>
        <v>94.667365690753059</v>
      </c>
      <c r="P180" s="60">
        <f t="shared" si="43"/>
        <v>93.091978234720003</v>
      </c>
      <c r="Q180" s="60">
        <f t="shared" si="43"/>
        <v>95.649973007024542</v>
      </c>
      <c r="R180" s="60">
        <f t="shared" si="43"/>
        <v>91.507903358125915</v>
      </c>
      <c r="S180" s="60">
        <f t="shared" si="43"/>
        <v>91.492350292482953</v>
      </c>
      <c r="T180" s="60">
        <f t="shared" si="43"/>
        <v>96.536542528382313</v>
      </c>
      <c r="U180" s="60">
        <f t="shared" si="43"/>
        <v>99.249900409447406</v>
      </c>
      <c r="V180" s="60">
        <f t="shared" si="43"/>
        <v>93.047231273123501</v>
      </c>
    </row>
    <row r="181" spans="3:22" x14ac:dyDescent="0.2">
      <c r="C181" s="88" t="s">
        <v>134</v>
      </c>
      <c r="D181" s="62">
        <f t="shared" ref="D181:V181" si="44">+IFERROR(IF(D142&gt;0,+((D142/D25)*100)," "),"")</f>
        <v>88.473742840374001</v>
      </c>
      <c r="E181" s="62">
        <f t="shared" si="44"/>
        <v>90.395934855939259</v>
      </c>
      <c r="F181" s="62">
        <f t="shared" si="44"/>
        <v>81.312259202532829</v>
      </c>
      <c r="G181" s="62">
        <f t="shared" si="44"/>
        <v>85.979398467016793</v>
      </c>
      <c r="H181" s="62">
        <f t="shared" si="44"/>
        <v>85.940981336047287</v>
      </c>
      <c r="I181" s="62">
        <f t="shared" si="44"/>
        <v>91.479082518996464</v>
      </c>
      <c r="J181" s="62">
        <f t="shared" si="44"/>
        <v>92.258866715407891</v>
      </c>
      <c r="K181" s="62">
        <f t="shared" si="44"/>
        <v>83.287324461610652</v>
      </c>
      <c r="L181" s="62">
        <f t="shared" si="44"/>
        <v>78.218366006883741</v>
      </c>
      <c r="M181" s="62">
        <f t="shared" si="44"/>
        <v>71.187715547923531</v>
      </c>
      <c r="N181" s="62">
        <f t="shared" si="44"/>
        <v>76.491524209043732</v>
      </c>
      <c r="O181" s="62">
        <f t="shared" si="44"/>
        <v>97.011449400354948</v>
      </c>
      <c r="P181" s="62">
        <f t="shared" si="44"/>
        <v>95.488902900662637</v>
      </c>
      <c r="Q181" s="62">
        <f t="shared" si="44"/>
        <v>87.841030301357463</v>
      </c>
      <c r="R181" s="62">
        <f t="shared" si="44"/>
        <v>75.744382393384456</v>
      </c>
      <c r="S181" s="62">
        <f t="shared" si="44"/>
        <v>95.315399858533425</v>
      </c>
      <c r="T181" s="62">
        <f t="shared" si="44"/>
        <v>91.272371078498054</v>
      </c>
      <c r="U181" s="62">
        <f t="shared" si="44"/>
        <v>93.312796119410407</v>
      </c>
      <c r="V181" s="62">
        <f t="shared" si="44"/>
        <v>87.393921588502607</v>
      </c>
    </row>
    <row r="182" spans="3:22" x14ac:dyDescent="0.2">
      <c r="C182" s="87" t="s">
        <v>135</v>
      </c>
      <c r="D182" s="60" t="str">
        <f t="shared" ref="D182:V182" si="45">+IFERROR(IF(D143&gt;0,+((D143/D26)*100),"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+IFERROR(IF(D144&gt;0,+((D144/D27)*100)," "),"")</f>
        <v>89.974093816936659</v>
      </c>
      <c r="E183" s="62">
        <f t="shared" si="46"/>
        <v>91.857809163005641</v>
      </c>
      <c r="F183" s="62">
        <f t="shared" si="46"/>
        <v>90.514069753726261</v>
      </c>
      <c r="G183" s="62">
        <f t="shared" si="46"/>
        <v>86.272206019076904</v>
      </c>
      <c r="H183" s="62">
        <f t="shared" si="46"/>
        <v>88.845197173634475</v>
      </c>
      <c r="I183" s="62">
        <f t="shared" si="46"/>
        <v>92.111866444339469</v>
      </c>
      <c r="J183" s="62">
        <f t="shared" si="46"/>
        <v>97.880277053589609</v>
      </c>
      <c r="K183" s="62">
        <f t="shared" si="46"/>
        <v>95.055782823202577</v>
      </c>
      <c r="L183" s="62">
        <f t="shared" si="46"/>
        <v>95.156441908547464</v>
      </c>
      <c r="M183" s="62">
        <f t="shared" si="46"/>
        <v>97.885514423043745</v>
      </c>
      <c r="N183" s="62">
        <f t="shared" si="46"/>
        <v>98.121187190494425</v>
      </c>
      <c r="O183" s="62">
        <f t="shared" si="46"/>
        <v>97.227131123163531</v>
      </c>
      <c r="P183" s="62">
        <f t="shared" si="46"/>
        <v>94.440455549186765</v>
      </c>
      <c r="Q183" s="62">
        <f t="shared" si="46"/>
        <v>96.309217987171607</v>
      </c>
      <c r="R183" s="62">
        <f t="shared" si="46"/>
        <v>97.184965823506602</v>
      </c>
      <c r="S183" s="62">
        <f t="shared" si="46"/>
        <v>97.148109805205706</v>
      </c>
      <c r="T183" s="62">
        <f t="shared" si="46"/>
        <v>84.20497797956854</v>
      </c>
      <c r="U183" s="62">
        <f t="shared" si="46"/>
        <v>97.513806000927147</v>
      </c>
      <c r="V183" s="62">
        <f t="shared" si="46"/>
        <v>93.617895823258323</v>
      </c>
    </row>
    <row r="184" spans="3:22" x14ac:dyDescent="0.2">
      <c r="C184" s="87" t="s">
        <v>137</v>
      </c>
      <c r="D184" s="60">
        <f t="shared" ref="D184:V184" si="47">+IFERROR(IF(D145&gt;0,+((D145/D28)*100)," "),"")</f>
        <v>98.700018795357281</v>
      </c>
      <c r="E184" s="60">
        <f t="shared" si="47"/>
        <v>97.026950853447872</v>
      </c>
      <c r="F184" s="60">
        <f t="shared" si="47"/>
        <v>99.11067048937899</v>
      </c>
      <c r="G184" s="60">
        <f t="shared" si="47"/>
        <v>97.128156259048808</v>
      </c>
      <c r="H184" s="60">
        <f t="shared" si="47"/>
        <v>96.401460279466349</v>
      </c>
      <c r="I184" s="60">
        <f t="shared" si="47"/>
        <v>96.109147797122347</v>
      </c>
      <c r="J184" s="60">
        <f t="shared" si="47"/>
        <v>98.529802524125415</v>
      </c>
      <c r="K184" s="60">
        <f t="shared" si="47"/>
        <v>97.349020406603046</v>
      </c>
      <c r="L184" s="60">
        <f t="shared" si="47"/>
        <v>99.363255054116522</v>
      </c>
      <c r="M184" s="60">
        <f t="shared" si="47"/>
        <v>93.716625525862284</v>
      </c>
      <c r="N184" s="60">
        <f t="shared" si="47"/>
        <v>93.350081015666248</v>
      </c>
      <c r="O184" s="60">
        <f t="shared" si="47"/>
        <v>94.371369259654031</v>
      </c>
      <c r="P184" s="60">
        <f t="shared" si="47"/>
        <v>81.523487774340381</v>
      </c>
      <c r="Q184" s="60">
        <f t="shared" si="47"/>
        <v>73.665834594450558</v>
      </c>
      <c r="R184" s="60">
        <f t="shared" si="47"/>
        <v>90.029508519556302</v>
      </c>
      <c r="S184" s="60">
        <f t="shared" si="47"/>
        <v>94.345934506197878</v>
      </c>
      <c r="T184" s="60">
        <f t="shared" si="47"/>
        <v>98.38282696470975</v>
      </c>
      <c r="U184" s="60">
        <f t="shared" si="47"/>
        <v>95.065511288975387</v>
      </c>
      <c r="V184" s="60">
        <f t="shared" si="47"/>
        <v>92.717838461868297</v>
      </c>
    </row>
    <row r="185" spans="3:22" x14ac:dyDescent="0.2">
      <c r="C185" s="88" t="s">
        <v>138</v>
      </c>
      <c r="D185" s="62">
        <f t="shared" ref="D185:V185" si="48">+IFERROR(IF(D146&gt;0,+((D146/D29)*100)," "),"")</f>
        <v>95.141039536462941</v>
      </c>
      <c r="E185" s="62">
        <f t="shared" si="48"/>
        <v>93.979500014446089</v>
      </c>
      <c r="F185" s="62">
        <f t="shared" si="48"/>
        <v>94.776928868212266</v>
      </c>
      <c r="G185" s="62">
        <f t="shared" si="48"/>
        <v>91.939066078074859</v>
      </c>
      <c r="H185" s="62">
        <f t="shared" si="48"/>
        <v>94.076004053946434</v>
      </c>
      <c r="I185" s="62">
        <f t="shared" si="48"/>
        <v>91.486450772702412</v>
      </c>
      <c r="J185" s="62">
        <f t="shared" si="48"/>
        <v>86.779354347697407</v>
      </c>
      <c r="K185" s="62">
        <f t="shared" si="48"/>
        <v>91.634832066681042</v>
      </c>
      <c r="L185" s="62">
        <f t="shared" si="48"/>
        <v>90.384959822690377</v>
      </c>
      <c r="M185" s="62">
        <f t="shared" si="48"/>
        <v>87.262950833161085</v>
      </c>
      <c r="N185" s="62">
        <f t="shared" si="48"/>
        <v>83.779804088227976</v>
      </c>
      <c r="O185" s="62">
        <f t="shared" si="48"/>
        <v>87.872705308304788</v>
      </c>
      <c r="P185" s="62">
        <f t="shared" si="48"/>
        <v>75.711249618663899</v>
      </c>
      <c r="Q185" s="62">
        <f t="shared" si="48"/>
        <v>73.774641725057847</v>
      </c>
      <c r="R185" s="62">
        <f t="shared" si="48"/>
        <v>85.021433049379056</v>
      </c>
      <c r="S185" s="62">
        <f t="shared" si="48"/>
        <v>94.609607096649952</v>
      </c>
      <c r="T185" s="62">
        <f t="shared" si="48"/>
        <v>96.999598580527575</v>
      </c>
      <c r="U185" s="62">
        <f t="shared" si="48"/>
        <v>97.709392107775059</v>
      </c>
      <c r="V185" s="62">
        <f t="shared" si="48"/>
        <v>95.777769940442866</v>
      </c>
    </row>
    <row r="186" spans="3:22" x14ac:dyDescent="0.2">
      <c r="C186" s="87" t="s">
        <v>139</v>
      </c>
      <c r="D186" s="60">
        <f t="shared" ref="D186:V186" si="49">+IFERROR(IF(D147&gt;0,+((D147/D30)*100)," "),"")</f>
        <v>96.698040308710461</v>
      </c>
      <c r="E186" s="60">
        <f t="shared" si="49"/>
        <v>93.558840692494826</v>
      </c>
      <c r="F186" s="60">
        <f t="shared" si="49"/>
        <v>92.16154710161581</v>
      </c>
      <c r="G186" s="60">
        <f t="shared" si="49"/>
        <v>90.008939079464184</v>
      </c>
      <c r="H186" s="60">
        <f t="shared" si="49"/>
        <v>94.010559996427503</v>
      </c>
      <c r="I186" s="60">
        <f t="shared" si="49"/>
        <v>93.986777453418085</v>
      </c>
      <c r="J186" s="60">
        <f t="shared" si="49"/>
        <v>81.968178158530932</v>
      </c>
      <c r="K186" s="60">
        <f t="shared" si="49"/>
        <v>90.096311050975146</v>
      </c>
      <c r="L186" s="60">
        <f t="shared" si="49"/>
        <v>93.039290261331104</v>
      </c>
      <c r="M186" s="60">
        <f t="shared" si="49"/>
        <v>91.276194977059873</v>
      </c>
      <c r="N186" s="60">
        <f t="shared" si="49"/>
        <v>91.27201189746836</v>
      </c>
      <c r="O186" s="60">
        <f t="shared" si="49"/>
        <v>96.138494326998014</v>
      </c>
      <c r="P186" s="60">
        <f t="shared" si="49"/>
        <v>91.336486194969496</v>
      </c>
      <c r="Q186" s="60">
        <f t="shared" si="49"/>
        <v>93.284943263881502</v>
      </c>
      <c r="R186" s="60">
        <f t="shared" si="49"/>
        <v>94.366341916668389</v>
      </c>
      <c r="S186" s="60">
        <f t="shared" si="49"/>
        <v>94.575217524871604</v>
      </c>
      <c r="T186" s="60">
        <f t="shared" si="49"/>
        <v>91.841819942706977</v>
      </c>
      <c r="U186" s="60">
        <f t="shared" si="49"/>
        <v>94.463774355281757</v>
      </c>
      <c r="V186" s="60">
        <f t="shared" si="49"/>
        <v>88.104971053042433</v>
      </c>
    </row>
    <row r="187" spans="3:22" x14ac:dyDescent="0.2">
      <c r="C187" s="88" t="s">
        <v>140</v>
      </c>
      <c r="D187" s="62">
        <f t="shared" ref="D187:V187" si="50">+IFERROR(IF(D148&gt;0,+((D148/D31)*100)," "),"")</f>
        <v>90.565699565942637</v>
      </c>
      <c r="E187" s="62">
        <f t="shared" si="50"/>
        <v>74.443432334025559</v>
      </c>
      <c r="F187" s="62">
        <f t="shared" si="50"/>
        <v>86.089944625193851</v>
      </c>
      <c r="G187" s="62">
        <f t="shared" si="50"/>
        <v>77.500973902814209</v>
      </c>
      <c r="H187" s="62">
        <f t="shared" si="50"/>
        <v>72.606355652028938</v>
      </c>
      <c r="I187" s="62">
        <f t="shared" si="50"/>
        <v>69.472282704947546</v>
      </c>
      <c r="J187" s="62">
        <f t="shared" si="50"/>
        <v>67.025948421896004</v>
      </c>
      <c r="K187" s="62">
        <f t="shared" si="50"/>
        <v>79.628446898250402</v>
      </c>
      <c r="L187" s="62">
        <f t="shared" si="50"/>
        <v>92.007940366709477</v>
      </c>
      <c r="M187" s="62">
        <f t="shared" si="50"/>
        <v>78.447474344821515</v>
      </c>
      <c r="N187" s="62">
        <f t="shared" si="50"/>
        <v>84.431089918913912</v>
      </c>
      <c r="O187" s="62">
        <f t="shared" si="50"/>
        <v>86.412882634169364</v>
      </c>
      <c r="P187" s="62">
        <f t="shared" si="50"/>
        <v>83.141538936948862</v>
      </c>
      <c r="Q187" s="62">
        <f t="shared" si="50"/>
        <v>89.511576095832467</v>
      </c>
      <c r="R187" s="62">
        <f t="shared" si="50"/>
        <v>85.185021053638252</v>
      </c>
      <c r="S187" s="62">
        <f t="shared" si="50"/>
        <v>94.802405363513827</v>
      </c>
      <c r="T187" s="62">
        <f t="shared" si="50"/>
        <v>93.588746299842512</v>
      </c>
      <c r="U187" s="62">
        <f t="shared" si="50"/>
        <v>90.34344001263338</v>
      </c>
      <c r="V187" s="62">
        <f t="shared" si="50"/>
        <v>90.972134566346782</v>
      </c>
    </row>
    <row r="188" spans="3:22" x14ac:dyDescent="0.2">
      <c r="C188" s="87" t="s">
        <v>141</v>
      </c>
      <c r="D188" s="60">
        <f t="shared" ref="D188:V188" si="51">+IFERROR(IF(D149&gt;0,+((D149/D32)*100)," "),"")</f>
        <v>94.15346136548807</v>
      </c>
      <c r="E188" s="60">
        <f t="shared" si="51"/>
        <v>95.042073323746578</v>
      </c>
      <c r="F188" s="60">
        <f t="shared" si="51"/>
        <v>93.886363828961294</v>
      </c>
      <c r="G188" s="60">
        <f t="shared" si="51"/>
        <v>93.207399169280293</v>
      </c>
      <c r="H188" s="60">
        <f t="shared" si="51"/>
        <v>84.67186549493924</v>
      </c>
      <c r="I188" s="60">
        <f t="shared" si="51"/>
        <v>92.271450697241079</v>
      </c>
      <c r="J188" s="60">
        <f t="shared" si="51"/>
        <v>93.534099226716165</v>
      </c>
      <c r="K188" s="60">
        <f t="shared" si="51"/>
        <v>94.49889218610619</v>
      </c>
      <c r="L188" s="60">
        <f t="shared" si="51"/>
        <v>93.456583968767632</v>
      </c>
      <c r="M188" s="60">
        <f t="shared" si="51"/>
        <v>91.318445299572247</v>
      </c>
      <c r="N188" s="60">
        <f t="shared" si="51"/>
        <v>90.760387514733893</v>
      </c>
      <c r="O188" s="60">
        <f t="shared" si="51"/>
        <v>92.824886026130287</v>
      </c>
      <c r="P188" s="60">
        <f t="shared" si="51"/>
        <v>87.907090862889802</v>
      </c>
      <c r="Q188" s="60">
        <f t="shared" si="51"/>
        <v>89.857064235729069</v>
      </c>
      <c r="R188" s="60">
        <f t="shared" si="51"/>
        <v>92.527166636604321</v>
      </c>
      <c r="S188" s="60">
        <f t="shared" si="51"/>
        <v>94.803989207463005</v>
      </c>
      <c r="T188" s="60">
        <f t="shared" si="51"/>
        <v>96.290103969004278</v>
      </c>
      <c r="U188" s="60">
        <f t="shared" si="51"/>
        <v>95.378725721211239</v>
      </c>
      <c r="V188" s="60">
        <f t="shared" si="51"/>
        <v>93.765113161595707</v>
      </c>
    </row>
    <row r="189" spans="3:22" x14ac:dyDescent="0.2">
      <c r="C189" s="88" t="s">
        <v>142</v>
      </c>
      <c r="D189" s="62">
        <f t="shared" ref="D189:V189" si="52">+IFERROR(IF(D150&gt;0,+((D150/D33)*100)," "),"")</f>
        <v>83.125201355609647</v>
      </c>
      <c r="E189" s="62">
        <f t="shared" si="52"/>
        <v>89.502347155784904</v>
      </c>
      <c r="F189" s="62">
        <f t="shared" si="52"/>
        <v>96.982798704610801</v>
      </c>
      <c r="G189" s="62">
        <f t="shared" si="52"/>
        <v>94.252310171654258</v>
      </c>
      <c r="H189" s="62">
        <f t="shared" si="52"/>
        <v>83.735253974320798</v>
      </c>
      <c r="I189" s="62">
        <f t="shared" si="52"/>
        <v>82.682070461936036</v>
      </c>
      <c r="J189" s="62">
        <f t="shared" si="52"/>
        <v>72.903858218193747</v>
      </c>
      <c r="K189" s="62">
        <f t="shared" si="52"/>
        <v>68.99919536868228</v>
      </c>
      <c r="L189" s="62">
        <f t="shared" si="52"/>
        <v>81.582634252806784</v>
      </c>
      <c r="M189" s="62">
        <f t="shared" si="52"/>
        <v>74.374756528913082</v>
      </c>
      <c r="N189" s="62">
        <f t="shared" si="52"/>
        <v>93.235084975488007</v>
      </c>
      <c r="O189" s="62">
        <f t="shared" si="52"/>
        <v>87.385977997054098</v>
      </c>
      <c r="P189" s="62">
        <f t="shared" si="52"/>
        <v>85.789606883035972</v>
      </c>
      <c r="Q189" s="62">
        <f t="shared" si="52"/>
        <v>75.36934359805133</v>
      </c>
      <c r="R189" s="62">
        <f t="shared" si="52"/>
        <v>86.219288004984492</v>
      </c>
      <c r="S189" s="62">
        <f t="shared" si="52"/>
        <v>89.036863664963917</v>
      </c>
      <c r="T189" s="62">
        <f t="shared" si="52"/>
        <v>93.600886404939402</v>
      </c>
      <c r="U189" s="62">
        <f t="shared" si="52"/>
        <v>94.201901672010706</v>
      </c>
      <c r="V189" s="62">
        <f t="shared" si="52"/>
        <v>92.859655059334145</v>
      </c>
    </row>
    <row r="190" spans="3:22" x14ac:dyDescent="0.2">
      <c r="C190" s="87" t="s">
        <v>143</v>
      </c>
      <c r="D190" s="60">
        <f t="shared" ref="D190:V190" si="53">+IFERROR(IF(D151&gt;0,+((D151/D34)*100)," "),"")</f>
        <v>90.376394381790732</v>
      </c>
      <c r="E190" s="60">
        <f t="shared" si="53"/>
        <v>96.804269734742533</v>
      </c>
      <c r="F190" s="60">
        <f t="shared" si="53"/>
        <v>89.141935712377091</v>
      </c>
      <c r="G190" s="60">
        <f t="shared" si="53"/>
        <v>90.843117700184933</v>
      </c>
      <c r="H190" s="60">
        <f t="shared" si="53"/>
        <v>96.305892486568069</v>
      </c>
      <c r="I190" s="60">
        <f t="shared" si="53"/>
        <v>91.929830752980152</v>
      </c>
      <c r="J190" s="60">
        <f t="shared" si="53"/>
        <v>90.9343695010907</v>
      </c>
      <c r="K190" s="60">
        <f t="shared" si="53"/>
        <v>97.826636741948619</v>
      </c>
      <c r="L190" s="60">
        <f t="shared" si="53"/>
        <v>96.600122003509355</v>
      </c>
      <c r="M190" s="60">
        <f t="shared" si="53"/>
        <v>90.750228155494952</v>
      </c>
      <c r="N190" s="60">
        <f t="shared" si="53"/>
        <v>90.692568390897989</v>
      </c>
      <c r="O190" s="60">
        <f t="shared" si="53"/>
        <v>92.898172267618691</v>
      </c>
      <c r="P190" s="60">
        <f t="shared" si="53"/>
        <v>94.089285409682432</v>
      </c>
      <c r="Q190" s="60">
        <f t="shared" si="53"/>
        <v>91.669736279959551</v>
      </c>
      <c r="R190" s="60">
        <f t="shared" si="53"/>
        <v>93.781656467979076</v>
      </c>
      <c r="S190" s="60">
        <f t="shared" si="53"/>
        <v>96.392240598895938</v>
      </c>
      <c r="T190" s="60">
        <f t="shared" si="53"/>
        <v>89.216113310959045</v>
      </c>
      <c r="U190" s="60">
        <f t="shared" si="53"/>
        <v>61.130286986388768</v>
      </c>
      <c r="V190" s="60">
        <f t="shared" si="53"/>
        <v>71.124009104963577</v>
      </c>
    </row>
    <row r="191" spans="3:22" x14ac:dyDescent="0.2">
      <c r="C191" s="88" t="s">
        <v>144</v>
      </c>
      <c r="D191" s="62">
        <f t="shared" ref="D191:V191" si="54">+IFERROR(IF(D152&gt;0,+((D152/D35)*100)," "),"")</f>
        <v>99.263490831027298</v>
      </c>
      <c r="E191" s="62">
        <f t="shared" si="54"/>
        <v>96.940333237019686</v>
      </c>
      <c r="F191" s="62">
        <f t="shared" si="54"/>
        <v>94.633855923103425</v>
      </c>
      <c r="G191" s="62">
        <f t="shared" si="54"/>
        <v>98.299344578135205</v>
      </c>
      <c r="H191" s="62">
        <f t="shared" si="54"/>
        <v>86.516142410109694</v>
      </c>
      <c r="I191" s="62">
        <f t="shared" si="54"/>
        <v>98.716395879100233</v>
      </c>
      <c r="J191" s="62">
        <f t="shared" si="54"/>
        <v>97.095924938266364</v>
      </c>
      <c r="K191" s="62">
        <f t="shared" si="54"/>
        <v>98.892013003037832</v>
      </c>
      <c r="L191" s="62">
        <f t="shared" si="54"/>
        <v>98.618307559200687</v>
      </c>
      <c r="M191" s="62">
        <f t="shared" si="54"/>
        <v>97.171539256583401</v>
      </c>
      <c r="N191" s="62">
        <f t="shared" si="54"/>
        <v>96.97682135283263</v>
      </c>
      <c r="O191" s="62">
        <f t="shared" si="54"/>
        <v>95.967363606577507</v>
      </c>
      <c r="P191" s="62">
        <f t="shared" si="54"/>
        <v>97.957057060319215</v>
      </c>
      <c r="Q191" s="62">
        <f t="shared" si="54"/>
        <v>99.31896347922418</v>
      </c>
      <c r="R191" s="62">
        <f t="shared" si="54"/>
        <v>99.515120965483632</v>
      </c>
      <c r="S191" s="62">
        <f t="shared" si="54"/>
        <v>99.259482759956782</v>
      </c>
      <c r="T191" s="62">
        <f t="shared" si="54"/>
        <v>98.645028234825332</v>
      </c>
      <c r="U191" s="62">
        <f t="shared" si="54"/>
        <v>98.275853250997145</v>
      </c>
      <c r="V191" s="62">
        <f t="shared" si="54"/>
        <v>98.513890170793246</v>
      </c>
    </row>
    <row r="192" spans="3:22" x14ac:dyDescent="0.2">
      <c r="C192" s="87" t="s">
        <v>145</v>
      </c>
      <c r="D192" s="60">
        <f t="shared" ref="D192:V192" si="55">+IFERROR(IF(D153&gt;0,+((D153/D36)*100)," "),"")</f>
        <v>97.148050589711261</v>
      </c>
      <c r="E192" s="60">
        <f t="shared" si="55"/>
        <v>70.466687239107912</v>
      </c>
      <c r="F192" s="60">
        <f t="shared" si="55"/>
        <v>75.22542947784298</v>
      </c>
      <c r="G192" s="60">
        <f t="shared" si="55"/>
        <v>72.042343390081427</v>
      </c>
      <c r="H192" s="60">
        <f t="shared" si="55"/>
        <v>90.220257390305051</v>
      </c>
      <c r="I192" s="60">
        <f t="shared" si="55"/>
        <v>95.299952241084455</v>
      </c>
      <c r="J192" s="60">
        <f t="shared" si="55"/>
        <v>85.985707154253149</v>
      </c>
      <c r="K192" s="60">
        <f t="shared" si="55"/>
        <v>91.287178003935878</v>
      </c>
      <c r="L192" s="60">
        <f t="shared" si="55"/>
        <v>94.39187166495023</v>
      </c>
      <c r="M192" s="60">
        <f t="shared" si="55"/>
        <v>95.997896923727481</v>
      </c>
      <c r="N192" s="60">
        <f t="shared" si="55"/>
        <v>97.054552593965624</v>
      </c>
      <c r="O192" s="60">
        <f t="shared" si="55"/>
        <v>89.261472833968483</v>
      </c>
      <c r="P192" s="60">
        <f t="shared" si="55"/>
        <v>90.822214827347594</v>
      </c>
      <c r="Q192" s="60">
        <f t="shared" si="55"/>
        <v>87.371264119703312</v>
      </c>
      <c r="R192" s="60">
        <f t="shared" si="55"/>
        <v>93.630679118356994</v>
      </c>
      <c r="S192" s="60">
        <f t="shared" si="55"/>
        <v>91.248203722195342</v>
      </c>
      <c r="T192" s="60">
        <f t="shared" si="55"/>
        <v>93.760275565230671</v>
      </c>
      <c r="U192" s="60">
        <f t="shared" si="55"/>
        <v>94.358841987852031</v>
      </c>
      <c r="V192" s="60">
        <f t="shared" si="55"/>
        <v>97.196602758159372</v>
      </c>
    </row>
    <row r="193" spans="3:22" x14ac:dyDescent="0.2">
      <c r="C193" s="88" t="s">
        <v>146</v>
      </c>
      <c r="D193" s="62">
        <f t="shared" ref="D193:V193" si="56">+IFERROR(IF(D154&gt;0,+((D154/D37)*100)," "),"")</f>
        <v>92.626159347755376</v>
      </c>
      <c r="E193" s="62">
        <f t="shared" si="56"/>
        <v>93.68289348172263</v>
      </c>
      <c r="F193" s="62">
        <f t="shared" si="56"/>
        <v>92.610438270306446</v>
      </c>
      <c r="G193" s="62">
        <f t="shared" si="56"/>
        <v>97.715805492638154</v>
      </c>
      <c r="H193" s="62">
        <f t="shared" si="56"/>
        <v>90.766909050807669</v>
      </c>
      <c r="I193" s="62">
        <f t="shared" si="56"/>
        <v>86.069159226004601</v>
      </c>
      <c r="J193" s="62">
        <f t="shared" si="56"/>
        <v>90.058383449687923</v>
      </c>
      <c r="K193" s="62">
        <f t="shared" si="56"/>
        <v>84.801641951077315</v>
      </c>
      <c r="L193" s="62">
        <f t="shared" si="56"/>
        <v>90.956836669415353</v>
      </c>
      <c r="M193" s="62">
        <f t="shared" si="56"/>
        <v>93.928560195893056</v>
      </c>
      <c r="N193" s="62">
        <f t="shared" si="56"/>
        <v>83.279536394248836</v>
      </c>
      <c r="O193" s="62">
        <f t="shared" si="56"/>
        <v>96.389794678095043</v>
      </c>
      <c r="P193" s="62">
        <f t="shared" si="56"/>
        <v>96.277260692892824</v>
      </c>
      <c r="Q193" s="62">
        <f t="shared" si="56"/>
        <v>98.78956828614389</v>
      </c>
      <c r="R193" s="62">
        <f t="shared" si="56"/>
        <v>97.988715486372342</v>
      </c>
      <c r="S193" s="62">
        <f t="shared" si="56"/>
        <v>98.690884198703969</v>
      </c>
      <c r="T193" s="62">
        <f t="shared" si="56"/>
        <v>97.50014542001594</v>
      </c>
      <c r="U193" s="62">
        <f t="shared" si="56"/>
        <v>96.018848064060677</v>
      </c>
      <c r="V193" s="62">
        <f t="shared" si="56"/>
        <v>92.41943947001765</v>
      </c>
    </row>
    <row r="194" spans="3:22" x14ac:dyDescent="0.2">
      <c r="C194" s="90" t="s">
        <v>147</v>
      </c>
      <c r="D194" s="61">
        <f t="shared" ref="D194:V194" si="57">+IFERROR(IF(D155&gt;0,+((D155/D38)*100)," "),"")</f>
        <v>96.891741419831774</v>
      </c>
      <c r="E194" s="61">
        <f t="shared" si="57"/>
        <v>98.176519670314306</v>
      </c>
      <c r="F194" s="61">
        <f t="shared" si="57"/>
        <v>98.708838293481392</v>
      </c>
      <c r="G194" s="61">
        <f t="shared" si="57"/>
        <v>96.648496560686468</v>
      </c>
      <c r="H194" s="61">
        <f t="shared" si="57"/>
        <v>92.576896322414981</v>
      </c>
      <c r="I194" s="61">
        <f t="shared" si="57"/>
        <v>93.522353590461023</v>
      </c>
      <c r="J194" s="61">
        <f t="shared" si="57"/>
        <v>95.707671980432735</v>
      </c>
      <c r="K194" s="61">
        <f t="shared" si="57"/>
        <v>97.410337105485766</v>
      </c>
      <c r="L194" s="61">
        <f t="shared" si="57"/>
        <v>99.709426566378895</v>
      </c>
      <c r="M194" s="61">
        <f t="shared" si="57"/>
        <v>94.726803253479034</v>
      </c>
      <c r="N194" s="61">
        <f t="shared" si="57"/>
        <v>86.704105423969509</v>
      </c>
      <c r="O194" s="61">
        <f t="shared" si="57"/>
        <v>98.852693950091364</v>
      </c>
      <c r="P194" s="61">
        <f t="shared" si="57"/>
        <v>98.089918321824214</v>
      </c>
      <c r="Q194" s="61">
        <f t="shared" si="57"/>
        <v>98.840735414450492</v>
      </c>
      <c r="R194" s="61">
        <f t="shared" si="57"/>
        <v>94.485541121061729</v>
      </c>
      <c r="S194" s="61">
        <f t="shared" si="57"/>
        <v>86.978122632100025</v>
      </c>
      <c r="T194" s="61">
        <f t="shared" si="57"/>
        <v>89.215897029136499</v>
      </c>
      <c r="U194" s="61">
        <f t="shared" si="57"/>
        <v>92.772527136357951</v>
      </c>
      <c r="V194" s="61">
        <f t="shared" si="57"/>
        <v>90.695129272485048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+IFERROR(IF(D156&gt;0,+((D156/D39)*100),"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>
        <f t="shared" si="58"/>
        <v>59.926249401054143</v>
      </c>
      <c r="V195" s="63">
        <f t="shared" si="58"/>
        <v>77.857542494365106</v>
      </c>
    </row>
    <row r="196" spans="3:22" x14ac:dyDescent="0.2">
      <c r="C196" s="87" t="s">
        <v>149</v>
      </c>
      <c r="D196" s="60">
        <f t="shared" ref="D196:V196" si="59">+IFERROR(IF(D157&gt;0,+((D157/D40)*100)," "),"")</f>
        <v>75.755486168337981</v>
      </c>
      <c r="E196" s="60">
        <f t="shared" si="59"/>
        <v>83.26061861660078</v>
      </c>
      <c r="F196" s="60">
        <f t="shared" si="59"/>
        <v>87.917278677386903</v>
      </c>
      <c r="G196" s="60">
        <f t="shared" si="59"/>
        <v>89.902468378735051</v>
      </c>
      <c r="H196" s="60">
        <f t="shared" si="59"/>
        <v>90.042910928175729</v>
      </c>
      <c r="I196" s="60">
        <f t="shared" si="59"/>
        <v>86.42148663640927</v>
      </c>
      <c r="J196" s="60">
        <f t="shared" si="59"/>
        <v>67.790865185200701</v>
      </c>
      <c r="K196" s="60">
        <f t="shared" si="59"/>
        <v>95.063533800782409</v>
      </c>
      <c r="L196" s="60">
        <f t="shared" si="59"/>
        <v>92.067951963293069</v>
      </c>
      <c r="M196" s="60">
        <f t="shared" si="59"/>
        <v>31.145675758440404</v>
      </c>
      <c r="N196" s="60">
        <f t="shared" si="59"/>
        <v>79.277878541012399</v>
      </c>
      <c r="O196" s="60">
        <f t="shared" si="59"/>
        <v>90.44176518242574</v>
      </c>
      <c r="P196" s="60">
        <f t="shared" si="59"/>
        <v>77.652717509345521</v>
      </c>
      <c r="Q196" s="60">
        <f t="shared" si="59"/>
        <v>58.589071892760636</v>
      </c>
      <c r="R196" s="60">
        <f t="shared" si="59"/>
        <v>49.857317436833654</v>
      </c>
      <c r="S196" s="60">
        <f t="shared" si="59"/>
        <v>82.545760018256146</v>
      </c>
      <c r="T196" s="60">
        <f t="shared" si="59"/>
        <v>93.562717896167356</v>
      </c>
      <c r="U196" s="60">
        <f t="shared" si="59"/>
        <v>95.085399528129756</v>
      </c>
      <c r="V196" s="60">
        <f t="shared" si="59"/>
        <v>90.691543500879362</v>
      </c>
    </row>
    <row r="197" spans="3:22" x14ac:dyDescent="0.2">
      <c r="C197" s="88" t="s">
        <v>150</v>
      </c>
      <c r="D197" s="62">
        <f t="shared" ref="D197:V197" si="60">+IFERROR(IF(D158&gt;0,+((D158/D41)*100)," "),"")</f>
        <v>86.957057821452651</v>
      </c>
      <c r="E197" s="62">
        <f t="shared" si="60"/>
        <v>87.400434981976957</v>
      </c>
      <c r="F197" s="62">
        <f t="shared" si="60"/>
        <v>34.670534624005882</v>
      </c>
      <c r="G197" s="62">
        <f t="shared" si="60"/>
        <v>86.146366515959286</v>
      </c>
      <c r="H197" s="62">
        <f t="shared" si="60"/>
        <v>87.773863826191601</v>
      </c>
      <c r="I197" s="62">
        <f t="shared" si="60"/>
        <v>78.578417892879969</v>
      </c>
      <c r="J197" s="62">
        <f t="shared" si="60"/>
        <v>65.091393238721736</v>
      </c>
      <c r="K197" s="62">
        <f t="shared" si="60"/>
        <v>82.000561018430616</v>
      </c>
      <c r="L197" s="62">
        <f t="shared" si="60"/>
        <v>96.011585878649825</v>
      </c>
      <c r="M197" s="62">
        <f t="shared" si="60"/>
        <v>90.272888561793849</v>
      </c>
      <c r="N197" s="62">
        <f t="shared" si="60"/>
        <v>75.480283655974276</v>
      </c>
      <c r="O197" s="62">
        <f t="shared" si="60"/>
        <v>81.318896343710804</v>
      </c>
      <c r="P197" s="62">
        <f t="shared" si="60"/>
        <v>86.133593914345354</v>
      </c>
      <c r="Q197" s="62">
        <f t="shared" si="60"/>
        <v>88.122982100836438</v>
      </c>
      <c r="R197" s="62">
        <f t="shared" si="60"/>
        <v>89.623223793899612</v>
      </c>
      <c r="S197" s="62">
        <f t="shared" si="60"/>
        <v>87.415262435793508</v>
      </c>
      <c r="T197" s="62">
        <f t="shared" si="60"/>
        <v>91.90953057360737</v>
      </c>
      <c r="U197" s="62">
        <f t="shared" si="60"/>
        <v>91.862206382640252</v>
      </c>
      <c r="V197" s="62">
        <f t="shared" si="60"/>
        <v>92.926475319178493</v>
      </c>
    </row>
    <row r="198" spans="3:22" x14ac:dyDescent="0.2">
      <c r="C198" s="87" t="s">
        <v>151</v>
      </c>
      <c r="D198" s="60">
        <f t="shared" ref="D198:V198" si="61">+IFERROR(IF(D159&gt;0,+((D159/D42)*100)," "),"")</f>
        <v>80.892808347431995</v>
      </c>
      <c r="E198" s="60">
        <f t="shared" si="61"/>
        <v>84.453621619178747</v>
      </c>
      <c r="F198" s="60">
        <f t="shared" si="61"/>
        <v>87.140406198403369</v>
      </c>
      <c r="G198" s="60">
        <f t="shared" si="61"/>
        <v>87.103591288613814</v>
      </c>
      <c r="H198" s="60">
        <f t="shared" si="61"/>
        <v>90.308554511249824</v>
      </c>
      <c r="I198" s="60">
        <f t="shared" si="61"/>
        <v>76.257676700250073</v>
      </c>
      <c r="J198" s="60">
        <f t="shared" si="61"/>
        <v>77.311712916042495</v>
      </c>
      <c r="K198" s="60">
        <f t="shared" si="61"/>
        <v>83.053409534910429</v>
      </c>
      <c r="L198" s="60">
        <f t="shared" si="61"/>
        <v>81.411518646117969</v>
      </c>
      <c r="M198" s="60">
        <f t="shared" si="61"/>
        <v>91.783631067508935</v>
      </c>
      <c r="N198" s="60">
        <f t="shared" si="61"/>
        <v>73.296600735750957</v>
      </c>
      <c r="O198" s="60">
        <f t="shared" si="61"/>
        <v>98.235080078438557</v>
      </c>
      <c r="P198" s="60">
        <f t="shared" si="61"/>
        <v>99.260628206933106</v>
      </c>
      <c r="Q198" s="60">
        <f t="shared" si="61"/>
        <v>99.654572508100074</v>
      </c>
      <c r="R198" s="60">
        <f t="shared" si="61"/>
        <v>99.619142831391358</v>
      </c>
      <c r="S198" s="60">
        <f t="shared" si="61"/>
        <v>99.066646912329929</v>
      </c>
      <c r="T198" s="60">
        <f t="shared" si="61"/>
        <v>99.895084455319179</v>
      </c>
      <c r="U198" s="60">
        <f t="shared" si="61"/>
        <v>99.934895464106205</v>
      </c>
      <c r="V198" s="60">
        <f t="shared" si="61"/>
        <v>99.690632090109304</v>
      </c>
    </row>
    <row r="199" spans="3:22" x14ac:dyDescent="0.2">
      <c r="C199" s="91" t="s">
        <v>179</v>
      </c>
      <c r="D199" s="64">
        <f t="shared" ref="D199:V199" si="62">+IFERROR(IF(D160&gt;0,+((D160/D43)*100)," "),"")</f>
        <v>94.051309074160315</v>
      </c>
      <c r="E199" s="64">
        <f t="shared" si="62"/>
        <v>94.907577082778261</v>
      </c>
      <c r="F199" s="64">
        <f t="shared" si="62"/>
        <v>93.999517285764426</v>
      </c>
      <c r="G199" s="64">
        <f t="shared" si="62"/>
        <v>93.739976043077121</v>
      </c>
      <c r="H199" s="64">
        <f t="shared" si="62"/>
        <v>93.440805797927752</v>
      </c>
      <c r="I199" s="64">
        <f t="shared" si="62"/>
        <v>94.540372470063005</v>
      </c>
      <c r="J199" s="64">
        <f t="shared" si="62"/>
        <v>95.061710012407147</v>
      </c>
      <c r="K199" s="64">
        <f t="shared" si="62"/>
        <v>95.902687494738586</v>
      </c>
      <c r="L199" s="64">
        <f t="shared" si="62"/>
        <v>96.619088386185695</v>
      </c>
      <c r="M199" s="64">
        <f t="shared" si="62"/>
        <v>93.829034090984891</v>
      </c>
      <c r="N199" s="64">
        <f t="shared" si="62"/>
        <v>91.370043709492947</v>
      </c>
      <c r="O199" s="64">
        <f t="shared" si="62"/>
        <v>98.167833618276816</v>
      </c>
      <c r="P199" s="64">
        <f t="shared" si="62"/>
        <v>97.370048114617418</v>
      </c>
      <c r="Q199" s="64">
        <f t="shared" si="62"/>
        <v>97.150172883544911</v>
      </c>
      <c r="R199" s="64">
        <f t="shared" si="62"/>
        <v>94.174839394848277</v>
      </c>
      <c r="S199" s="64">
        <f t="shared" si="62"/>
        <v>95.082502879841357</v>
      </c>
      <c r="T199" s="64">
        <f t="shared" si="62"/>
        <v>95.109222318098901</v>
      </c>
      <c r="U199" s="64">
        <f t="shared" si="62"/>
        <v>96.10514820247009</v>
      </c>
      <c r="V199" s="64">
        <f t="shared" si="62"/>
        <v>94.210779301931055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55" t="s">
        <v>192</v>
      </c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6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5.75" customHeight="1" thickBot="1" x14ac:dyDescent="0.25">
      <c r="C207" s="160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190.81191992049*Deflactores!$A$5</f>
        <v>710.52882185597423</v>
      </c>
      <c r="E208" s="56">
        <f>209.73321253941*Deflactores!$B$5</f>
        <v>725.4979926116273</v>
      </c>
      <c r="F208" s="56">
        <f>205.30808789014*Deflactores!$C$5</f>
        <v>663.78037211632716</v>
      </c>
      <c r="G208" s="56">
        <f>240.0807341775*Deflactores!$D$5</f>
        <v>728.8888012524867</v>
      </c>
      <c r="H208" s="56">
        <f>220.86262768081*Deflactores!$E$5</f>
        <v>635.6033285553732</v>
      </c>
      <c r="I208" s="56">
        <f>234.80758071328*Deflactores!$F$5</f>
        <v>644.44552490429783</v>
      </c>
      <c r="J208" s="56">
        <f>317.7859931594*Deflactores!$G$5</f>
        <v>834.80340884775899</v>
      </c>
      <c r="K208" s="56">
        <f>394.45126918492*Deflactores!$H$5</f>
        <v>980.37130483351029</v>
      </c>
      <c r="L208" s="56">
        <f>687.23236389085*Deflactores!$I$5</f>
        <v>1586.3115703108826</v>
      </c>
      <c r="M208" s="56">
        <f>319.81854770821*Deflactores!$J$5</f>
        <v>723.73681590097999</v>
      </c>
      <c r="N208" s="56">
        <f>380.49384098087*Deflactores!$K$5</f>
        <v>834.57635148269242</v>
      </c>
      <c r="O208" s="56">
        <f>267.38194129043*Deflactores!$L$5</f>
        <v>565.40548329275214</v>
      </c>
      <c r="P208" s="56">
        <f>328.90855245094*Deflactores!$M$5</f>
        <v>678.94335237035386</v>
      </c>
      <c r="Q208" s="56">
        <f>1140.51579363006*Deflactores!$N$5</f>
        <v>2309.484482110583</v>
      </c>
      <c r="R208" s="56">
        <f>350.46455353008*Deflactores!$O$5</f>
        <v>684.61536150924439</v>
      </c>
      <c r="S208" s="56">
        <f>471.155924374379*Deflactores!$P$5</f>
        <v>862.02121433599871</v>
      </c>
      <c r="T208" s="56">
        <f>459.73960827667*Deflactores!$Q$5</f>
        <v>795.39863798264105</v>
      </c>
      <c r="U208" s="56">
        <f>485.80056465561*Deflactores!$R$5</f>
        <v>807.46169344365853</v>
      </c>
      <c r="V208" s="56">
        <f>532.932947303866*Deflactores!$S$5</f>
        <v>858.50130515923502</v>
      </c>
    </row>
    <row r="209" spans="3:22" x14ac:dyDescent="0.2">
      <c r="C209" s="88" t="s">
        <v>124</v>
      </c>
      <c r="D209" s="57">
        <f>77.9205900544899*Deflactores!$A$5</f>
        <v>290.15391214977132</v>
      </c>
      <c r="E209" s="57">
        <f>86.69498750176*Deflactores!$B$5</f>
        <v>299.89069752220718</v>
      </c>
      <c r="F209" s="57">
        <f>88.51588976996*Deflactores!$C$5</f>
        <v>286.18020290146387</v>
      </c>
      <c r="G209" s="57">
        <f>93.3216623667799*Deflactores!$D$5</f>
        <v>283.32600217359021</v>
      </c>
      <c r="H209" s="57">
        <f>98.6642969653599*Deflactores!$E$5</f>
        <v>283.93828425961141</v>
      </c>
      <c r="I209" s="57">
        <f>107.57368463658*Deflactores!$F$5</f>
        <v>295.24336246265563</v>
      </c>
      <c r="J209" s="57">
        <f>111.37607583569*Deflactores!$G$5</f>
        <v>292.57780321703365</v>
      </c>
      <c r="K209" s="57">
        <f>119.61262557922*Deflactores!$H$5</f>
        <v>297.28586260090827</v>
      </c>
      <c r="L209" s="57">
        <f>1042.77443049745*Deflactores!$I$5</f>
        <v>2406.9954083029334</v>
      </c>
      <c r="M209" s="57">
        <f>1250.18980882238*Deflactores!$J$5</f>
        <v>2829.1304491022706</v>
      </c>
      <c r="N209" s="57">
        <f>1349.56004971954*Deflactores!$K$5</f>
        <v>2960.1291298125425</v>
      </c>
      <c r="O209" s="57">
        <f>1088.63916073869*Deflactores!$L$5</f>
        <v>2302.0348638290984</v>
      </c>
      <c r="P209" s="57">
        <f>186.45614076496*Deflactores!$M$5</f>
        <v>384.8886152021941</v>
      </c>
      <c r="Q209" s="57">
        <f>211.32842344426*Deflactores!$N$5</f>
        <v>427.928939957951</v>
      </c>
      <c r="R209" s="57">
        <f>234.06842265035*Deflactores!$O$5</f>
        <v>457.24121363079342</v>
      </c>
      <c r="S209" s="57">
        <f>233.97042085248*Deflactores!$P$5</f>
        <v>428.06946887013828</v>
      </c>
      <c r="T209" s="57">
        <f>246.41467479507*Deflactores!$Q$5</f>
        <v>426.32371277652265</v>
      </c>
      <c r="U209" s="57">
        <f>260.13502856489*Deflactores!$R$5</f>
        <v>432.37716456325433</v>
      </c>
      <c r="V209" s="57">
        <f>276.37884380539*Deflactores!$S$5</f>
        <v>445.21848259841386</v>
      </c>
    </row>
    <row r="210" spans="3:22" x14ac:dyDescent="0.2">
      <c r="C210" s="87" t="s">
        <v>125</v>
      </c>
      <c r="D210" s="56">
        <f>6.33798051839999*Deflactores!$A$5</f>
        <v>23.600820287125472</v>
      </c>
      <c r="E210" s="56">
        <f>3.554264065*Deflactores!$B$5</f>
        <v>12.294721532883626</v>
      </c>
      <c r="F210" s="56">
        <f>3.972081537*Deflactores!$C$5</f>
        <v>12.842113468598896</v>
      </c>
      <c r="G210" s="56">
        <f>4.39576342712*Deflactores!$D$5</f>
        <v>13.345605368793043</v>
      </c>
      <c r="H210" s="56">
        <f>4.455573171*Deflactores!$E$5</f>
        <v>12.822346486805291</v>
      </c>
      <c r="I210" s="56">
        <f>4.629562808*Deflactores!$F$5</f>
        <v>12.706152947941163</v>
      </c>
      <c r="J210" s="56">
        <f>4.7170987258*Deflactores!$G$5</f>
        <v>12.391515614075704</v>
      </c>
      <c r="K210" s="56">
        <f>4.955500806*Deflactores!$H$5</f>
        <v>12.316428341885185</v>
      </c>
      <c r="L210" s="56">
        <f>5.143187316*Deflactores!$I$5</f>
        <v>11.871817999745399</v>
      </c>
      <c r="M210" s="56">
        <f>6.442328415*Deflactores!$J$5</f>
        <v>14.578736247387493</v>
      </c>
      <c r="N210" s="56">
        <f>8.76900223808*Deflactores!$K$5</f>
        <v>19.233956258357193</v>
      </c>
      <c r="O210" s="56">
        <f>9.162576116*Deflactores!$L$5</f>
        <v>19.375170784052603</v>
      </c>
      <c r="P210" s="56">
        <f>11.89081820297*Deflactores!$M$5</f>
        <v>24.545399969053936</v>
      </c>
      <c r="Q210" s="56">
        <f>15.49360572838*Deflactores!$N$5</f>
        <v>31.373736515953627</v>
      </c>
      <c r="R210" s="56">
        <f>19.91089945656*Deflactores!$O$5</f>
        <v>38.894968099126402</v>
      </c>
      <c r="S210" s="56">
        <f>19.39479378514*Deflactores!$P$5</f>
        <v>35.484481517795828</v>
      </c>
      <c r="T210" s="56">
        <f>20.15224293803*Deflactores!$Q$5</f>
        <v>34.865533220618467</v>
      </c>
      <c r="U210" s="56">
        <f>21.13743153684*Deflactores!$R$5</f>
        <v>35.133072099011862</v>
      </c>
      <c r="V210" s="56">
        <f>21.83056839667*Deflactores!$S$5</f>
        <v>35.166847078462077</v>
      </c>
    </row>
    <row r="211" spans="3:22" x14ac:dyDescent="0.2">
      <c r="C211" s="88" t="s">
        <v>126</v>
      </c>
      <c r="D211" s="57">
        <f>91.84214100567*Deflactores!$A$5</f>
        <v>341.99377204883683</v>
      </c>
      <c r="E211" s="57">
        <f>106.328685986959*Deflactores!$B$5</f>
        <v>367.80654483168973</v>
      </c>
      <c r="F211" s="57">
        <f>108.334963511579*Deflactores!$C$5</f>
        <v>350.25713371508232</v>
      </c>
      <c r="G211" s="57">
        <f>105.580068922059*Deflactores!$D$5</f>
        <v>320.54271300194449</v>
      </c>
      <c r="H211" s="57">
        <f>104.20152409346*Deflactores!$E$5</f>
        <v>299.87343829877227</v>
      </c>
      <c r="I211" s="57">
        <f>119.12197498223*Deflactores!$F$5</f>
        <v>326.93843811115977</v>
      </c>
      <c r="J211" s="57">
        <f>152.31987986323*Deflactores!$G$5</f>
        <v>400.13454866566155</v>
      </c>
      <c r="K211" s="57">
        <f>170.588728237069*Deflactores!$H$5</f>
        <v>423.98214217245078</v>
      </c>
      <c r="L211" s="57">
        <f>151.494195207539*Deflactores!$I$5</f>
        <v>349.68812197969049</v>
      </c>
      <c r="M211" s="57">
        <f>180.295183787739*Deflactores!$J$5</f>
        <v>408.00092168472605</v>
      </c>
      <c r="N211" s="57">
        <f>130.76485644268*Deflactores!$K$5</f>
        <v>286.82003501227973</v>
      </c>
      <c r="O211" s="57">
        <f>247.571045715879*Deflactores!$L$5</f>
        <v>523.51339090710917</v>
      </c>
      <c r="P211" s="57">
        <f>321.859467761919*Deflactores!$M$5</f>
        <v>664.39241061392033</v>
      </c>
      <c r="Q211" s="57">
        <f>424.311254813609*Deflactores!$N$5</f>
        <v>859.20796892949897</v>
      </c>
      <c r="R211" s="57">
        <f>375.688677383497*Deflactores!$O$5</f>
        <v>733.88945355855299</v>
      </c>
      <c r="S211" s="57">
        <f>353.804253219889*Deflactores!$P$5</f>
        <v>647.31600775862967</v>
      </c>
      <c r="T211" s="57">
        <f>351.65991617186*Deflactores!$Q$5</f>
        <v>608.40922409247491</v>
      </c>
      <c r="U211" s="57">
        <f>387.921177734899*Deflactores!$R$5</f>
        <v>644.77383083845041</v>
      </c>
      <c r="V211" s="57">
        <f>374.499325710399*Deflactores!$S$5</f>
        <v>603.28069699979449</v>
      </c>
    </row>
    <row r="212" spans="3:22" x14ac:dyDescent="0.2">
      <c r="C212" s="87" t="s">
        <v>127</v>
      </c>
      <c r="D212" s="56">
        <f>162.36267304875*Deflactores!$A$5</f>
        <v>604.59199217106652</v>
      </c>
      <c r="E212" s="56">
        <f>176.212293919919*Deflactores!$B$5</f>
        <v>609.54421078335008</v>
      </c>
      <c r="F212" s="56">
        <f>183.29421470424*Deflactores!$C$5</f>
        <v>592.60744812086625</v>
      </c>
      <c r="G212" s="56">
        <f>202.09252200271*Deflactores!$D$5</f>
        <v>613.5560048551871</v>
      </c>
      <c r="H212" s="56">
        <f>212.161283088139*Deflactores!$E$5</f>
        <v>610.56240767127588</v>
      </c>
      <c r="I212" s="56">
        <f>231.94569825457*Deflactores!$F$5</f>
        <v>636.59089202696396</v>
      </c>
      <c r="J212" s="56">
        <f>242.99062646452*Deflactores!$G$5</f>
        <v>638.32078083090801</v>
      </c>
      <c r="K212" s="56">
        <f>268.66944381075*Deflactores!$H$5</f>
        <v>667.75247989925379</v>
      </c>
      <c r="L212" s="56">
        <f>289.04270815675*Deflactores!$I$5</f>
        <v>667.18597137527649</v>
      </c>
      <c r="M212" s="56">
        <f>316.38868377417*Deflactores!$J$5</f>
        <v>715.97516849064743</v>
      </c>
      <c r="N212" s="56">
        <f>328.81422351707*Deflactores!$K$5</f>
        <v>721.22212089180118</v>
      </c>
      <c r="O212" s="56">
        <f>345.454967359439*Deflactores!$L$5</f>
        <v>730.49859625181955</v>
      </c>
      <c r="P212" s="56">
        <f>367.166575577604*Deflactores!$M$5</f>
        <v>757.91676392539148</v>
      </c>
      <c r="Q212" s="56">
        <f>382.795632382603*Deflactores!$N$5</f>
        <v>775.14101755094566</v>
      </c>
      <c r="R212" s="56">
        <f>396.431686182995*Deflactores!$O$5</f>
        <v>774.40990655449036</v>
      </c>
      <c r="S212" s="56">
        <f>406.117934026556*Deflactores!$P$5</f>
        <v>743.02848917383983</v>
      </c>
      <c r="T212" s="56">
        <f>433.734510099165*Deflactores!$Q$5</f>
        <v>750.40703991579687</v>
      </c>
      <c r="U212" s="56">
        <f>469.19364448913*Deflactores!$R$5</f>
        <v>779.85890156544053</v>
      </c>
      <c r="V212" s="56">
        <f>494.88406861495*Deflactores!$S$5</f>
        <v>797.20839358464832</v>
      </c>
    </row>
    <row r="213" spans="3:22" x14ac:dyDescent="0.2">
      <c r="C213" s="88" t="s">
        <v>128</v>
      </c>
      <c r="D213" s="57">
        <f>32.86034452761*Deflactores!$A$5</f>
        <v>122.36249125690463</v>
      </c>
      <c r="E213" s="57">
        <f>38.2875147046499*Deflactores!$B$5</f>
        <v>132.44213791409942</v>
      </c>
      <c r="F213" s="57">
        <f>37.19979481571*Deflactores!$C$5</f>
        <v>120.27043795096817</v>
      </c>
      <c r="G213" s="57">
        <f>44.18954541571*Deflactores!$D$5</f>
        <v>134.16013948930927</v>
      </c>
      <c r="H213" s="57">
        <f>47.95293273514*Deflactores!$E$5</f>
        <v>138.00000471105108</v>
      </c>
      <c r="I213" s="57">
        <f>60.60692285921*Deflactores!$F$5</f>
        <v>166.33986047720853</v>
      </c>
      <c r="J213" s="57">
        <f>66.81997903808*Deflactores!$G$5</f>
        <v>175.53179649470965</v>
      </c>
      <c r="K213" s="57">
        <f>75.80015068328*Deflactores!$H$5</f>
        <v>188.39410197741324</v>
      </c>
      <c r="L213" s="57">
        <f>91.07809049364*Deflactores!$I$5</f>
        <v>210.23199188976142</v>
      </c>
      <c r="M213" s="57">
        <f>91.79113710796*Deflactores!$J$5</f>
        <v>207.71973912862552</v>
      </c>
      <c r="N213" s="57">
        <f>101.32260183592*Deflactores!$K$5</f>
        <v>222.2413039458558</v>
      </c>
      <c r="O213" s="57">
        <f>110.415107144769*Deflactores!$L$5</f>
        <v>233.48363287630735</v>
      </c>
      <c r="P213" s="57">
        <f>135.706278626989*Deflactores!$M$5</f>
        <v>280.12915767052402</v>
      </c>
      <c r="Q213" s="57">
        <f>195.719251468519*Deflactores!$N$5</f>
        <v>396.32118787077366</v>
      </c>
      <c r="R213" s="57">
        <f>186.19187554746*Deflactores!$O$5</f>
        <v>363.71672086109544</v>
      </c>
      <c r="S213" s="57">
        <f>211.31479571114*Deflactores!$P$5</f>
        <v>386.61900950934097</v>
      </c>
      <c r="T213" s="57">
        <f>196.188194422519*Deflactores!$Q$5</f>
        <v>339.42653585339127</v>
      </c>
      <c r="U213" s="57">
        <f>194.207832147579*Deflactores!$R$5</f>
        <v>322.79786487501161</v>
      </c>
      <c r="V213" s="57">
        <f>248.073415535839*Deflactores!$S$5</f>
        <v>399.62128836331021</v>
      </c>
    </row>
    <row r="214" spans="3:22" x14ac:dyDescent="0.2">
      <c r="C214" s="87" t="s">
        <v>129</v>
      </c>
      <c r="D214" s="56">
        <f>4824.80088900603*Deflactores!$A$5</f>
        <v>17966.173668728883</v>
      </c>
      <c r="E214" s="56">
        <f>5714.30374510999*Deflactores!$B$5</f>
        <v>19766.616102689979</v>
      </c>
      <c r="F214" s="56">
        <f>6231.34185930912*Deflactores!$C$5</f>
        <v>20146.514736280384</v>
      </c>
      <c r="G214" s="56">
        <f>7134.45738836671*Deflactores!$D$5</f>
        <v>21660.322354516171</v>
      </c>
      <c r="H214" s="56">
        <f>7987.73038966481*Deflactores!$E$5</f>
        <v>22987.266232344056</v>
      </c>
      <c r="I214" s="56">
        <f>8961.93128999678*Deflactores!$F$5</f>
        <v>24596.635665654143</v>
      </c>
      <c r="J214" s="56">
        <f>10164.5337503961*Deflactores!$G$5</f>
        <v>26701.577812847558</v>
      </c>
      <c r="K214" s="56">
        <f>11939.2889092015*Deflactores!$H$5</f>
        <v>29673.972835439959</v>
      </c>
      <c r="L214" s="56">
        <f>13530.2768215586*Deflactores!$I$5</f>
        <v>31231.408471555147</v>
      </c>
      <c r="M214" s="56">
        <f>15054.9943211553*Deflactores!$J$5</f>
        <v>34068.8610197218</v>
      </c>
      <c r="N214" s="56">
        <f>16317.1720566695*Deflactores!$K$5</f>
        <v>35790.134963722674</v>
      </c>
      <c r="O214" s="56">
        <f>17690.7538679215*Deflactores!$L$5</f>
        <v>37408.843664728389</v>
      </c>
      <c r="P214" s="56">
        <f>19275.0694648838*Deflactores!$M$5</f>
        <v>39788.203079978157</v>
      </c>
      <c r="Q214" s="56">
        <f>20802.0685359096*Deflactores!$N$5</f>
        <v>42123.094434821171</v>
      </c>
      <c r="R214" s="56">
        <f>21770.3360362536*Deflactores!$O$5</f>
        <v>42527.286498770743</v>
      </c>
      <c r="S214" s="56">
        <f>22543.5187651304*Deflactores!$P$5</f>
        <v>41245.350882784798</v>
      </c>
      <c r="T214" s="56">
        <f>24171.8287510089*Deflactores!$Q$5</f>
        <v>41819.846104127326</v>
      </c>
      <c r="U214" s="56">
        <f>25480.5799513828*Deflactores!$R$5</f>
        <v>42351.931501058818</v>
      </c>
      <c r="V214" s="56">
        <f>27507.5468583789*Deflactores!$S$5</f>
        <v>44311.88763824397</v>
      </c>
    </row>
    <row r="215" spans="3:22" x14ac:dyDescent="0.2">
      <c r="C215" s="88" t="s">
        <v>130</v>
      </c>
      <c r="D215" s="57">
        <f>5.234617253*Deflactores!$A$5</f>
        <v>19.492212180407133</v>
      </c>
      <c r="E215" s="57">
        <f>5.65264882324*Deflactores!$B$5</f>
        <v>19.553342670648789</v>
      </c>
      <c r="F215" s="57">
        <f>4.61849465302*Deflactores!$C$5</f>
        <v>14.932027914259839</v>
      </c>
      <c r="G215" s="57">
        <f>4.95865452890999*Deflactores!$D$5</f>
        <v>15.054551410735996</v>
      </c>
      <c r="H215" s="57">
        <f>6.08440611472999*Deflactores!$E$5</f>
        <v>17.509837763924519</v>
      </c>
      <c r="I215" s="57">
        <f>6.203210653*Deflactores!$F$5</f>
        <v>17.025137490113512</v>
      </c>
      <c r="J215" s="57">
        <f>5.257346271*Deflactores!$G$5</f>
        <v>13.810711242777863</v>
      </c>
      <c r="K215" s="57">
        <f>5.975413728*Deflactores!$H$5</f>
        <v>14.851325400839622</v>
      </c>
      <c r="L215" s="57">
        <f>6.276086411*Deflactores!$I$5</f>
        <v>14.48684464403577</v>
      </c>
      <c r="M215" s="57">
        <f>6.8499299144*Deflactores!$J$5</f>
        <v>15.501122436200294</v>
      </c>
      <c r="N215" s="57">
        <f>9.505003788*Deflactores!$K$5</f>
        <v>20.84830430308342</v>
      </c>
      <c r="O215" s="57">
        <f>8.42833242*Deflactores!$L$5</f>
        <v>17.822540079869757</v>
      </c>
      <c r="P215" s="57">
        <f>15.06537560569*Deflactores!$M$5</f>
        <v>31.098420950824643</v>
      </c>
      <c r="Q215" s="57">
        <f>21.74828914771*Deflactores!$N$5</f>
        <v>44.039141395162545</v>
      </c>
      <c r="R215" s="57">
        <f>23.99024368324*Deflactores!$O$5</f>
        <v>46.863767495067243</v>
      </c>
      <c r="S215" s="57">
        <f>27.1787077522399*Deflactores!$P$5</f>
        <v>49.725836922837352</v>
      </c>
      <c r="T215" s="57">
        <f>57.40816521729*Deflactores!$Q$5</f>
        <v>99.322258950191227</v>
      </c>
      <c r="U215" s="57">
        <f>54.23050693398*Deflactores!$R$5</f>
        <v>90.13792932962555</v>
      </c>
      <c r="V215" s="57">
        <f>36.46642153386*Deflactores!$S$5</f>
        <v>58.743732470823247</v>
      </c>
    </row>
    <row r="216" spans="3:22" x14ac:dyDescent="0.2">
      <c r="C216" s="87" t="s">
        <v>131</v>
      </c>
      <c r="D216" s="56">
        <f>4476.10492947814*Deflactores!$A$5</f>
        <v>16667.730000154457</v>
      </c>
      <c r="E216" s="56">
        <f>7198.47927485531*Deflactores!$B$5</f>
        <v>24900.597289914669</v>
      </c>
      <c r="F216" s="56">
        <f>8041.73101258467*Deflactores!$C$5</f>
        <v>25999.673265912374</v>
      </c>
      <c r="G216" s="56">
        <f>9420.98033797129*Deflactores!$D$5</f>
        <v>28602.241194790091</v>
      </c>
      <c r="H216" s="56">
        <f>10801.9562632341*Deflactores!$E$5</f>
        <v>31086.107359654932</v>
      </c>
      <c r="I216" s="56">
        <f>11866.4841818878*Deflactores!$F$5</f>
        <v>32568.380476196107</v>
      </c>
      <c r="J216" s="56">
        <f>12701.5744866034*Deflactores!$G$5</f>
        <v>33366.221002168801</v>
      </c>
      <c r="K216" s="56">
        <f>13574.4027946816*Deflactores!$H$5</f>
        <v>33737.893676085085</v>
      </c>
      <c r="L216" s="56">
        <f>14996.1483184049*Deflactores!$I$5</f>
        <v>34615.022279948978</v>
      </c>
      <c r="M216" s="56">
        <f>17545.867864041*Deflactores!$J$5</f>
        <v>39705.610043999266</v>
      </c>
      <c r="N216" s="56">
        <f>19122.8327912726*Deflactores!$K$5</f>
        <v>41944.079777512794</v>
      </c>
      <c r="O216" s="56">
        <f>20547.6032308361*Deflactores!$L$5</f>
        <v>43449.933376837274</v>
      </c>
      <c r="P216" s="56">
        <f>21501.8562934668*Deflactores!$M$5</f>
        <v>44384.806309496795</v>
      </c>
      <c r="Q216" s="56">
        <f>23458.484202917*Deflactores!$N$5</f>
        <v>47502.196412411999</v>
      </c>
      <c r="R216" s="56">
        <f>24460.6249382057*Deflactores!$O$5</f>
        <v>47782.634266818743</v>
      </c>
      <c r="S216" s="56">
        <f>26483.4074902814*Deflactores!$P$5</f>
        <v>48453.723923436002</v>
      </c>
      <c r="T216" s="56">
        <f>28740.369286571*Deflactores!$Q$5</f>
        <v>49723.909304546127</v>
      </c>
      <c r="U216" s="56">
        <f>32282.5909599334*Deflactores!$R$5</f>
        <v>53657.730068173041</v>
      </c>
      <c r="V216" s="56">
        <f>34654.8563010278*Deflactores!$S$5</f>
        <v>55825.483327782778</v>
      </c>
    </row>
    <row r="217" spans="3:22" x14ac:dyDescent="0.2">
      <c r="C217" s="88" t="s">
        <v>132</v>
      </c>
      <c r="D217" s="57">
        <f>6.87251134135*Deflactores!$A$5</f>
        <v>25.591259647699147</v>
      </c>
      <c r="E217" s="57">
        <f>7.22846594450999*Deflactores!$B$5</f>
        <v>25.004325585381896</v>
      </c>
      <c r="F217" s="57">
        <f>6.78687900776*Deflactores!$C$5</f>
        <v>21.942618625380398</v>
      </c>
      <c r="G217" s="57">
        <f>6.93880014991*Deflactores!$D$5</f>
        <v>21.066303969477222</v>
      </c>
      <c r="H217" s="57">
        <f>6.48204996417*Deflactores!$E$5</f>
        <v>18.654185981355429</v>
      </c>
      <c r="I217" s="57">
        <f>7.36623687984*Deflactores!$F$5</f>
        <v>20.217142811903269</v>
      </c>
      <c r="J217" s="57">
        <f>8.60732535857*Deflactores!$G$5</f>
        <v>22.610891307571947</v>
      </c>
      <c r="K217" s="57">
        <f>8.89000961652*Deflactores!$H$5</f>
        <v>22.095277689788109</v>
      </c>
      <c r="L217" s="57">
        <f>9.63536955518999*Deflactores!$I$5</f>
        <v>22.240946458171614</v>
      </c>
      <c r="M217" s="57">
        <f>10.12018617203*Deflactores!$J$5</f>
        <v>22.901583941756162</v>
      </c>
      <c r="N217" s="57">
        <f>10.37091172891*Deflactores!$K$5</f>
        <v>22.747589422079319</v>
      </c>
      <c r="O217" s="57">
        <f>11.61682207942*Deflactores!$L$5</f>
        <v>24.564915904346698</v>
      </c>
      <c r="P217" s="57">
        <f>14.77261144907*Deflactores!$M$5</f>
        <v>30.494087994237535</v>
      </c>
      <c r="Q217" s="57">
        <f>16.29143286218*Deflactores!$N$5</f>
        <v>32.989294489993853</v>
      </c>
      <c r="R217" s="57">
        <f>19.01014406669*Deflactores!$O$5</f>
        <v>37.135386507619401</v>
      </c>
      <c r="S217" s="57">
        <f>19.13849300468*Deflactores!$P$5</f>
        <v>35.015556691474771</v>
      </c>
      <c r="T217" s="57">
        <f>20.7659230249*Deflactores!$Q$5</f>
        <v>35.927265332591986</v>
      </c>
      <c r="U217" s="57">
        <f>23.03634999217*Deflactores!$R$5</f>
        <v>38.28931361704953</v>
      </c>
      <c r="V217" s="57">
        <f>24.61812143194*Deflactores!$S$5</f>
        <v>39.657314277172134</v>
      </c>
    </row>
    <row r="218" spans="3:22" x14ac:dyDescent="0.2">
      <c r="C218" s="87" t="s">
        <v>133</v>
      </c>
      <c r="D218" s="56">
        <f>553.74942161969*Deflactores!$A$5</f>
        <v>2062.0039057875179</v>
      </c>
      <c r="E218" s="56">
        <f>607.95180908918*Deflactores!$B$5</f>
        <v>2102.9946175831751</v>
      </c>
      <c r="F218" s="56">
        <f>627.33802273342*Deflactores!$C$5</f>
        <v>2028.242873683248</v>
      </c>
      <c r="G218" s="56">
        <f>652.199049671869*Deflactores!$D$5</f>
        <v>1980.0863452119997</v>
      </c>
      <c r="H218" s="56">
        <f>704.10252096554*Deflactores!$E$5</f>
        <v>2026.281723935185</v>
      </c>
      <c r="I218" s="56">
        <f>798.230295894449*Deflactores!$F$5</f>
        <v>2190.7978459194496</v>
      </c>
      <c r="J218" s="56">
        <f>869.46156812799*Deflactores!$G$5</f>
        <v>2284.0197383126679</v>
      </c>
      <c r="K218" s="56">
        <f>976.90331371477*Deflactores!$H$5</f>
        <v>2428.0007473210667</v>
      </c>
      <c r="L218" s="56">
        <f>1131.86290591627*Deflactores!$I$5</f>
        <v>2612.6348495802886</v>
      </c>
      <c r="M218" s="56">
        <f>1305.7618257428*Deflactores!$J$5</f>
        <v>2954.8877413774985</v>
      </c>
      <c r="N218" s="56">
        <f>1372.32797883925*Deflactores!$K$5</f>
        <v>3010.0683749960126</v>
      </c>
      <c r="O218" s="56">
        <f>1453.93112152833*Deflactores!$L$5</f>
        <v>3074.4807389560283</v>
      </c>
      <c r="P218" s="56">
        <f>1712.52093976825*Deflactores!$M$5</f>
        <v>3535.0394484622389</v>
      </c>
      <c r="Q218" s="56">
        <f>1962.06801553851*Deflactores!$N$5</f>
        <v>3973.0845114464919</v>
      </c>
      <c r="R218" s="56">
        <f>2247.52245109335*Deflactores!$O$5</f>
        <v>4390.4251652752455</v>
      </c>
      <c r="S218" s="56">
        <f>2492.64277529107*Deflactores!$P$5</f>
        <v>4560.5092516143404</v>
      </c>
      <c r="T218" s="56">
        <f>2816.66772660883*Deflactores!$Q$5</f>
        <v>4873.1360819494039</v>
      </c>
      <c r="U218" s="56">
        <f>3026.39295027115*Deflactores!$R$5</f>
        <v>5030.2460607147686</v>
      </c>
      <c r="V218" s="56">
        <f>3348.31757700366*Deflactores!$S$5</f>
        <v>5393.8023995094763</v>
      </c>
    </row>
    <row r="219" spans="3:22" x14ac:dyDescent="0.2">
      <c r="C219" s="88" t="s">
        <v>134</v>
      </c>
      <c r="D219" s="57">
        <f>4417.7572673885*Deflactores!$A$5</f>
        <v>16450.460053812123</v>
      </c>
      <c r="E219" s="57">
        <f>4413.44607310971*Deflactores!$B$5</f>
        <v>15266.758315348365</v>
      </c>
      <c r="F219" s="57">
        <f>4229.92385188695*Deflactores!$C$5</f>
        <v>13675.7419412121</v>
      </c>
      <c r="G219" s="57">
        <f>3371.35675277266*Deflactores!$D$5</f>
        <v>10235.490950748845</v>
      </c>
      <c r="H219" s="57">
        <f>4074.33725341507*Deflactores!$E$5</f>
        <v>11725.217376614515</v>
      </c>
      <c r="I219" s="57">
        <f>4977.45054065022*Deflactores!$F$5</f>
        <v>13660.954712835193</v>
      </c>
      <c r="J219" s="57">
        <f>5053.70222477071*Deflactores!$G$5</f>
        <v>13275.751403001383</v>
      </c>
      <c r="K219" s="57">
        <f>5355.73855425348*Deflactores!$H$5</f>
        <v>13311.181392901333</v>
      </c>
      <c r="L219" s="57">
        <f>5399.38220326598*Deflactores!$I$5</f>
        <v>12463.182631678048</v>
      </c>
      <c r="M219" s="57">
        <f>5209.23165346287*Deflactores!$J$5</f>
        <v>11788.286693139256</v>
      </c>
      <c r="N219" s="57">
        <f>6039.2340233981*Deflactores!$K$5</f>
        <v>13246.474329268138</v>
      </c>
      <c r="O219" s="57">
        <f>5812.20255904915*Deflactores!$L$5</f>
        <v>12290.47549372466</v>
      </c>
      <c r="P219" s="57">
        <f>6388.49088336853*Deflactores!$M$5</f>
        <v>13187.323298893672</v>
      </c>
      <c r="Q219" s="57">
        <f>6539.75394529706*Deflactores!$N$5</f>
        <v>13242.657697368119</v>
      </c>
      <c r="R219" s="57">
        <f>9854.95457508648*Deflactores!$O$5</f>
        <v>19251.171683760414</v>
      </c>
      <c r="S219" s="57">
        <f>13074.0888148323*Deflactores!$P$5</f>
        <v>23920.195700528253</v>
      </c>
      <c r="T219" s="57">
        <f>14947.8174652382*Deflactores!$Q$5</f>
        <v>25861.321144878486</v>
      </c>
      <c r="U219" s="57">
        <f>17914.0617139759*Deflactores!$R$5</f>
        <v>29775.425679621323</v>
      </c>
      <c r="V219" s="57">
        <f>9794.84955875815*Deflactores!$S$5</f>
        <v>15778.516176515683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18.5810739091699*Deflactores!$A$5</f>
        <v>69.190585991706456</v>
      </c>
      <c r="E221" s="57">
        <f>16.99300950684*Deflactores!$B$5</f>
        <v>58.781316208209738</v>
      </c>
      <c r="F221" s="57">
        <f>18.30890684736*Deflactores!$C$5</f>
        <v>59.194419104847391</v>
      </c>
      <c r="G221" s="57">
        <f>15.71869685459*Deflactores!$D$5</f>
        <v>47.722205394134818</v>
      </c>
      <c r="H221" s="57">
        <f>14.6124878024599*Deflactores!$E$5</f>
        <v>42.05213884868256</v>
      </c>
      <c r="I221" s="57">
        <f>16.44318570099*Deflactores!$F$5</f>
        <v>45.129451987808103</v>
      </c>
      <c r="J221" s="57">
        <f>18.88601739115*Deflactores!$G$5</f>
        <v>49.612355601154107</v>
      </c>
      <c r="K221" s="57">
        <f>51.84993916825*Deflactores!$H$5</f>
        <v>128.86811753186447</v>
      </c>
      <c r="L221" s="57">
        <f>35.19959872022*Deflactores!$I$5</f>
        <v>81.249856168085756</v>
      </c>
      <c r="M221" s="57">
        <f>238.71762310307*Deflactores!$J$5</f>
        <v>540.20860791880511</v>
      </c>
      <c r="N221" s="57">
        <f>354.02051908218*Deflactores!$K$5</f>
        <v>776.50968647471291</v>
      </c>
      <c r="O221" s="57">
        <f>555.83789596437*Deflactores!$L$5</f>
        <v>1175.374046143218</v>
      </c>
      <c r="P221" s="57">
        <f>917.85912240266*Deflactores!$M$5</f>
        <v>1894.6735952107099</v>
      </c>
      <c r="Q221" s="57">
        <f>821.26643410165*Deflactores!$N$5</f>
        <v>1663.0213240617977</v>
      </c>
      <c r="R221" s="57">
        <f>815.387646684877*Deflactores!$O$5</f>
        <v>1592.8198811621817</v>
      </c>
      <c r="S221" s="57">
        <f>773.526945632059*Deflactores!$P$5</f>
        <v>1415.2355992992439</v>
      </c>
      <c r="T221" s="57">
        <f>696.04380378115*Deflactores!$Q$5</f>
        <v>1204.230141446958</v>
      </c>
      <c r="U221" s="57">
        <f>793.21628958906*Deflactores!$R$5</f>
        <v>1318.4253273001655</v>
      </c>
      <c r="V221" s="57">
        <f>771.0979064293*Deflactores!$S$5</f>
        <v>1242.1610681496434</v>
      </c>
    </row>
    <row r="222" spans="3:22" x14ac:dyDescent="0.2">
      <c r="C222" s="87" t="s">
        <v>137</v>
      </c>
      <c r="D222" s="56">
        <f>35.95324207099*Deflactores!$A$5</f>
        <v>133.87955396731994</v>
      </c>
      <c r="E222" s="56">
        <f>33.97478672581*Deflactores!$B$5</f>
        <v>117.52377828262037</v>
      </c>
      <c r="F222" s="56">
        <f>35.48492929766*Deflactores!$C$5</f>
        <v>114.72611632487721</v>
      </c>
      <c r="G222" s="56">
        <f>36.37505368427*Deflactores!$D$5</f>
        <v>110.4352224107252</v>
      </c>
      <c r="H222" s="56">
        <f>38.23164309257*Deflactores!$E$5</f>
        <v>110.02386352523638</v>
      </c>
      <c r="I222" s="56">
        <f>39.50337900637*Deflactores!$F$5</f>
        <v>108.41973560614996</v>
      </c>
      <c r="J222" s="56">
        <f>41.68179885531*Deflactores!$G$5</f>
        <v>109.49541049742189</v>
      </c>
      <c r="K222" s="56">
        <f>42.56360278622*Deflactores!$H$5</f>
        <v>105.78780716859464</v>
      </c>
      <c r="L222" s="56">
        <f>45.35792418*Deflactores!$I$5</f>
        <v>104.6979212746237</v>
      </c>
      <c r="M222" s="56">
        <f>49.43304919362*Deflactores!$J$5</f>
        <v>111.86504935388596</v>
      </c>
      <c r="N222" s="56">
        <f>48.633295019*Deflactores!$K$5</f>
        <v>106.6724176478301</v>
      </c>
      <c r="O222" s="56">
        <f>49.99333779172*Deflactores!$L$5</f>
        <v>105.71584295905087</v>
      </c>
      <c r="P222" s="56">
        <f>82.85712434163*Deflactores!$M$5</f>
        <v>171.03627542997549</v>
      </c>
      <c r="Q222" s="56">
        <f>109.04224274688*Deflactores!$N$5</f>
        <v>220.80480509342178</v>
      </c>
      <c r="R222" s="56">
        <f>113.954154590009*Deflactores!$O$5</f>
        <v>222.60386665159106</v>
      </c>
      <c r="S222" s="56">
        <f>113.92791632488*Deflactores!$P$5</f>
        <v>208.4411459063117</v>
      </c>
      <c r="T222" s="56">
        <f>129.80541594029*Deflactores!$Q$5</f>
        <v>224.57723716409288</v>
      </c>
      <c r="U222" s="56">
        <f>135.22303499527*Deflactores!$R$5</f>
        <v>224.75770670887576</v>
      </c>
      <c r="V222" s="56">
        <f>139.64785912901*Deflactores!$S$5</f>
        <v>224.95863678811136</v>
      </c>
    </row>
    <row r="223" spans="3:22" x14ac:dyDescent="0.2">
      <c r="C223" s="88" t="s">
        <v>138</v>
      </c>
      <c r="D223" s="57">
        <f>130.72557398484*Deflactores!$A$5</f>
        <v>486.78451591807573</v>
      </c>
      <c r="E223" s="57">
        <f>144.93533183195*Deflactores!$B$5</f>
        <v>501.35260424155052</v>
      </c>
      <c r="F223" s="57">
        <f>158.024145276669*Deflactores!$C$5</f>
        <v>510.90693519702023</v>
      </c>
      <c r="G223" s="57">
        <f>168.605080704179*Deflactores!$D$5</f>
        <v>511.88761805721458</v>
      </c>
      <c r="H223" s="57">
        <f>178.69529184586*Deflactores!$E$5</f>
        <v>514.25324187733088</v>
      </c>
      <c r="I223" s="57">
        <f>208.27327020891*Deflactores!$F$5</f>
        <v>571.62028813375764</v>
      </c>
      <c r="J223" s="57">
        <f>211.5811642222*Deflactores!$G$5</f>
        <v>555.81013934768964</v>
      </c>
      <c r="K223" s="57">
        <f>215.222254229569*Deflactores!$H$5</f>
        <v>534.91454760495549</v>
      </c>
      <c r="L223" s="57">
        <f>239.48912769375*Deflactores!$I$5</f>
        <v>552.80338090217549</v>
      </c>
      <c r="M223" s="57">
        <f>232.48545138972*Deflactores!$J$5</f>
        <v>526.10544803552273</v>
      </c>
      <c r="N223" s="57">
        <f>233.11617673579*Deflactores!$K$5</f>
        <v>511.31773316018433</v>
      </c>
      <c r="O223" s="57">
        <f>249.21480242823*Deflactores!$L$5</f>
        <v>526.9892765779108</v>
      </c>
      <c r="P223" s="57">
        <f>92.32975159442*Deflactores!$M$5</f>
        <v>190.58996977704882</v>
      </c>
      <c r="Q223" s="57">
        <f>116.74487349446*Deflactores!$N$5</f>
        <v>236.40222713905976</v>
      </c>
      <c r="R223" s="57">
        <f>76.58836630816*Deflactores!$O$5</f>
        <v>149.6116270798926</v>
      </c>
      <c r="S223" s="57">
        <f>61.06332925316*Deflactores!$P$5</f>
        <v>111.72073301233074</v>
      </c>
      <c r="T223" s="57">
        <f>79.27123751715*Deflactores!$Q$5</f>
        <v>137.14770974093423</v>
      </c>
      <c r="U223" s="57">
        <f>80.5239965851*Deflactores!$R$5</f>
        <v>133.84101908475492</v>
      </c>
      <c r="V223" s="57">
        <f>85.16624505572*Deflactores!$S$5</f>
        <v>137.19424348924369</v>
      </c>
    </row>
    <row r="224" spans="3:22" x14ac:dyDescent="0.2">
      <c r="C224" s="87" t="s">
        <v>139</v>
      </c>
      <c r="D224" s="56">
        <f>312.6081267764*Deflactores!$A$5</f>
        <v>1164.062937543908</v>
      </c>
      <c r="E224" s="56">
        <f>384.55220022066*Deflactores!$B$5</f>
        <v>1330.222552434557</v>
      </c>
      <c r="F224" s="56">
        <f>401.8284849527*Deflactores!$C$5</f>
        <v>1299.1493126737789</v>
      </c>
      <c r="G224" s="56">
        <f>439.059924378969*Deflactores!$D$5</f>
        <v>1332.9926828780353</v>
      </c>
      <c r="H224" s="56">
        <f>543.92674486251*Deflactores!$E$5</f>
        <v>1565.3243518615402</v>
      </c>
      <c r="I224" s="56">
        <f>652.74391396122*Deflactores!$F$5</f>
        <v>1791.500483003925</v>
      </c>
      <c r="J224" s="56">
        <f>711.74554852588*Deflactores!$G$5</f>
        <v>1869.7098768717317</v>
      </c>
      <c r="K224" s="56">
        <f>693.15099544349*Deflactores!$H$5</f>
        <v>1722.7612101585298</v>
      </c>
      <c r="L224" s="56">
        <f>753.09909788788*Deflactores!$I$5</f>
        <v>1738.3491746613565</v>
      </c>
      <c r="M224" s="56">
        <f>889.712921154109*Deflactores!$J$5</f>
        <v>2013.3854063070796</v>
      </c>
      <c r="N224" s="56">
        <f>1350.51347202445*Deflactores!$K$5</f>
        <v>2962.2203692044936</v>
      </c>
      <c r="O224" s="56">
        <f>1475.83703762606*Deflactores!$L$5</f>
        <v>3120.8029588428012</v>
      </c>
      <c r="P224" s="56">
        <f>1368.57142262286*Deflactores!$M$5</f>
        <v>2825.0480649098522</v>
      </c>
      <c r="Q224" s="56">
        <f>1716.96036802382*Deflactores!$N$5</f>
        <v>3476.7544197955035</v>
      </c>
      <c r="R224" s="56">
        <f>1916.67771333352*Deflactores!$O$5</f>
        <v>3744.1361541229758</v>
      </c>
      <c r="S224" s="56">
        <f>1903.90258221444*Deflactores!$P$5</f>
        <v>3483.357273024204</v>
      </c>
      <c r="T224" s="56">
        <f>1943.29826349402*Deflactores!$Q$5</f>
        <v>3362.1136055063998</v>
      </c>
      <c r="U224" s="56">
        <f>2145.39151270555*Deflactores!$R$5</f>
        <v>3565.9107666475024</v>
      </c>
      <c r="V224" s="56">
        <f>2545.44417704937*Deflactores!$S$5</f>
        <v>4100.4542114767592</v>
      </c>
    </row>
    <row r="225" spans="2:22" x14ac:dyDescent="0.2">
      <c r="C225" s="88" t="s">
        <v>140</v>
      </c>
      <c r="D225" s="57">
        <f>73.97255930735*Deflactores!$A$5</f>
        <v>275.45257883377417</v>
      </c>
      <c r="E225" s="57">
        <f>72.27647323021*Deflactores!$B$5</f>
        <v>250.01493853393526</v>
      </c>
      <c r="F225" s="57">
        <f>84.92162624563*Deflactores!$C$5</f>
        <v>274.55961062873985</v>
      </c>
      <c r="G225" s="57">
        <f>56.73694043944*Deflactores!$D$5</f>
        <v>172.25422375234004</v>
      </c>
      <c r="H225" s="57">
        <f>72.84066675056*Deflactores!$E$5</f>
        <v>209.6224731499529</v>
      </c>
      <c r="I225" s="57">
        <f>74.13168125725*Deflactores!$F$5</f>
        <v>203.45948838083928</v>
      </c>
      <c r="J225" s="57">
        <f>63.87160313778*Deflactores!$G$5</f>
        <v>167.78660222838954</v>
      </c>
      <c r="K225" s="57">
        <f>62.0302097471199*Deflactores!$H$5</f>
        <v>154.17021675336809</v>
      </c>
      <c r="L225" s="57">
        <f>54.37228109749*Deflactores!$I$5</f>
        <v>125.50540856490136</v>
      </c>
      <c r="M225" s="57">
        <f>43.7081252553399*Deflactores!$J$5</f>
        <v>98.909771268681354</v>
      </c>
      <c r="N225" s="57">
        <f>55.52031812993*Deflactores!$K$5</f>
        <v>121.77843514782406</v>
      </c>
      <c r="O225" s="57">
        <f>45.4609497573999*Deflactores!$L$5</f>
        <v>96.131661489474695</v>
      </c>
      <c r="P225" s="57">
        <f>58.8309974194299*Deflactores!$M$5</f>
        <v>121.44079049813475</v>
      </c>
      <c r="Q225" s="57">
        <f>84.9235795872899*Deflactores!$N$5</f>
        <v>171.96578102428811</v>
      </c>
      <c r="R225" s="57">
        <f>102.356255258739*Deflactores!$O$5</f>
        <v>199.94793764693711</v>
      </c>
      <c r="S225" s="57">
        <f>102.46995141674*Deflactores!$P$5</f>
        <v>187.47779107415246</v>
      </c>
      <c r="T225" s="57">
        <f>123.140257048039*Deflactores!$Q$5</f>
        <v>213.04580021719417</v>
      </c>
      <c r="U225" s="57">
        <f>149.07096558529*Deflactores!$R$5</f>
        <v>247.77471059571684</v>
      </c>
      <c r="V225" s="57">
        <f>167.10609145485*Deflactores!$S$5</f>
        <v>269.19108368101928</v>
      </c>
    </row>
    <row r="226" spans="2:22" x14ac:dyDescent="0.2">
      <c r="C226" s="87" t="s">
        <v>141</v>
      </c>
      <c r="D226" s="56">
        <f>327.3265947114*Deflactores!$A$5</f>
        <v>1218.8702875550509</v>
      </c>
      <c r="E226" s="56">
        <f>319.68330121126*Deflactores!$B$5</f>
        <v>1105.8315013252684</v>
      </c>
      <c r="F226" s="56">
        <f>340.02209714601*Deflactores!$C$5</f>
        <v>1099.3234435660622</v>
      </c>
      <c r="G226" s="56">
        <f>347.72853745346*Deflactores!$D$5</f>
        <v>1055.709187553319</v>
      </c>
      <c r="H226" s="56">
        <f>370.59715404499*Deflactores!$E$5</f>
        <v>1066.5126424401878</v>
      </c>
      <c r="I226" s="56">
        <f>423.874480165119*Deflactores!$F$5</f>
        <v>1163.3526099700459</v>
      </c>
      <c r="J226" s="56">
        <f>468.69624723294*Deflactores!$G$5</f>
        <v>1231.2349610322551</v>
      </c>
      <c r="K226" s="56">
        <f>532.33202201124*Deflactores!$H$5</f>
        <v>1323.0608690959994</v>
      </c>
      <c r="L226" s="56">
        <f>613.071352639099*Deflactores!$I$5</f>
        <v>1415.1286103749435</v>
      </c>
      <c r="M226" s="56">
        <f>681.31751643049*Deflactores!$J$5</f>
        <v>1541.7947879897406</v>
      </c>
      <c r="N226" s="56">
        <f>761.06222607424*Deflactores!$K$5</f>
        <v>1669.3162082491349</v>
      </c>
      <c r="O226" s="56">
        <f>811.83734283705*Deflactores!$L$5</f>
        <v>1716.7101224809412</v>
      </c>
      <c r="P226" s="56">
        <f>925.892537831999*Deflactores!$M$5</f>
        <v>1911.2564233613787</v>
      </c>
      <c r="Q226" s="56">
        <f>1030.08200631091*Deflactores!$N$5</f>
        <v>2085.8618724643684</v>
      </c>
      <c r="R226" s="56">
        <f>1173.51884326684*Deflactores!$O$5</f>
        <v>2292.4116548410993</v>
      </c>
      <c r="S226" s="56">
        <f>1237.24905452442*Deflactores!$P$5</f>
        <v>2263.6559942091303</v>
      </c>
      <c r="T226" s="56">
        <f>1361.48009016172*Deflactores!$Q$5</f>
        <v>2355.5060078778715</v>
      </c>
      <c r="U226" s="56">
        <f>1417.12892165939*Deflactores!$R$5</f>
        <v>2355.4466630195643</v>
      </c>
      <c r="V226" s="56">
        <f>1529.79479867709*Deflactores!$S$5</f>
        <v>2464.3453513885684</v>
      </c>
    </row>
    <row r="227" spans="2:22" x14ac:dyDescent="0.2">
      <c r="C227" s="88" t="s">
        <v>142</v>
      </c>
      <c r="D227" s="57">
        <f>17.0953122067999*Deflactores!$A$5</f>
        <v>63.658035863896956</v>
      </c>
      <c r="E227" s="57">
        <f>19.76909328135*Deflactores!$B$5</f>
        <v>68.384197799270396</v>
      </c>
      <c r="F227" s="57">
        <f>23.0353911629499*Deflactores!$C$5</f>
        <v>74.475587762377515</v>
      </c>
      <c r="G227" s="57">
        <f>22.99900057732*Deflactores!$D$5</f>
        <v>69.82531946280217</v>
      </c>
      <c r="H227" s="57">
        <f>21.6239209703199*Deflactores!$E$5</f>
        <v>62.229795459179236</v>
      </c>
      <c r="I227" s="57">
        <f>20.34276746716*Deflactores!$F$5</f>
        <v>55.832121852948973</v>
      </c>
      <c r="J227" s="57">
        <f>21.4478856333199*Deflactores!$G$5</f>
        <v>56.342219055235006</v>
      </c>
      <c r="K227" s="57">
        <f>23.95852548049*Deflactores!$H$5</f>
        <v>59.546648019995381</v>
      </c>
      <c r="L227" s="57">
        <f>26.4434710502799*Deflactores!$I$5</f>
        <v>61.038429343968176</v>
      </c>
      <c r="M227" s="57">
        <f>28.25190809362*Deflactores!$J$5</f>
        <v>63.932958714635468</v>
      </c>
      <c r="N227" s="57">
        <f>29.88439057908*Deflactores!$K$5</f>
        <v>65.548513456821695</v>
      </c>
      <c r="O227" s="57">
        <f>29.19266501349*Deflactores!$L$5</f>
        <v>61.73076906726196</v>
      </c>
      <c r="P227" s="57">
        <f>42.89552286756*Deflactores!$M$5</f>
        <v>88.546284006173522</v>
      </c>
      <c r="Q227" s="57">
        <f>66.33024663686*Deflactores!$N$5</f>
        <v>134.31525995341406</v>
      </c>
      <c r="R227" s="57">
        <f>72.92351198066*Deflactores!$O$5</f>
        <v>142.45251342623521</v>
      </c>
      <c r="S227" s="57">
        <f>69.2075648100899*Deflactores!$P$5</f>
        <v>126.62132846583218</v>
      </c>
      <c r="T227" s="57">
        <f>68.83007430544*Deflactores!$Q$5</f>
        <v>119.08338191701802</v>
      </c>
      <c r="U227" s="57">
        <f>70.70133468932*Deflactores!$R$5</f>
        <v>117.51451848854073</v>
      </c>
      <c r="V227" s="57">
        <f>74.232908911838*Deflactores!$S$5</f>
        <v>119.58174008379089</v>
      </c>
    </row>
    <row r="228" spans="2:22" x14ac:dyDescent="0.2">
      <c r="C228" s="87" t="s">
        <v>143</v>
      </c>
      <c r="D228" s="56">
        <f>40.77466491261*Deflactores!$A$5</f>
        <v>151.83314875716971</v>
      </c>
      <c r="E228" s="56">
        <f>48.7188006844499*Deflactores!$B$5</f>
        <v>168.52548850541632</v>
      </c>
      <c r="F228" s="56">
        <f>44.26091933012*Deflactores!$C$5</f>
        <v>143.0997181118297</v>
      </c>
      <c r="G228" s="56">
        <f>42.17268777616*Deflactores!$D$5</f>
        <v>128.03692867764266</v>
      </c>
      <c r="H228" s="56">
        <f>70.79457489002*Deflactores!$E$5</f>
        <v>203.73418498302604</v>
      </c>
      <c r="I228" s="56">
        <f>83.1010246837999*Deflactores!$F$5</f>
        <v>228.07646716410969</v>
      </c>
      <c r="J228" s="56">
        <f>152.87978478614*Deflactores!$G$5</f>
        <v>401.60538296401734</v>
      </c>
      <c r="K228" s="56">
        <f>207.68690929004*Deflactores!$H$5</f>
        <v>516.18616078545881</v>
      </c>
      <c r="L228" s="56">
        <f>229.72081069987*Deflactores!$I$5</f>
        <v>530.25555707425497</v>
      </c>
      <c r="M228" s="56">
        <f>241.66311817121*Deflactores!$J$5</f>
        <v>546.87414760417892</v>
      </c>
      <c r="N228" s="56">
        <f>232.685649338499*Deflactores!$K$5</f>
        <v>510.37341305366647</v>
      </c>
      <c r="O228" s="56">
        <f>201.756110405469*Deflactores!$L$5</f>
        <v>426.63319205676265</v>
      </c>
      <c r="P228" s="56">
        <f>251.16504944744*Deflactores!$M$5</f>
        <v>518.46277452924051</v>
      </c>
      <c r="Q228" s="56">
        <f>322.3086015684*Deflactores!$N$5</f>
        <v>652.65796223986945</v>
      </c>
      <c r="R228" s="56">
        <f>303.423241096969*Deflactores!$O$5</f>
        <v>592.7224588094582</v>
      </c>
      <c r="S228" s="56">
        <f>386.89641640346*Deflactores!$P$5</f>
        <v>707.86103163874998</v>
      </c>
      <c r="T228" s="56">
        <f>441.58890057785*Deflactores!$Q$5</f>
        <v>763.99597455718674</v>
      </c>
      <c r="U228" s="56">
        <f>913.481582068379*Deflactores!$R$5</f>
        <v>1518.3213829926697</v>
      </c>
      <c r="V228" s="56">
        <f>535.46146471208*Deflactores!$S$5</f>
        <v>862.57449205085334</v>
      </c>
    </row>
    <row r="229" spans="2:22" x14ac:dyDescent="0.2">
      <c r="C229" s="88" t="s">
        <v>144</v>
      </c>
      <c r="D229" s="57">
        <f>648.293309847219*Deflactores!$A$5</f>
        <v>2414.0582090196267</v>
      </c>
      <c r="E229" s="57">
        <f>733.86382156283*Deflactores!$B$5</f>
        <v>2538.5427655817111</v>
      </c>
      <c r="F229" s="57">
        <f>742.22168605816*Deflactores!$C$5</f>
        <v>2399.6725702697172</v>
      </c>
      <c r="G229" s="57">
        <f>743.62049048253*Deflactores!$D$5</f>
        <v>2257.6432455170093</v>
      </c>
      <c r="H229" s="57">
        <f>833.20222115808*Deflactores!$E$5</f>
        <v>2397.8076811309247</v>
      </c>
      <c r="I229" s="57">
        <f>975.651544951769*Deflactores!$F$5</f>
        <v>2677.7426439987653</v>
      </c>
      <c r="J229" s="57">
        <f>1101.31913948581*Deflactores!$G$5</f>
        <v>2893.094697886434</v>
      </c>
      <c r="K229" s="57">
        <f>1200.63062102362*Deflactores!$H$5</f>
        <v>2984.0537995687951</v>
      </c>
      <c r="L229" s="57">
        <f>1321.76166911568*Deflactores!$I$5</f>
        <v>3050.9707328693867</v>
      </c>
      <c r="M229" s="57">
        <f>1532.83931403791*Deflactores!$J$5</f>
        <v>3468.7551812716861</v>
      </c>
      <c r="N229" s="57">
        <f>1649.70477634329*Deflactores!$K$5</f>
        <v>3618.4674887638334</v>
      </c>
      <c r="O229" s="57">
        <f>1808.57890573014*Deflactores!$L$5</f>
        <v>3824.4184529900645</v>
      </c>
      <c r="P229" s="57">
        <f>2085.50490399103*Deflactores!$M$5</f>
        <v>4304.9646485300327</v>
      </c>
      <c r="Q229" s="57">
        <f>2468.78211351965*Deflactores!$N$5</f>
        <v>4999.1539027605841</v>
      </c>
      <c r="R229" s="57">
        <f>2699.52904492785*Deflactores!$O$5</f>
        <v>5273.3979353474369</v>
      </c>
      <c r="S229" s="57">
        <f>2859.14267356723*Deflactores!$P$5</f>
        <v>5231.0530589230175</v>
      </c>
      <c r="T229" s="57">
        <f>3103.56997730652*Deflactores!$Q$5</f>
        <v>5369.5076264732888</v>
      </c>
      <c r="U229" s="57">
        <f>3372.54167358996*Deflactores!$R$5</f>
        <v>5605.5888137898064</v>
      </c>
      <c r="V229" s="57">
        <f>3909.73623852785*Deflactores!$S$5</f>
        <v>6298.1913214134829</v>
      </c>
    </row>
    <row r="230" spans="2:22" x14ac:dyDescent="0.2">
      <c r="C230" s="87" t="s">
        <v>145</v>
      </c>
      <c r="D230" s="56">
        <f>144.670216053309*Deflactores!$A$5</f>
        <v>538.71036051018064</v>
      </c>
      <c r="E230" s="56">
        <f>121.0981130667*Deflactores!$B$5</f>
        <v>418.89616277363808</v>
      </c>
      <c r="F230" s="56">
        <f>169.85648766476*Deflactores!$C$5</f>
        <v>549.16201181912368</v>
      </c>
      <c r="G230" s="56">
        <f>226.252586854489*Deflactores!$D$5</f>
        <v>686.90633331167976</v>
      </c>
      <c r="H230" s="56">
        <f>120.79846306602*Deflactores!$E$5</f>
        <v>347.63647437943968</v>
      </c>
      <c r="I230" s="56">
        <f>133.89494983884*Deflactores!$F$5</f>
        <v>367.48388177590766</v>
      </c>
      <c r="J230" s="56">
        <f>383.12020906353*Deflactores!$G$5</f>
        <v>1006.4322009443496</v>
      </c>
      <c r="K230" s="56">
        <f>314.31271844536*Deflactores!$H$5</f>
        <v>781.19452003483559</v>
      </c>
      <c r="L230" s="56">
        <f>242.38297840458*Deflactores!$I$5</f>
        <v>559.48314324536909</v>
      </c>
      <c r="M230" s="56">
        <f>280.69805417166*Deflactores!$J$5</f>
        <v>635.20867508017557</v>
      </c>
      <c r="N230" s="56">
        <f>642.14325209635*Deflactores!$K$5</f>
        <v>1408.4789679703297</v>
      </c>
      <c r="O230" s="56">
        <f>482.22954234466*Deflactores!$L$5</f>
        <v>1019.7219233712846</v>
      </c>
      <c r="P230" s="56">
        <f>355.14217045314*Deflactores!$M$5</f>
        <v>733.09560964214859</v>
      </c>
      <c r="Q230" s="56">
        <f>464.15078265013*Deflactores!$N$5</f>
        <v>939.88091692981573</v>
      </c>
      <c r="R230" s="56">
        <f>1009.01960311971*Deflactores!$O$5</f>
        <v>1971.0704360874108</v>
      </c>
      <c r="S230" s="56">
        <f>758.66596002025*Deflactores!$P$5</f>
        <v>1388.0461187035544</v>
      </c>
      <c r="T230" s="56">
        <f>634.37486902129*Deflactores!$Q$5</f>
        <v>1097.5362959945253</v>
      </c>
      <c r="U230" s="56">
        <f>650.10060043326*Deflactores!$R$5</f>
        <v>1080.549035810013</v>
      </c>
      <c r="V230" s="56">
        <f>1711.05630732292*Deflactores!$S$5</f>
        <v>2756.3393865384537</v>
      </c>
    </row>
    <row r="231" spans="2:22" x14ac:dyDescent="0.2">
      <c r="C231" s="88" t="s">
        <v>146</v>
      </c>
      <c r="D231" s="57">
        <f>137.35289434502*Deflactores!$A$5</f>
        <v>511.46275472801466</v>
      </c>
      <c r="E231" s="57">
        <f>152.140573639659*Deflactores!$B$5</f>
        <v>526.27659412604248</v>
      </c>
      <c r="F231" s="57">
        <f>155.9885152445*Deflactores!$C$5</f>
        <v>504.325551705848</v>
      </c>
      <c r="G231" s="57">
        <f>178.60079000935*Deflactores!$D$5</f>
        <v>542.23474523539039</v>
      </c>
      <c r="H231" s="57">
        <f>173.932490894929*Deflactores!$E$5</f>
        <v>500.5467485269329</v>
      </c>
      <c r="I231" s="57">
        <f>218.36880579789*Deflactores!$F$5</f>
        <v>599.3281786203712</v>
      </c>
      <c r="J231" s="57">
        <f>217.56150351853*Deflactores!$G$5</f>
        <v>571.52010686705205</v>
      </c>
      <c r="K231" s="57">
        <f>203.22299751712*Deflactores!$H$5</f>
        <v>505.09153046896301</v>
      </c>
      <c r="L231" s="57">
        <f>206.50323624515*Deflactores!$I$5</f>
        <v>476.6633385943839</v>
      </c>
      <c r="M231" s="57">
        <f>199.543718655069*Deflactores!$J$5</f>
        <v>451.55960030254778</v>
      </c>
      <c r="N231" s="57">
        <f>212.58031661698*Deflactores!$K$5</f>
        <v>466.27431493208996</v>
      </c>
      <c r="O231" s="57">
        <f>241.842333267978*Deflactores!$L$5</f>
        <v>511.39946348696071</v>
      </c>
      <c r="P231" s="57">
        <f>363.992632703793*Deflactores!$M$5</f>
        <v>751.36501147347349</v>
      </c>
      <c r="Q231" s="57">
        <f>360.326240147269*Deflactores!$N$5</f>
        <v>729.6416803389684</v>
      </c>
      <c r="R231" s="57">
        <f>428.132020051839*Deflactores!$O$5</f>
        <v>836.33495806963492</v>
      </c>
      <c r="S231" s="57">
        <f>559.433141271853*Deflactores!$P$5</f>
        <v>1023.5321489787233</v>
      </c>
      <c r="T231" s="57">
        <f>622.943899731648*Deflactores!$Q$5</f>
        <v>1077.7594979111827</v>
      </c>
      <c r="U231" s="57">
        <f>576.679271005247*Deflactores!$R$5</f>
        <v>958.51354365932798</v>
      </c>
      <c r="V231" s="57">
        <f>551.515725007955*Deflactores!$S$5</f>
        <v>888.43628852469044</v>
      </c>
    </row>
    <row r="232" spans="2:22" x14ac:dyDescent="0.2">
      <c r="C232" s="90" t="s">
        <v>147</v>
      </c>
      <c r="D232" s="58">
        <f>3812.82278971848*Deflactores!$A$5</f>
        <v>14197.857690720539</v>
      </c>
      <c r="E232" s="58">
        <f>4947.18863823246*Deflactores!$B$5</f>
        <v>17113.052256491206</v>
      </c>
      <c r="F232" s="58">
        <f>6163.28443961917*Deflactores!$C$5</f>
        <v>19926.478692735694</v>
      </c>
      <c r="G232" s="58">
        <f>6942.95613954505*Deflactores!$D$5</f>
        <v>21078.921617925724</v>
      </c>
      <c r="H232" s="58">
        <f>8656.95981466345*Deflactores!$E$5</f>
        <v>24913.189393554789</v>
      </c>
      <c r="I232" s="58">
        <f>11581.8811912988*Deflactores!$F$5</f>
        <v>31787.268030412593</v>
      </c>
      <c r="J232" s="58">
        <f>12701.6088315993*Deflactores!$G$5</f>
        <v>33366.3112242688</v>
      </c>
      <c r="K232" s="58">
        <f>14349.1628478734*Deflactores!$H$5</f>
        <v>35663.486477066654</v>
      </c>
      <c r="L232" s="58">
        <f>16521.0688138027*Deflactores!$I$5</f>
        <v>38134.936580780617</v>
      </c>
      <c r="M232" s="58">
        <f>17093.6303600135*Deflactores!$J$5</f>
        <v>38682.214329331444</v>
      </c>
      <c r="N232" s="58">
        <f>16093.1360612613*Deflactores!$K$5</f>
        <v>35298.733727985018</v>
      </c>
      <c r="O232" s="58">
        <f>16654.9025877897*Deflactores!$L$5</f>
        <v>35218.433980230751</v>
      </c>
      <c r="P232" s="58">
        <f>18123.0562197432*Deflactores!$M$5</f>
        <v>37410.18119881265</v>
      </c>
      <c r="Q232" s="58">
        <f>21487.4436243359*Deflactores!$N$5</f>
        <v>43510.942932830782</v>
      </c>
      <c r="R232" s="58">
        <f>23893.5215959023*Deflactores!$O$5</f>
        <v>46674.825628845261</v>
      </c>
      <c r="S232" s="58">
        <f>23297.1732915*Deflactores!$P$5</f>
        <v>42624.228142735628</v>
      </c>
      <c r="T232" s="58">
        <f>25266.5658402812*Deflactores!$Q$5</f>
        <v>43713.858223336021</v>
      </c>
      <c r="U232" s="58">
        <f>31957.280932998*Deflactores!$R$5</f>
        <v>53117.023851765749</v>
      </c>
      <c r="V232" s="58">
        <f>40694.5682510053*Deflactores!$S$5</f>
        <v>65554.851005411256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0.137947055*Deflactores!$R$5</f>
        <v>0.22928537086989412</v>
      </c>
      <c r="V233" s="59">
        <f>108.008317615179*Deflactores!$S$5</f>
        <v>173.99052190296385</v>
      </c>
    </row>
    <row r="234" spans="2:22" x14ac:dyDescent="0.2">
      <c r="C234" s="87" t="s">
        <v>149</v>
      </c>
      <c r="D234" s="56">
        <f>28.95794787721*Deflactores!$A$5</f>
        <v>107.83108621900759</v>
      </c>
      <c r="E234" s="56">
        <f>15.53363079752*Deflactores!$B$5</f>
        <v>53.733110865563503</v>
      </c>
      <c r="F234" s="56">
        <f>14.51047796839*Deflactores!$C$5</f>
        <v>46.913741024160842</v>
      </c>
      <c r="G234" s="56">
        <f>16.93381097986*Deflactores!$D$5</f>
        <v>51.411310566139981</v>
      </c>
      <c r="H234" s="56">
        <f>18.43188031436*Deflactores!$E$5</f>
        <v>53.04367063979916</v>
      </c>
      <c r="I234" s="56">
        <f>36.17477738854*Deflactores!$F$5</f>
        <v>99.284159956149537</v>
      </c>
      <c r="J234" s="56">
        <f>29.99841820145*Deflactores!$G$5</f>
        <v>78.803919347224891</v>
      </c>
      <c r="K234" s="56">
        <f>27.85175057704*Deflactores!$H$5</f>
        <v>69.222890603273683</v>
      </c>
      <c r="L234" s="56">
        <f>31.20294143852*Deflactores!$I$5</f>
        <v>72.02452857636176</v>
      </c>
      <c r="M234" s="56">
        <f>36.7646862425*Deflactores!$J$5</f>
        <v>83.197041414313389</v>
      </c>
      <c r="N234" s="56">
        <f>94.04790039644*Deflactores!$K$5</f>
        <v>206.28495161742916</v>
      </c>
      <c r="O234" s="56">
        <f>98.9973749221599*Deflactores!$L$5</f>
        <v>209.3397121078535</v>
      </c>
      <c r="P234" s="56">
        <f>91.2697243041099*Deflactores!$M$5</f>
        <v>188.4018281895948</v>
      </c>
      <c r="Q234" s="56">
        <f>37.02590532524*Deflactores!$N$5</f>
        <v>74.975510433373103</v>
      </c>
      <c r="R234" s="56">
        <f>55.1108298646199*Deflactores!$O$5</f>
        <v>107.65631026249538</v>
      </c>
      <c r="S234" s="56">
        <f>55.59232782266*Deflactores!$P$5</f>
        <v>101.71105457516398</v>
      </c>
      <c r="T234" s="56">
        <f>59.93456808385*Deflactores!$Q$5</f>
        <v>103.69320581419942</v>
      </c>
      <c r="U234" s="56">
        <f>57.05265722654*Deflactores!$R$5</f>
        <v>94.828698382144992</v>
      </c>
      <c r="V234" s="56">
        <f>59.05262584467*Deflactores!$S$5</f>
        <v>95.127832905070989</v>
      </c>
    </row>
    <row r="235" spans="2:22" x14ac:dyDescent="0.2">
      <c r="C235" s="88" t="s">
        <v>150</v>
      </c>
      <c r="D235" s="57">
        <f>117.56130828305*Deflactores!$A$5</f>
        <v>437.76456892739799</v>
      </c>
      <c r="E235" s="57">
        <f>133.58240192273*Deflactores!$B$5</f>
        <v>462.08115190611306</v>
      </c>
      <c r="F235" s="57">
        <f>106.33274050864*Deflactores!$C$5</f>
        <v>343.7837582937405</v>
      </c>
      <c r="G235" s="57">
        <f>103.18497578472*Deflactores!$D$5</f>
        <v>313.27117340196816</v>
      </c>
      <c r="H235" s="57">
        <f>150.184389420209*Deflactores!$E$5</f>
        <v>432.20393968370411</v>
      </c>
      <c r="I235" s="57">
        <f>115.9925041225*Deflactores!$F$5</f>
        <v>318.34939049717298</v>
      </c>
      <c r="J235" s="57">
        <f>101.17746355149*Deflactores!$G$5</f>
        <v>265.78670328300893</v>
      </c>
      <c r="K235" s="57">
        <f>109.29000914165*Deflactores!$H$5</f>
        <v>271.629976217001</v>
      </c>
      <c r="L235" s="57">
        <f>103.9034179784*Deflactores!$I$5</f>
        <v>239.83619339580727</v>
      </c>
      <c r="M235" s="57">
        <f>186.43437388848*Deflactores!$J$5</f>
        <v>421.89366782956461</v>
      </c>
      <c r="N235" s="57">
        <f>159.90946428225*Deflactores!$K$5</f>
        <v>350.74590675159419</v>
      </c>
      <c r="O235" s="57">
        <f>146.72720618723*Deflactores!$L$5</f>
        <v>310.26914729583251</v>
      </c>
      <c r="P235" s="57">
        <f>272.75172895697*Deflactores!$M$5</f>
        <v>563.0226755823785</v>
      </c>
      <c r="Q235" s="57">
        <f>198.7315765016*Deflactores!$N$5</f>
        <v>402.42098759106614</v>
      </c>
      <c r="R235" s="57">
        <f>203.2558347579*Deflactores!$O$5</f>
        <v>397.05033045431702</v>
      </c>
      <c r="S235" s="57">
        <f>187.750250199529*Deflactores!$P$5</f>
        <v>343.50560036741524</v>
      </c>
      <c r="T235" s="57">
        <f>182.27748504479*Deflactores!$Q$5</f>
        <v>315.35952249795429</v>
      </c>
      <c r="U235" s="57">
        <f>188.942170419639*Deflactores!$R$5</f>
        <v>314.0456722155443</v>
      </c>
      <c r="V235" s="57">
        <f>197.271200076219*Deflactores!$S$5</f>
        <v>317.7840356700612</v>
      </c>
    </row>
    <row r="236" spans="2:22" x14ac:dyDescent="0.2">
      <c r="C236" s="87" t="s">
        <v>151</v>
      </c>
      <c r="D236" s="56">
        <f>16.46091882001*Deflactores!$A$5</f>
        <v>61.295736978707424</v>
      </c>
      <c r="E236" s="56">
        <f>18.10944899374*Deflactores!$B$5</f>
        <v>62.643244401705111</v>
      </c>
      <c r="F236" s="56">
        <f>17.47866282195*Deflactores!$C$5</f>
        <v>56.510162026631853</v>
      </c>
      <c r="G236" s="56">
        <f>16.009800203*Deflactores!$D$5</f>
        <v>48.605999636892662</v>
      </c>
      <c r="H236" s="56">
        <f>9.35166163069*Deflactores!$E$5</f>
        <v>26.912417562016454</v>
      </c>
      <c r="I236" s="56">
        <f>8.50765923445*Deflactores!$F$5</f>
        <v>23.34985482324311</v>
      </c>
      <c r="J236" s="56">
        <f>13.2880476868099*Deflactores!$G$5</f>
        <v>34.906848459857486</v>
      </c>
      <c r="K236" s="56">
        <f>12.5065585275899*Deflactores!$H$5</f>
        <v>31.08386779438133</v>
      </c>
      <c r="L236" s="56">
        <f>8.44150337384*Deflactores!$I$5</f>
        <v>19.485191874443725</v>
      </c>
      <c r="M236" s="56">
        <f>6.877948654*Deflactores!$J$5</f>
        <v>15.564527743769146</v>
      </c>
      <c r="N236" s="56">
        <f>8.81691673772999*Deflactores!$K$5</f>
        <v>19.339052068049988</v>
      </c>
      <c r="O236" s="56">
        <f>322.19907733797*Deflactores!$L$5</f>
        <v>681.32172337277439</v>
      </c>
      <c r="P236" s="56">
        <f>1351.0575654521*Deflactores!$M$5</f>
        <v>2788.8954114995254</v>
      </c>
      <c r="Q236" s="56">
        <f>1460.99136627098*Deflactores!$N$5</f>
        <v>2958.4306572038663</v>
      </c>
      <c r="R236" s="56">
        <f>1515.81470727709*Deflactores!$O$5</f>
        <v>2961.0698809643395</v>
      </c>
      <c r="S236" s="56">
        <f>1587.73106439595*Deflactores!$P$5</f>
        <v>2904.8936654822855</v>
      </c>
      <c r="T236" s="56">
        <f>1737.21182061143*Deflactores!$Q$5</f>
        <v>3005.5620423509972</v>
      </c>
      <c r="U236" s="56">
        <f>1937.02395482534*Deflactores!$R$5</f>
        <v>3219.57765510831</v>
      </c>
      <c r="V236" s="56">
        <f>1955.82088193534*Deflactores!$S$5</f>
        <v>3150.6304654153914</v>
      </c>
    </row>
    <row r="237" spans="2:22" x14ac:dyDescent="0.2">
      <c r="C237" s="79" t="s">
        <v>179</v>
      </c>
      <c r="D237" s="44">
        <f t="shared" ref="D237:V237" si="63">+SUM(D208:D236)</f>
        <v>77117.394961615137</v>
      </c>
      <c r="E237" s="44">
        <f t="shared" si="63"/>
        <v>89004.861962464885</v>
      </c>
      <c r="F237" s="44">
        <f t="shared" si="63"/>
        <v>91315.266803145496</v>
      </c>
      <c r="G237" s="44">
        <f t="shared" si="63"/>
        <v>93015.938780569646</v>
      </c>
      <c r="H237" s="44">
        <f t="shared" si="63"/>
        <v>102286.92954389961</v>
      </c>
      <c r="I237" s="44">
        <f t="shared" si="63"/>
        <v>115176.47199802092</v>
      </c>
      <c r="J237" s="44">
        <f t="shared" si="63"/>
        <v>120676.20406120553</v>
      </c>
      <c r="K237" s="44">
        <f t="shared" si="63"/>
        <v>126609.15621353615</v>
      </c>
      <c r="L237" s="44">
        <f t="shared" si="63"/>
        <v>133353.68895342361</v>
      </c>
      <c r="M237" s="44">
        <f t="shared" si="63"/>
        <v>142656.65923533644</v>
      </c>
      <c r="N237" s="44">
        <f t="shared" si="63"/>
        <v>147170.63742311133</v>
      </c>
      <c r="O237" s="44">
        <f t="shared" si="63"/>
        <v>149645.42414064464</v>
      </c>
      <c r="P237" s="44">
        <f t="shared" si="63"/>
        <v>158208.76090697965</v>
      </c>
      <c r="Q237" s="44">
        <f t="shared" si="63"/>
        <v>173974.74906472882</v>
      </c>
      <c r="R237" s="44">
        <f t="shared" si="63"/>
        <v>184246.39596661241</v>
      </c>
      <c r="S237" s="44">
        <f t="shared" si="63"/>
        <v>183488.40050953918</v>
      </c>
      <c r="T237" s="44">
        <f t="shared" si="63"/>
        <v>188431.26911643136</v>
      </c>
      <c r="U237" s="44">
        <f t="shared" si="63"/>
        <v>207838.511730839</v>
      </c>
      <c r="V237" s="44">
        <f t="shared" si="63"/>
        <v>213202.89928747306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55" t="s">
        <v>193</v>
      </c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</row>
    <row r="243" spans="3:22" ht="1.5" customHeight="1" x14ac:dyDescent="0.2">
      <c r="H243" s="27"/>
      <c r="I243" s="27"/>
      <c r="J243" s="27"/>
      <c r="L243" s="177"/>
      <c r="M243" s="156"/>
      <c r="N243" s="156"/>
      <c r="O243" s="156"/>
      <c r="P243" s="156"/>
      <c r="Q243" s="156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6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60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+IFERROR(IF(D208&gt;0,+((D208/D14)*100)," "),"")</f>
        <v>84.374993281080862</v>
      </c>
      <c r="E247" s="60">
        <f t="shared" si="64"/>
        <v>91.457003170426304</v>
      </c>
      <c r="F247" s="60">
        <f t="shared" si="64"/>
        <v>88.054493433205721</v>
      </c>
      <c r="G247" s="60">
        <f t="shared" si="64"/>
        <v>86.933825221952418</v>
      </c>
      <c r="H247" s="60">
        <f t="shared" si="64"/>
        <v>83.321242349260459</v>
      </c>
      <c r="I247" s="60">
        <f t="shared" si="64"/>
        <v>82.593340497349232</v>
      </c>
      <c r="J247" s="60">
        <f t="shared" si="64"/>
        <v>80.871844328172955</v>
      </c>
      <c r="K247" s="60">
        <f t="shared" si="64"/>
        <v>91.593982336966008</v>
      </c>
      <c r="L247" s="60">
        <f t="shared" si="64"/>
        <v>93.319200850866167</v>
      </c>
      <c r="M247" s="60">
        <f t="shared" si="64"/>
        <v>94.818166827072432</v>
      </c>
      <c r="N247" s="60">
        <f t="shared" si="64"/>
        <v>93.290625962250147</v>
      </c>
      <c r="O247" s="60">
        <f t="shared" si="64"/>
        <v>95.245164677840137</v>
      </c>
      <c r="P247" s="60">
        <f t="shared" si="64"/>
        <v>75.821857037201525</v>
      </c>
      <c r="Q247" s="60">
        <f t="shared" si="64"/>
        <v>81.477740167826099</v>
      </c>
      <c r="R247" s="60">
        <f t="shared" si="64"/>
        <v>86.928872975039098</v>
      </c>
      <c r="S247" s="60">
        <f t="shared" si="64"/>
        <v>90.767905673643185</v>
      </c>
      <c r="T247" s="60">
        <f t="shared" si="64"/>
        <v>88.855903831331901</v>
      </c>
      <c r="U247" s="60">
        <f t="shared" si="64"/>
        <v>83.080370324784795</v>
      </c>
      <c r="V247" s="60">
        <f t="shared" si="64"/>
        <v>78.913595009818522</v>
      </c>
    </row>
    <row r="248" spans="3:22" x14ac:dyDescent="0.2">
      <c r="C248" s="88" t="s">
        <v>124</v>
      </c>
      <c r="D248" s="62">
        <f t="shared" ref="D248:V248" si="65">+IFERROR(IF(D209&gt;0,+((D209/D15)*100)," "),"")</f>
        <v>83.092431804818716</v>
      </c>
      <c r="E248" s="62">
        <f t="shared" si="65"/>
        <v>89.145319930130455</v>
      </c>
      <c r="F248" s="62">
        <f t="shared" si="65"/>
        <v>86.088423068644843</v>
      </c>
      <c r="G248" s="62">
        <f t="shared" si="65"/>
        <v>84.458374532707353</v>
      </c>
      <c r="H248" s="62">
        <f t="shared" si="65"/>
        <v>88.633242852497403</v>
      </c>
      <c r="I248" s="62">
        <f t="shared" si="65"/>
        <v>90.514275495045979</v>
      </c>
      <c r="J248" s="62">
        <f t="shared" si="65"/>
        <v>89.678668363308063</v>
      </c>
      <c r="K248" s="62">
        <f t="shared" si="65"/>
        <v>89.208132896003789</v>
      </c>
      <c r="L248" s="62">
        <f t="shared" si="65"/>
        <v>98.986238044864152</v>
      </c>
      <c r="M248" s="62">
        <f t="shared" si="65"/>
        <v>98.964542802924711</v>
      </c>
      <c r="N248" s="62">
        <f t="shared" si="65"/>
        <v>96.543851912870537</v>
      </c>
      <c r="O248" s="62">
        <f t="shared" si="65"/>
        <v>98.3352712988072</v>
      </c>
      <c r="P248" s="62">
        <f t="shared" si="65"/>
        <v>80.918101315842137</v>
      </c>
      <c r="Q248" s="62">
        <f t="shared" si="65"/>
        <v>84.134865650196474</v>
      </c>
      <c r="R248" s="62">
        <f t="shared" si="65"/>
        <v>92.546196511313866</v>
      </c>
      <c r="S248" s="62">
        <f t="shared" si="65"/>
        <v>92.07778832411438</v>
      </c>
      <c r="T248" s="62">
        <f t="shared" si="65"/>
        <v>93.651428074469578</v>
      </c>
      <c r="U248" s="62">
        <f t="shared" si="65"/>
        <v>93.293937343321929</v>
      </c>
      <c r="V248" s="62">
        <f t="shared" si="65"/>
        <v>94.621763924193729</v>
      </c>
    </row>
    <row r="249" spans="3:22" x14ac:dyDescent="0.2">
      <c r="C249" s="87" t="s">
        <v>125</v>
      </c>
      <c r="D249" s="60">
        <f t="shared" ref="D249:V249" si="66">+IFERROR(IF(D210&gt;0,+((D210/D16)*100)," "),"")</f>
        <v>96.617071685740981</v>
      </c>
      <c r="E249" s="60">
        <f t="shared" si="66"/>
        <v>95.217952059984057</v>
      </c>
      <c r="F249" s="60">
        <f t="shared" si="66"/>
        <v>96.236960896021401</v>
      </c>
      <c r="G249" s="60">
        <f t="shared" si="66"/>
        <v>96.788200665292294</v>
      </c>
      <c r="H249" s="60">
        <f t="shared" si="66"/>
        <v>92.964720642537159</v>
      </c>
      <c r="I249" s="60">
        <f t="shared" si="66"/>
        <v>96.377774519670069</v>
      </c>
      <c r="J249" s="60">
        <f t="shared" si="66"/>
        <v>93.432215022393507</v>
      </c>
      <c r="K249" s="60">
        <f t="shared" si="66"/>
        <v>90.231416320115613</v>
      </c>
      <c r="L249" s="60">
        <f t="shared" si="66"/>
        <v>97.304454520164271</v>
      </c>
      <c r="M249" s="60">
        <f t="shared" si="66"/>
        <v>24.934300810663387</v>
      </c>
      <c r="N249" s="60">
        <f t="shared" si="66"/>
        <v>33.326930658897268</v>
      </c>
      <c r="O249" s="60">
        <f t="shared" si="66"/>
        <v>87.429890425665533</v>
      </c>
      <c r="P249" s="60">
        <f t="shared" si="66"/>
        <v>70.200020596130727</v>
      </c>
      <c r="Q249" s="60">
        <f t="shared" si="66"/>
        <v>87.892022511799397</v>
      </c>
      <c r="R249" s="60">
        <f t="shared" si="66"/>
        <v>87.385997176036852</v>
      </c>
      <c r="S249" s="60">
        <f t="shared" si="66"/>
        <v>91.036208855582473</v>
      </c>
      <c r="T249" s="60">
        <f t="shared" si="66"/>
        <v>92.133528138737972</v>
      </c>
      <c r="U249" s="60">
        <f t="shared" si="66"/>
        <v>90.208215217937749</v>
      </c>
      <c r="V249" s="60">
        <f t="shared" si="66"/>
        <v>92.111940480501573</v>
      </c>
    </row>
    <row r="250" spans="3:22" x14ac:dyDescent="0.2">
      <c r="C250" s="88" t="s">
        <v>126</v>
      </c>
      <c r="D250" s="62">
        <f t="shared" ref="D250:V250" si="67">+IFERROR(IF(D211&gt;0,+((D211/D17)*100)," "),"")</f>
        <v>76.918680448558462</v>
      </c>
      <c r="E250" s="62">
        <f t="shared" si="67"/>
        <v>89.54406972122591</v>
      </c>
      <c r="F250" s="62">
        <f t="shared" si="67"/>
        <v>92.154368463479386</v>
      </c>
      <c r="G250" s="62">
        <f t="shared" si="67"/>
        <v>86.591240974535353</v>
      </c>
      <c r="H250" s="62">
        <f t="shared" si="67"/>
        <v>89.233508705093243</v>
      </c>
      <c r="I250" s="62">
        <f t="shared" si="67"/>
        <v>91.570038777680637</v>
      </c>
      <c r="J250" s="62">
        <f t="shared" si="67"/>
        <v>73.213542572440389</v>
      </c>
      <c r="K250" s="62">
        <f t="shared" si="67"/>
        <v>88.45845308003004</v>
      </c>
      <c r="L250" s="62">
        <f t="shared" si="67"/>
        <v>89.625160850076142</v>
      </c>
      <c r="M250" s="62">
        <f t="shared" si="67"/>
        <v>87.016091595951067</v>
      </c>
      <c r="N250" s="62">
        <f t="shared" si="67"/>
        <v>90.015665037055399</v>
      </c>
      <c r="O250" s="62">
        <f t="shared" si="67"/>
        <v>90.709088646583382</v>
      </c>
      <c r="P250" s="62">
        <f t="shared" si="67"/>
        <v>86.327353009203904</v>
      </c>
      <c r="Q250" s="62">
        <f t="shared" si="67"/>
        <v>77.239468689906232</v>
      </c>
      <c r="R250" s="62">
        <f t="shared" si="67"/>
        <v>83.430509275102523</v>
      </c>
      <c r="S250" s="62">
        <f t="shared" si="67"/>
        <v>87.107509545126334</v>
      </c>
      <c r="T250" s="62">
        <f t="shared" si="67"/>
        <v>93.355134749701179</v>
      </c>
      <c r="U250" s="62">
        <f t="shared" si="67"/>
        <v>87.911107171153631</v>
      </c>
      <c r="V250" s="62">
        <f t="shared" si="67"/>
        <v>95.964797455600987</v>
      </c>
    </row>
    <row r="251" spans="3:22" x14ac:dyDescent="0.2">
      <c r="C251" s="87" t="s">
        <v>127</v>
      </c>
      <c r="D251" s="60">
        <f t="shared" ref="D251:V251" si="68">+IFERROR(IF(D212&gt;0,+((D212/D18)*100)," "),"")</f>
        <v>83.645771919463229</v>
      </c>
      <c r="E251" s="60">
        <f t="shared" si="68"/>
        <v>88.763520598214697</v>
      </c>
      <c r="F251" s="60">
        <f t="shared" si="68"/>
        <v>94.253791505514869</v>
      </c>
      <c r="G251" s="60">
        <f t="shared" si="68"/>
        <v>94.712412022184395</v>
      </c>
      <c r="H251" s="60">
        <f t="shared" si="68"/>
        <v>92.166551913861099</v>
      </c>
      <c r="I251" s="60">
        <f t="shared" si="68"/>
        <v>95.134793392056338</v>
      </c>
      <c r="J251" s="60">
        <f t="shared" si="68"/>
        <v>93.72661034865942</v>
      </c>
      <c r="K251" s="60">
        <f t="shared" si="68"/>
        <v>97.179322703567564</v>
      </c>
      <c r="L251" s="60">
        <f t="shared" si="68"/>
        <v>95.674974316140862</v>
      </c>
      <c r="M251" s="60">
        <f t="shared" si="68"/>
        <v>96.336797194101919</v>
      </c>
      <c r="N251" s="60">
        <f t="shared" si="68"/>
        <v>96.800393736583572</v>
      </c>
      <c r="O251" s="60">
        <f t="shared" si="68"/>
        <v>97.642136345622745</v>
      </c>
      <c r="P251" s="60">
        <f t="shared" si="68"/>
        <v>95.881928516000542</v>
      </c>
      <c r="Q251" s="60">
        <f t="shared" si="68"/>
        <v>94.42767551404296</v>
      </c>
      <c r="R251" s="60">
        <f t="shared" si="68"/>
        <v>96.302275137462701</v>
      </c>
      <c r="S251" s="60">
        <f t="shared" si="68"/>
        <v>96.479269296368145</v>
      </c>
      <c r="T251" s="60">
        <f t="shared" si="68"/>
        <v>96.752422817067952</v>
      </c>
      <c r="U251" s="60">
        <f t="shared" si="68"/>
        <v>96.46616276405318</v>
      </c>
      <c r="V251" s="60">
        <f t="shared" si="68"/>
        <v>95.994180668059442</v>
      </c>
    </row>
    <row r="252" spans="3:22" x14ac:dyDescent="0.2">
      <c r="C252" s="88" t="s">
        <v>128</v>
      </c>
      <c r="D252" s="62">
        <f t="shared" ref="D252:V252" si="69">+IFERROR(IF(D213&gt;0,+((D213/D19)*100)," "),"")</f>
        <v>82.341632019808856</v>
      </c>
      <c r="E252" s="62">
        <f t="shared" si="69"/>
        <v>89.427230720217253</v>
      </c>
      <c r="F252" s="62">
        <f t="shared" si="69"/>
        <v>75.203411530750728</v>
      </c>
      <c r="G252" s="62">
        <f t="shared" si="69"/>
        <v>81.944646655209311</v>
      </c>
      <c r="H252" s="62">
        <f t="shared" si="69"/>
        <v>80.402466908600061</v>
      </c>
      <c r="I252" s="62">
        <f t="shared" si="69"/>
        <v>84.689654796925481</v>
      </c>
      <c r="J252" s="62">
        <f t="shared" si="69"/>
        <v>90.676556177813566</v>
      </c>
      <c r="K252" s="62">
        <f t="shared" si="69"/>
        <v>90.038152500225024</v>
      </c>
      <c r="L252" s="62">
        <f t="shared" si="69"/>
        <v>85.951124929754329</v>
      </c>
      <c r="M252" s="62">
        <f t="shared" si="69"/>
        <v>87.702255444122883</v>
      </c>
      <c r="N252" s="62">
        <f t="shared" si="69"/>
        <v>87.795075799091677</v>
      </c>
      <c r="O252" s="62">
        <f t="shared" si="69"/>
        <v>90.856548909731544</v>
      </c>
      <c r="P252" s="62">
        <f t="shared" si="69"/>
        <v>88.613646739245411</v>
      </c>
      <c r="Q252" s="62">
        <f t="shared" si="69"/>
        <v>91.498560078730719</v>
      </c>
      <c r="R252" s="62">
        <f t="shared" si="69"/>
        <v>93.977238290998329</v>
      </c>
      <c r="S252" s="62">
        <f t="shared" si="69"/>
        <v>96.802638538546901</v>
      </c>
      <c r="T252" s="62">
        <f t="shared" si="69"/>
        <v>95.245490462158529</v>
      </c>
      <c r="U252" s="62">
        <f t="shared" si="69"/>
        <v>91.13251073290408</v>
      </c>
      <c r="V252" s="62">
        <f t="shared" si="69"/>
        <v>96.207397627409279</v>
      </c>
    </row>
    <row r="253" spans="3:22" x14ac:dyDescent="0.2">
      <c r="C253" s="87" t="s">
        <v>129</v>
      </c>
      <c r="D253" s="60">
        <f t="shared" ref="D253:V253" si="70">+IFERROR(IF(D214&gt;0,+((D214/D20)*100)," "),"")</f>
        <v>87.555792425268237</v>
      </c>
      <c r="E253" s="60">
        <f t="shared" si="70"/>
        <v>92.197783496161307</v>
      </c>
      <c r="F253" s="60">
        <f t="shared" si="70"/>
        <v>89.608958210176453</v>
      </c>
      <c r="G253" s="60">
        <f t="shared" si="70"/>
        <v>88.937442889400458</v>
      </c>
      <c r="H253" s="60">
        <f t="shared" si="70"/>
        <v>85.899550556304746</v>
      </c>
      <c r="I253" s="60">
        <f t="shared" si="70"/>
        <v>88.233512292489522</v>
      </c>
      <c r="J253" s="60">
        <f t="shared" si="70"/>
        <v>91.647564025541669</v>
      </c>
      <c r="K253" s="60">
        <f t="shared" si="70"/>
        <v>95.255399053380131</v>
      </c>
      <c r="L253" s="60">
        <f t="shared" si="70"/>
        <v>96.572537699504309</v>
      </c>
      <c r="M253" s="60">
        <f t="shared" si="70"/>
        <v>94.52832097016001</v>
      </c>
      <c r="N253" s="60">
        <f t="shared" si="70"/>
        <v>94.76328701151769</v>
      </c>
      <c r="O253" s="60">
        <f t="shared" si="70"/>
        <v>95.064453717235736</v>
      </c>
      <c r="P253" s="60">
        <f t="shared" si="70"/>
        <v>96.208473684851299</v>
      </c>
      <c r="Q253" s="60">
        <f t="shared" si="70"/>
        <v>96.831927802590855</v>
      </c>
      <c r="R253" s="60">
        <f t="shared" si="70"/>
        <v>95.772982748723265</v>
      </c>
      <c r="S253" s="60">
        <f t="shared" si="70"/>
        <v>95.039982881193723</v>
      </c>
      <c r="T253" s="60">
        <f t="shared" si="70"/>
        <v>94.065956340883702</v>
      </c>
      <c r="U253" s="60">
        <f t="shared" si="70"/>
        <v>94.878542892785788</v>
      </c>
      <c r="V253" s="60">
        <f t="shared" si="70"/>
        <v>96.170582915459804</v>
      </c>
    </row>
    <row r="254" spans="3:22" x14ac:dyDescent="0.2">
      <c r="C254" s="88" t="s">
        <v>130</v>
      </c>
      <c r="D254" s="62">
        <f t="shared" ref="D254:V254" si="71">+IFERROR(IF(D215&gt;0,+((D215/D21)*100)," "),"")</f>
        <v>88.372624194891046</v>
      </c>
      <c r="E254" s="62">
        <f t="shared" si="71"/>
        <v>94.930110225200849</v>
      </c>
      <c r="F254" s="62">
        <f t="shared" si="71"/>
        <v>87.319297430263475</v>
      </c>
      <c r="G254" s="62">
        <f t="shared" si="71"/>
        <v>89.134518931164791</v>
      </c>
      <c r="H254" s="62">
        <f t="shared" si="71"/>
        <v>90.034040871696504</v>
      </c>
      <c r="I254" s="62">
        <f t="shared" si="71"/>
        <v>91.480836512115502</v>
      </c>
      <c r="J254" s="62">
        <f t="shared" si="71"/>
        <v>88.206205511813437</v>
      </c>
      <c r="K254" s="62">
        <f t="shared" si="71"/>
        <v>94.2645013749339</v>
      </c>
      <c r="L254" s="62">
        <f t="shared" si="71"/>
        <v>93.803385261395718</v>
      </c>
      <c r="M254" s="62">
        <f t="shared" si="71"/>
        <v>94.874166743696748</v>
      </c>
      <c r="N254" s="62">
        <f t="shared" si="71"/>
        <v>88.306674442939098</v>
      </c>
      <c r="O254" s="62">
        <f t="shared" si="71"/>
        <v>92.164079388089775</v>
      </c>
      <c r="P254" s="62">
        <f t="shared" si="71"/>
        <v>73.561451676250854</v>
      </c>
      <c r="Q254" s="62">
        <f t="shared" si="71"/>
        <v>88.217921579711984</v>
      </c>
      <c r="R254" s="62">
        <f t="shared" si="71"/>
        <v>94.983421742921763</v>
      </c>
      <c r="S254" s="62">
        <f t="shared" si="71"/>
        <v>94.726846150602583</v>
      </c>
      <c r="T254" s="62">
        <f t="shared" si="71"/>
        <v>90.343816120660293</v>
      </c>
      <c r="U254" s="62">
        <f t="shared" si="71"/>
        <v>96.143624091004767</v>
      </c>
      <c r="V254" s="62">
        <f t="shared" si="71"/>
        <v>95.776017388130214</v>
      </c>
    </row>
    <row r="255" spans="3:22" x14ac:dyDescent="0.2">
      <c r="C255" s="87" t="s">
        <v>131</v>
      </c>
      <c r="D255" s="60">
        <f t="shared" ref="D255:V255" si="72">+IFERROR(IF(D216&gt;0,+((D216/D22)*100)," "),"")</f>
        <v>90.074932640915179</v>
      </c>
      <c r="E255" s="60">
        <f t="shared" si="72"/>
        <v>96.48002051068903</v>
      </c>
      <c r="F255" s="60">
        <f t="shared" si="72"/>
        <v>95.665175755172498</v>
      </c>
      <c r="G255" s="60">
        <f t="shared" si="72"/>
        <v>95.806574638462408</v>
      </c>
      <c r="H255" s="60">
        <f t="shared" si="72"/>
        <v>97.442715257938957</v>
      </c>
      <c r="I255" s="60">
        <f t="shared" si="72"/>
        <v>99.365670947628473</v>
      </c>
      <c r="J255" s="60">
        <f t="shared" si="72"/>
        <v>99.001379058872004</v>
      </c>
      <c r="K255" s="60">
        <f t="shared" si="72"/>
        <v>99.176904580275249</v>
      </c>
      <c r="L255" s="60">
        <f t="shared" si="72"/>
        <v>97.439088321522206</v>
      </c>
      <c r="M255" s="60">
        <f t="shared" si="72"/>
        <v>98.366284465841773</v>
      </c>
      <c r="N255" s="60">
        <f t="shared" si="72"/>
        <v>96.507772543799376</v>
      </c>
      <c r="O255" s="60">
        <f t="shared" si="72"/>
        <v>98.704187172307314</v>
      </c>
      <c r="P255" s="60">
        <f t="shared" si="72"/>
        <v>97.07225398402953</v>
      </c>
      <c r="Q255" s="60">
        <f t="shared" si="72"/>
        <v>99.003627720906508</v>
      </c>
      <c r="R255" s="60">
        <f t="shared" si="72"/>
        <v>97.783405575004352</v>
      </c>
      <c r="S255" s="60">
        <f t="shared" si="72"/>
        <v>99.605150038482776</v>
      </c>
      <c r="T255" s="60">
        <f t="shared" si="72"/>
        <v>99.101755103856064</v>
      </c>
      <c r="U255" s="60">
        <f t="shared" si="72"/>
        <v>99.926157123128064</v>
      </c>
      <c r="V255" s="60">
        <f t="shared" si="72"/>
        <v>99.572596192715707</v>
      </c>
    </row>
    <row r="256" spans="3:22" x14ac:dyDescent="0.2">
      <c r="C256" s="88" t="s">
        <v>132</v>
      </c>
      <c r="D256" s="62">
        <f t="shared" ref="D256:V256" si="73">+IFERROR(IF(D217&gt;0,+((D217/D23)*100),"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88.345721321989629</v>
      </c>
      <c r="I256" s="62">
        <f t="shared" si="73"/>
        <v>84.32677812751578</v>
      </c>
      <c r="J256" s="62">
        <f t="shared" si="73"/>
        <v>92.692109801052808</v>
      </c>
      <c r="K256" s="62">
        <f t="shared" si="73"/>
        <v>90.612223183474057</v>
      </c>
      <c r="L256" s="62">
        <f t="shared" si="73"/>
        <v>90.750239136098074</v>
      </c>
      <c r="M256" s="62">
        <f t="shared" si="73"/>
        <v>83.060533242408567</v>
      </c>
      <c r="N256" s="62">
        <f t="shared" si="73"/>
        <v>74.216472327797462</v>
      </c>
      <c r="O256" s="62">
        <f t="shared" si="73"/>
        <v>81.093611812889165</v>
      </c>
      <c r="P256" s="62">
        <f t="shared" si="73"/>
        <v>87.717996828640906</v>
      </c>
      <c r="Q256" s="62">
        <f t="shared" si="73"/>
        <v>88.686579428559156</v>
      </c>
      <c r="R256" s="62">
        <f t="shared" si="73"/>
        <v>92.076711606106471</v>
      </c>
      <c r="S256" s="62">
        <f t="shared" si="73"/>
        <v>93.67437510500713</v>
      </c>
      <c r="T256" s="62">
        <f t="shared" si="73"/>
        <v>95.122919080238475</v>
      </c>
      <c r="U256" s="62">
        <f t="shared" si="73"/>
        <v>96.427548768749716</v>
      </c>
      <c r="V256" s="62">
        <f t="shared" si="73"/>
        <v>96.459909161697212</v>
      </c>
    </row>
    <row r="257" spans="3:22" x14ac:dyDescent="0.2">
      <c r="C257" s="87" t="s">
        <v>133</v>
      </c>
      <c r="D257" s="60">
        <f t="shared" ref="D257:V257" si="74">+IFERROR(IF(D218&gt;0,+((D218/D24)*100)," "),"")</f>
        <v>89.556255437807536</v>
      </c>
      <c r="E257" s="60">
        <f t="shared" si="74"/>
        <v>95.939521088850327</v>
      </c>
      <c r="F257" s="60">
        <f t="shared" si="74"/>
        <v>92.87954070688636</v>
      </c>
      <c r="G257" s="60">
        <f t="shared" si="74"/>
        <v>92.258520678268511</v>
      </c>
      <c r="H257" s="60">
        <f t="shared" si="74"/>
        <v>93.759398672545828</v>
      </c>
      <c r="I257" s="60">
        <f t="shared" si="74"/>
        <v>96.423839701089193</v>
      </c>
      <c r="J257" s="60">
        <f t="shared" si="74"/>
        <v>95.459373872506575</v>
      </c>
      <c r="K257" s="60">
        <f t="shared" si="74"/>
        <v>94.823244563751615</v>
      </c>
      <c r="L257" s="60">
        <f t="shared" si="74"/>
        <v>94.971686366243375</v>
      </c>
      <c r="M257" s="60">
        <f t="shared" si="74"/>
        <v>94.741680202634399</v>
      </c>
      <c r="N257" s="60">
        <f t="shared" si="74"/>
        <v>90.973086383379766</v>
      </c>
      <c r="O257" s="60">
        <f t="shared" si="74"/>
        <v>91.082730069211024</v>
      </c>
      <c r="P257" s="60">
        <f t="shared" si="74"/>
        <v>89.727436781051821</v>
      </c>
      <c r="Q257" s="60">
        <f t="shared" si="74"/>
        <v>92.028316601131863</v>
      </c>
      <c r="R257" s="60">
        <f t="shared" si="74"/>
        <v>88.40975905825843</v>
      </c>
      <c r="S257" s="60">
        <f t="shared" si="74"/>
        <v>87.358124968367207</v>
      </c>
      <c r="T257" s="60">
        <f t="shared" si="74"/>
        <v>91.932832299776976</v>
      </c>
      <c r="U257" s="60">
        <f t="shared" si="74"/>
        <v>92.597522757136744</v>
      </c>
      <c r="V257" s="60">
        <f t="shared" si="74"/>
        <v>92.973746374044225</v>
      </c>
    </row>
    <row r="258" spans="3:22" x14ac:dyDescent="0.2">
      <c r="C258" s="88" t="s">
        <v>134</v>
      </c>
      <c r="D258" s="62">
        <f t="shared" ref="D258:V258" si="75">+IFERROR(IF(D219&gt;0,+((D219/D25)*100)," "),"")</f>
        <v>69.439987586864078</v>
      </c>
      <c r="E258" s="62">
        <f t="shared" si="75"/>
        <v>82.724068421865539</v>
      </c>
      <c r="F258" s="62">
        <f t="shared" si="75"/>
        <v>80.996606065919423</v>
      </c>
      <c r="G258" s="62">
        <f t="shared" si="75"/>
        <v>85.58471131306888</v>
      </c>
      <c r="H258" s="62">
        <f t="shared" si="75"/>
        <v>84.421782382328658</v>
      </c>
      <c r="I258" s="62">
        <f t="shared" si="75"/>
        <v>90.488518639817357</v>
      </c>
      <c r="J258" s="62">
        <f t="shared" si="75"/>
        <v>91.64664406086338</v>
      </c>
      <c r="K258" s="62">
        <f t="shared" si="75"/>
        <v>80.216390438413754</v>
      </c>
      <c r="L258" s="62">
        <f t="shared" si="75"/>
        <v>75.515043491092499</v>
      </c>
      <c r="M258" s="62">
        <f t="shared" si="75"/>
        <v>69.069857954746723</v>
      </c>
      <c r="N258" s="62">
        <f t="shared" si="75"/>
        <v>70.992242763381213</v>
      </c>
      <c r="O258" s="62">
        <f t="shared" si="75"/>
        <v>83.348663464644176</v>
      </c>
      <c r="P258" s="62">
        <f t="shared" si="75"/>
        <v>84.524766317670597</v>
      </c>
      <c r="Q258" s="62">
        <f t="shared" si="75"/>
        <v>56.581723922130486</v>
      </c>
      <c r="R258" s="62">
        <f t="shared" si="75"/>
        <v>68.665922651114414</v>
      </c>
      <c r="S258" s="62">
        <f t="shared" si="75"/>
        <v>87.919713107276138</v>
      </c>
      <c r="T258" s="62">
        <f t="shared" si="75"/>
        <v>90.934381189913481</v>
      </c>
      <c r="U258" s="62">
        <f t="shared" si="75"/>
        <v>92.025433941594471</v>
      </c>
      <c r="V258" s="62">
        <f t="shared" si="75"/>
        <v>87.380676217437497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+IFERROR(IF(D221&gt;0,+((D221/D27)*100)," "),"")</f>
        <v>81.475434583387127</v>
      </c>
      <c r="E260" s="62">
        <f t="shared" si="76"/>
        <v>91.117898204911313</v>
      </c>
      <c r="F260" s="62">
        <f t="shared" si="76"/>
        <v>89.390767987752724</v>
      </c>
      <c r="G260" s="62">
        <f t="shared" si="76"/>
        <v>84.427891146065335</v>
      </c>
      <c r="H260" s="62">
        <f t="shared" si="76"/>
        <v>88.725388311609223</v>
      </c>
      <c r="I260" s="62">
        <f t="shared" si="76"/>
        <v>91.565233013477311</v>
      </c>
      <c r="J260" s="62">
        <f t="shared" si="76"/>
        <v>12.633986058414187</v>
      </c>
      <c r="K260" s="62">
        <f t="shared" si="76"/>
        <v>90.340452370996928</v>
      </c>
      <c r="L260" s="62">
        <f t="shared" si="76"/>
        <v>35.070189720152648</v>
      </c>
      <c r="M260" s="62">
        <f t="shared" si="76"/>
        <v>93.913977112991674</v>
      </c>
      <c r="N260" s="62">
        <f t="shared" si="76"/>
        <v>96.363771444593965</v>
      </c>
      <c r="O260" s="62">
        <f t="shared" si="76"/>
        <v>97.117422088426252</v>
      </c>
      <c r="P260" s="62">
        <f t="shared" si="76"/>
        <v>81.609660962346197</v>
      </c>
      <c r="Q260" s="62">
        <f t="shared" si="76"/>
        <v>94.769457681642152</v>
      </c>
      <c r="R260" s="62">
        <f t="shared" si="76"/>
        <v>94.399573804459706</v>
      </c>
      <c r="S260" s="62">
        <f t="shared" si="76"/>
        <v>94.767954565021313</v>
      </c>
      <c r="T260" s="62">
        <f t="shared" si="76"/>
        <v>79.647989505000197</v>
      </c>
      <c r="U260" s="62">
        <f t="shared" si="76"/>
        <v>95.074423267244839</v>
      </c>
      <c r="V260" s="62">
        <f t="shared" si="76"/>
        <v>93.58963065500123</v>
      </c>
    </row>
    <row r="261" spans="3:22" x14ac:dyDescent="0.2">
      <c r="C261" s="87" t="s">
        <v>137</v>
      </c>
      <c r="D261" s="60">
        <f t="shared" ref="D261:V261" si="77">+IFERROR(IF(D222&gt;0,+((D222/D28)*100)," "),"")</f>
        <v>96.025803185325998</v>
      </c>
      <c r="E261" s="60">
        <f t="shared" si="77"/>
        <v>96.765591753827252</v>
      </c>
      <c r="F261" s="60">
        <f t="shared" si="77"/>
        <v>96.286527163721985</v>
      </c>
      <c r="G261" s="60">
        <f t="shared" si="77"/>
        <v>96.838573021660679</v>
      </c>
      <c r="H261" s="60">
        <f t="shared" si="77"/>
        <v>96.153753594123614</v>
      </c>
      <c r="I261" s="60">
        <f t="shared" si="77"/>
        <v>95.67525299953455</v>
      </c>
      <c r="J261" s="60">
        <f t="shared" si="77"/>
        <v>98.169819419173976</v>
      </c>
      <c r="K261" s="60">
        <f t="shared" si="77"/>
        <v>96.650095138133324</v>
      </c>
      <c r="L261" s="60">
        <f t="shared" si="77"/>
        <v>97.988559225733979</v>
      </c>
      <c r="M261" s="60">
        <f t="shared" si="77"/>
        <v>93.621610499980918</v>
      </c>
      <c r="N261" s="60">
        <f t="shared" si="77"/>
        <v>93.144497085491068</v>
      </c>
      <c r="O261" s="60">
        <f t="shared" si="77"/>
        <v>93.638344485924492</v>
      </c>
      <c r="P261" s="60">
        <f t="shared" si="77"/>
        <v>77.112831769587189</v>
      </c>
      <c r="Q261" s="60">
        <f t="shared" si="77"/>
        <v>72.677101065027728</v>
      </c>
      <c r="R261" s="60">
        <f t="shared" si="77"/>
        <v>88.6444042799871</v>
      </c>
      <c r="S261" s="60">
        <f t="shared" si="77"/>
        <v>91.222389504911575</v>
      </c>
      <c r="T261" s="60">
        <f t="shared" si="77"/>
        <v>97.095935687180969</v>
      </c>
      <c r="U261" s="60">
        <f t="shared" si="77"/>
        <v>93.381435871874487</v>
      </c>
      <c r="V261" s="60">
        <f t="shared" si="77"/>
        <v>92.58581581701128</v>
      </c>
    </row>
    <row r="262" spans="3:22" x14ac:dyDescent="0.2">
      <c r="C262" s="88" t="s">
        <v>138</v>
      </c>
      <c r="D262" s="62">
        <f t="shared" ref="D262:V262" si="78">+IFERROR(IF(D223&gt;0,+((D223/D29)*100)," "),"")</f>
        <v>91.556454621597311</v>
      </c>
      <c r="E262" s="62">
        <f t="shared" si="78"/>
        <v>92.931523888293782</v>
      </c>
      <c r="F262" s="62">
        <f t="shared" si="78"/>
        <v>93.544006335444934</v>
      </c>
      <c r="G262" s="62">
        <f t="shared" si="78"/>
        <v>90.686283242740018</v>
      </c>
      <c r="H262" s="62">
        <f t="shared" si="78"/>
        <v>92.22487316761034</v>
      </c>
      <c r="I262" s="62">
        <f t="shared" si="78"/>
        <v>90.552815033137733</v>
      </c>
      <c r="J262" s="62">
        <f t="shared" si="78"/>
        <v>86.100957819743982</v>
      </c>
      <c r="K262" s="62">
        <f t="shared" si="78"/>
        <v>89.822007278735967</v>
      </c>
      <c r="L262" s="62">
        <f t="shared" si="78"/>
        <v>88.967381752356872</v>
      </c>
      <c r="M262" s="62">
        <f t="shared" si="78"/>
        <v>86.589799659944916</v>
      </c>
      <c r="N262" s="62">
        <f t="shared" si="78"/>
        <v>82.69195111236759</v>
      </c>
      <c r="O262" s="62">
        <f t="shared" si="78"/>
        <v>87.388090446814786</v>
      </c>
      <c r="P262" s="62">
        <f t="shared" si="78"/>
        <v>73.753189192512622</v>
      </c>
      <c r="Q262" s="62">
        <f t="shared" si="78"/>
        <v>70.126848291204965</v>
      </c>
      <c r="R262" s="62">
        <f t="shared" si="78"/>
        <v>83.775055522432396</v>
      </c>
      <c r="S262" s="62">
        <f t="shared" si="78"/>
        <v>93.826555497580799</v>
      </c>
      <c r="T262" s="62">
        <f t="shared" si="78"/>
        <v>94.72857230263196</v>
      </c>
      <c r="U262" s="62">
        <f t="shared" si="78"/>
        <v>94.774253313285612</v>
      </c>
      <c r="V262" s="62">
        <f t="shared" si="78"/>
        <v>95.776340816163767</v>
      </c>
    </row>
    <row r="263" spans="3:22" x14ac:dyDescent="0.2">
      <c r="C263" s="87" t="s">
        <v>139</v>
      </c>
      <c r="D263" s="60">
        <f t="shared" ref="D263:V263" si="79">+IFERROR(IF(D224&gt;0,+((D224/D30)*100)," "),"")</f>
        <v>84.637364196739341</v>
      </c>
      <c r="E263" s="60">
        <f t="shared" si="79"/>
        <v>88.158708413588585</v>
      </c>
      <c r="F263" s="60">
        <f t="shared" si="79"/>
        <v>85.431239096267888</v>
      </c>
      <c r="G263" s="60">
        <f t="shared" si="79"/>
        <v>83.196431852029789</v>
      </c>
      <c r="H263" s="60">
        <f t="shared" si="79"/>
        <v>89.398438374788597</v>
      </c>
      <c r="I263" s="60">
        <f t="shared" si="79"/>
        <v>89.738783228751302</v>
      </c>
      <c r="J263" s="60">
        <f t="shared" si="79"/>
        <v>80.216067377594669</v>
      </c>
      <c r="K263" s="60">
        <f t="shared" si="79"/>
        <v>86.864813089398623</v>
      </c>
      <c r="L263" s="60">
        <f t="shared" si="79"/>
        <v>89.643667997763615</v>
      </c>
      <c r="M263" s="60">
        <f t="shared" si="79"/>
        <v>87.621637221936751</v>
      </c>
      <c r="N263" s="60">
        <f t="shared" si="79"/>
        <v>66.476113042495783</v>
      </c>
      <c r="O263" s="60">
        <f t="shared" si="79"/>
        <v>76.198045493343272</v>
      </c>
      <c r="P263" s="60">
        <f t="shared" si="79"/>
        <v>85.631661720579643</v>
      </c>
      <c r="Q263" s="60">
        <f t="shared" si="79"/>
        <v>89.320878132272185</v>
      </c>
      <c r="R263" s="60">
        <f t="shared" si="79"/>
        <v>86.379993243472256</v>
      </c>
      <c r="S263" s="60">
        <f t="shared" si="79"/>
        <v>84.527143877927273</v>
      </c>
      <c r="T263" s="60">
        <f t="shared" si="79"/>
        <v>85.178545257075811</v>
      </c>
      <c r="U263" s="60">
        <f t="shared" si="79"/>
        <v>83.287517726237368</v>
      </c>
      <c r="V263" s="60">
        <f t="shared" si="79"/>
        <v>87.987960308936536</v>
      </c>
    </row>
    <row r="264" spans="3:22" x14ac:dyDescent="0.2">
      <c r="C264" s="88" t="s">
        <v>140</v>
      </c>
      <c r="D264" s="62">
        <f t="shared" ref="D264:V264" si="80">+IFERROR(IF(D225&gt;0,+((D225/D31)*100)," "),"")</f>
        <v>74.567540552755261</v>
      </c>
      <c r="E264" s="62">
        <f t="shared" si="80"/>
        <v>72.724230933383055</v>
      </c>
      <c r="F264" s="62">
        <f t="shared" si="80"/>
        <v>78.509305992427699</v>
      </c>
      <c r="G264" s="62">
        <f t="shared" si="80"/>
        <v>72.075767164007814</v>
      </c>
      <c r="H264" s="62">
        <f t="shared" si="80"/>
        <v>71.061460105736359</v>
      </c>
      <c r="I264" s="62">
        <f t="shared" si="80"/>
        <v>68.860053757271132</v>
      </c>
      <c r="J264" s="62">
        <f t="shared" si="80"/>
        <v>66.901897071636142</v>
      </c>
      <c r="K264" s="62">
        <f t="shared" si="80"/>
        <v>79.366072766735314</v>
      </c>
      <c r="L264" s="62">
        <f t="shared" si="80"/>
        <v>90.891324643253583</v>
      </c>
      <c r="M264" s="62">
        <f t="shared" si="80"/>
        <v>77.842273596499183</v>
      </c>
      <c r="N264" s="62">
        <f t="shared" si="80"/>
        <v>84.132401896498948</v>
      </c>
      <c r="O264" s="62">
        <f t="shared" si="80"/>
        <v>84.116068419017125</v>
      </c>
      <c r="P264" s="62">
        <f t="shared" si="80"/>
        <v>80.626627956817416</v>
      </c>
      <c r="Q264" s="62">
        <f t="shared" si="80"/>
        <v>87.29979264324642</v>
      </c>
      <c r="R264" s="62">
        <f t="shared" si="80"/>
        <v>82.938713728175941</v>
      </c>
      <c r="S264" s="62">
        <f t="shared" si="80"/>
        <v>89.915297851926098</v>
      </c>
      <c r="T264" s="62">
        <f t="shared" si="80"/>
        <v>92.401198011711031</v>
      </c>
      <c r="U264" s="62">
        <f t="shared" si="80"/>
        <v>86.034437317781169</v>
      </c>
      <c r="V264" s="62">
        <f t="shared" si="80"/>
        <v>89.317157999382928</v>
      </c>
    </row>
    <row r="265" spans="3:22" x14ac:dyDescent="0.2">
      <c r="C265" s="87" t="s">
        <v>141</v>
      </c>
      <c r="D265" s="60">
        <f t="shared" ref="D265:V265" si="81">+IFERROR(IF(D226&gt;0,+((D226/D32)*100)," "),"")</f>
        <v>89.882901232603828</v>
      </c>
      <c r="E265" s="60">
        <f t="shared" si="81"/>
        <v>89.47978537833383</v>
      </c>
      <c r="F265" s="60">
        <f t="shared" si="81"/>
        <v>88.747959025168257</v>
      </c>
      <c r="G265" s="60">
        <f t="shared" si="81"/>
        <v>88.323748569034763</v>
      </c>
      <c r="H265" s="60">
        <f t="shared" si="81"/>
        <v>82.582673115964212</v>
      </c>
      <c r="I265" s="60">
        <f t="shared" si="81"/>
        <v>91.232981983817055</v>
      </c>
      <c r="J265" s="60">
        <f t="shared" si="81"/>
        <v>91.456658514954569</v>
      </c>
      <c r="K265" s="60">
        <f t="shared" si="81"/>
        <v>91.879405447329617</v>
      </c>
      <c r="L265" s="60">
        <f t="shared" si="81"/>
        <v>92.462867054461768</v>
      </c>
      <c r="M265" s="60">
        <f t="shared" si="81"/>
        <v>90.343847955486282</v>
      </c>
      <c r="N265" s="60">
        <f t="shared" si="81"/>
        <v>88.600468082765417</v>
      </c>
      <c r="O265" s="60">
        <f t="shared" si="81"/>
        <v>91.568773422289937</v>
      </c>
      <c r="P265" s="60">
        <f t="shared" si="81"/>
        <v>86.112662054681849</v>
      </c>
      <c r="Q265" s="60">
        <f t="shared" si="81"/>
        <v>87.248677381460212</v>
      </c>
      <c r="R265" s="60">
        <f t="shared" si="81"/>
        <v>90.478909441812363</v>
      </c>
      <c r="S265" s="60">
        <f t="shared" si="81"/>
        <v>90.930310203762943</v>
      </c>
      <c r="T265" s="60">
        <f t="shared" si="81"/>
        <v>93.897093819782228</v>
      </c>
      <c r="U265" s="60">
        <f t="shared" si="81"/>
        <v>92.879288976086698</v>
      </c>
      <c r="V265" s="60">
        <f t="shared" si="81"/>
        <v>93.265938735291371</v>
      </c>
    </row>
    <row r="266" spans="3:22" x14ac:dyDescent="0.2">
      <c r="C266" s="88" t="s">
        <v>142</v>
      </c>
      <c r="D266" s="62">
        <f t="shared" ref="D266:V266" si="82">+IFERROR(IF(D227&gt;0,+((D227/D33)*100)," "),"")</f>
        <v>75.961312686019326</v>
      </c>
      <c r="E266" s="62">
        <f t="shared" si="82"/>
        <v>85.975525679082239</v>
      </c>
      <c r="F266" s="62">
        <f t="shared" si="82"/>
        <v>93.610305469389601</v>
      </c>
      <c r="G266" s="62">
        <f t="shared" si="82"/>
        <v>93.483023151156615</v>
      </c>
      <c r="H266" s="62">
        <f t="shared" si="82"/>
        <v>82.898038443209686</v>
      </c>
      <c r="I266" s="62">
        <f t="shared" si="82"/>
        <v>82.090549428772803</v>
      </c>
      <c r="J266" s="62">
        <f t="shared" si="82"/>
        <v>72.700909098293565</v>
      </c>
      <c r="K266" s="62">
        <f t="shared" si="82"/>
        <v>67.891414082804658</v>
      </c>
      <c r="L266" s="62">
        <f t="shared" si="82"/>
        <v>80.457351107732833</v>
      </c>
      <c r="M266" s="62">
        <f t="shared" si="82"/>
        <v>73.923041743733307</v>
      </c>
      <c r="N266" s="62">
        <f t="shared" si="82"/>
        <v>21.088679866597289</v>
      </c>
      <c r="O266" s="62">
        <f t="shared" si="82"/>
        <v>86.910565363322533</v>
      </c>
      <c r="P266" s="62">
        <f t="shared" si="82"/>
        <v>82.751294052758183</v>
      </c>
      <c r="Q266" s="62">
        <f t="shared" si="82"/>
        <v>71.441865548935084</v>
      </c>
      <c r="R266" s="62">
        <f t="shared" si="82"/>
        <v>81.970987181771946</v>
      </c>
      <c r="S266" s="62">
        <f t="shared" si="82"/>
        <v>86.23562809683952</v>
      </c>
      <c r="T266" s="62">
        <f t="shared" si="82"/>
        <v>90.226122281818363</v>
      </c>
      <c r="U266" s="62">
        <f t="shared" si="82"/>
        <v>90.66620481582207</v>
      </c>
      <c r="V266" s="62">
        <f t="shared" si="82"/>
        <v>92.637304461595321</v>
      </c>
    </row>
    <row r="267" spans="3:22" x14ac:dyDescent="0.2">
      <c r="C267" s="87" t="s">
        <v>143</v>
      </c>
      <c r="D267" s="60">
        <f t="shared" ref="D267:V267" si="83">+IFERROR(IF(D228&gt;0,+((D228/D34)*100)," "),"")</f>
        <v>85.507572243251104</v>
      </c>
      <c r="E267" s="60">
        <f t="shared" si="83"/>
        <v>94.604477988158692</v>
      </c>
      <c r="F267" s="60">
        <f t="shared" si="83"/>
        <v>88.42694591658406</v>
      </c>
      <c r="G267" s="60">
        <f t="shared" si="83"/>
        <v>89.070877072591884</v>
      </c>
      <c r="H267" s="60">
        <f t="shared" si="83"/>
        <v>93.824130920661872</v>
      </c>
      <c r="I267" s="60">
        <f t="shared" si="83"/>
        <v>91.013857595711983</v>
      </c>
      <c r="J267" s="60">
        <f t="shared" si="83"/>
        <v>90.462463283363775</v>
      </c>
      <c r="K267" s="60">
        <f t="shared" si="83"/>
        <v>92.300732973923573</v>
      </c>
      <c r="L267" s="60">
        <f t="shared" si="83"/>
        <v>96.383457287142107</v>
      </c>
      <c r="M267" s="60">
        <f t="shared" si="83"/>
        <v>90.536090582530363</v>
      </c>
      <c r="N267" s="60">
        <f t="shared" si="83"/>
        <v>90.348135031627777</v>
      </c>
      <c r="O267" s="60">
        <f t="shared" si="83"/>
        <v>80.826195251291182</v>
      </c>
      <c r="P267" s="60">
        <f t="shared" si="83"/>
        <v>51.162343130281108</v>
      </c>
      <c r="Q267" s="60">
        <f t="shared" si="83"/>
        <v>63.551122362474509</v>
      </c>
      <c r="R267" s="60">
        <f t="shared" si="83"/>
        <v>53.719107067394134</v>
      </c>
      <c r="S267" s="60">
        <f t="shared" si="83"/>
        <v>71.03220637934497</v>
      </c>
      <c r="T267" s="60">
        <f t="shared" si="83"/>
        <v>61.416622154839708</v>
      </c>
      <c r="U267" s="60">
        <f t="shared" si="83"/>
        <v>51.435139131465476</v>
      </c>
      <c r="V267" s="60">
        <f t="shared" si="83"/>
        <v>71.111358660028031</v>
      </c>
    </row>
    <row r="268" spans="3:22" x14ac:dyDescent="0.2">
      <c r="C268" s="88" t="s">
        <v>144</v>
      </c>
      <c r="D268" s="62">
        <f t="shared" ref="D268:V268" si="84">+IFERROR(IF(D229&gt;0,+((D229/D35)*100)," "),"")</f>
        <v>94.85167884324234</v>
      </c>
      <c r="E268" s="62">
        <f t="shared" si="84"/>
        <v>96.55208815103758</v>
      </c>
      <c r="F268" s="62">
        <f t="shared" si="84"/>
        <v>93.956492496096445</v>
      </c>
      <c r="G268" s="62">
        <f t="shared" si="84"/>
        <v>95.361019689010448</v>
      </c>
      <c r="H268" s="62">
        <f t="shared" si="84"/>
        <v>85.859171866621594</v>
      </c>
      <c r="I268" s="62">
        <f t="shared" si="84"/>
        <v>97.033369539644809</v>
      </c>
      <c r="J268" s="62">
        <f t="shared" si="84"/>
        <v>96.764740284827127</v>
      </c>
      <c r="K268" s="62">
        <f t="shared" si="84"/>
        <v>97.894354014673866</v>
      </c>
      <c r="L268" s="62">
        <f t="shared" si="84"/>
        <v>96.752565123296208</v>
      </c>
      <c r="M268" s="62">
        <f t="shared" si="84"/>
        <v>95.830914252418339</v>
      </c>
      <c r="N268" s="62">
        <f t="shared" si="84"/>
        <v>96.500329956555149</v>
      </c>
      <c r="O268" s="62">
        <f t="shared" si="84"/>
        <v>94.800994502082887</v>
      </c>
      <c r="P268" s="62">
        <f t="shared" si="84"/>
        <v>92.788429975371159</v>
      </c>
      <c r="Q268" s="62">
        <f t="shared" si="84"/>
        <v>98.733673552121402</v>
      </c>
      <c r="R268" s="62">
        <f t="shared" si="84"/>
        <v>97.896015258278979</v>
      </c>
      <c r="S268" s="62">
        <f t="shared" si="84"/>
        <v>95.690988017057848</v>
      </c>
      <c r="T268" s="62">
        <f t="shared" si="84"/>
        <v>93.12010826845875</v>
      </c>
      <c r="U268" s="62">
        <f t="shared" si="84"/>
        <v>94.245991873108409</v>
      </c>
      <c r="V268" s="62">
        <f t="shared" si="84"/>
        <v>98.450874930599852</v>
      </c>
    </row>
    <row r="269" spans="3:22" x14ac:dyDescent="0.2">
      <c r="C269" s="87" t="s">
        <v>145</v>
      </c>
      <c r="D269" s="60">
        <f t="shared" ref="D269:V269" si="85">+IFERROR(IF(D230&gt;0,+((D230/D36)*100)," "),"")</f>
        <v>81.552112403190833</v>
      </c>
      <c r="E269" s="60">
        <f t="shared" si="85"/>
        <v>66.713041015268232</v>
      </c>
      <c r="F269" s="60">
        <f t="shared" si="85"/>
        <v>75.035851360102583</v>
      </c>
      <c r="G269" s="60">
        <f t="shared" si="85"/>
        <v>71.078079829345512</v>
      </c>
      <c r="H269" s="60">
        <f t="shared" si="85"/>
        <v>88.949224998613502</v>
      </c>
      <c r="I269" s="60">
        <f t="shared" si="85"/>
        <v>95.048353913740911</v>
      </c>
      <c r="J269" s="60">
        <f t="shared" si="85"/>
        <v>84.574529163942032</v>
      </c>
      <c r="K269" s="60">
        <f t="shared" si="85"/>
        <v>88.512924375791897</v>
      </c>
      <c r="L269" s="60">
        <f t="shared" si="85"/>
        <v>93.091156496943427</v>
      </c>
      <c r="M269" s="60">
        <f t="shared" si="85"/>
        <v>92.13678688828162</v>
      </c>
      <c r="N269" s="60">
        <f t="shared" si="85"/>
        <v>96.894685488738503</v>
      </c>
      <c r="O269" s="60">
        <f t="shared" si="85"/>
        <v>85.207182286090159</v>
      </c>
      <c r="P269" s="60">
        <f t="shared" si="85"/>
        <v>89.204929687123737</v>
      </c>
      <c r="Q269" s="60">
        <f t="shared" si="85"/>
        <v>83.536251426718863</v>
      </c>
      <c r="R269" s="60">
        <f t="shared" si="85"/>
        <v>92.804490134284293</v>
      </c>
      <c r="S269" s="60">
        <f t="shared" si="85"/>
        <v>90.949737175447979</v>
      </c>
      <c r="T269" s="60">
        <f t="shared" si="85"/>
        <v>92.291334930447263</v>
      </c>
      <c r="U269" s="60">
        <f t="shared" si="85"/>
        <v>91.450349089140587</v>
      </c>
      <c r="V269" s="60">
        <f t="shared" si="85"/>
        <v>97.157641640582753</v>
      </c>
    </row>
    <row r="270" spans="3:22" x14ac:dyDescent="0.2">
      <c r="C270" s="88" t="s">
        <v>146</v>
      </c>
      <c r="D270" s="62">
        <f t="shared" ref="D270:V270" si="86">+IFERROR(IF(D231&gt;0,+((D231/D37)*100)," "),"")</f>
        <v>88.816709410608112</v>
      </c>
      <c r="E270" s="62">
        <f t="shared" si="86"/>
        <v>93.497216269104925</v>
      </c>
      <c r="F270" s="62">
        <f t="shared" si="86"/>
        <v>85.945561930225551</v>
      </c>
      <c r="G270" s="62">
        <f t="shared" si="86"/>
        <v>96.679558136761827</v>
      </c>
      <c r="H270" s="62">
        <f t="shared" si="86"/>
        <v>90.471992948685127</v>
      </c>
      <c r="I270" s="62">
        <f t="shared" si="86"/>
        <v>86.05831753262045</v>
      </c>
      <c r="J270" s="62">
        <f t="shared" si="86"/>
        <v>89.643625848886799</v>
      </c>
      <c r="K270" s="62">
        <f t="shared" si="86"/>
        <v>83.128564845577031</v>
      </c>
      <c r="L270" s="62">
        <f t="shared" si="86"/>
        <v>90.677301498549568</v>
      </c>
      <c r="M270" s="62">
        <f t="shared" si="86"/>
        <v>91.428945847855459</v>
      </c>
      <c r="N270" s="62">
        <f t="shared" si="86"/>
        <v>82.361852710935651</v>
      </c>
      <c r="O270" s="62">
        <f t="shared" si="86"/>
        <v>93.936946808400862</v>
      </c>
      <c r="P270" s="62">
        <f t="shared" si="86"/>
        <v>92.786702127846709</v>
      </c>
      <c r="Q270" s="62">
        <f t="shared" si="86"/>
        <v>90.080816870078067</v>
      </c>
      <c r="R270" s="62">
        <f t="shared" si="86"/>
        <v>97.245445422114742</v>
      </c>
      <c r="S270" s="62">
        <f t="shared" si="86"/>
        <v>98.01261765307062</v>
      </c>
      <c r="T270" s="62">
        <f t="shared" si="86"/>
        <v>95.94365237400774</v>
      </c>
      <c r="U270" s="62">
        <f t="shared" si="86"/>
        <v>94.779294677520582</v>
      </c>
      <c r="V270" s="62">
        <f t="shared" si="86"/>
        <v>92.376508973270901</v>
      </c>
    </row>
    <row r="271" spans="3:22" x14ac:dyDescent="0.2">
      <c r="C271" s="90" t="s">
        <v>147</v>
      </c>
      <c r="D271" s="61">
        <f t="shared" ref="D271:V271" si="87">+IFERROR(IF(D232&gt;0,+((D232/D38)*100)," "),"")</f>
        <v>92.271408406151963</v>
      </c>
      <c r="E271" s="61">
        <f t="shared" si="87"/>
        <v>97.441763172625826</v>
      </c>
      <c r="F271" s="61">
        <f t="shared" si="87"/>
        <v>98.300030739610705</v>
      </c>
      <c r="G271" s="61">
        <f t="shared" si="87"/>
        <v>96.567972457742741</v>
      </c>
      <c r="H271" s="61">
        <f t="shared" si="87"/>
        <v>92.47907496965378</v>
      </c>
      <c r="I271" s="61">
        <f t="shared" si="87"/>
        <v>93.496607291645589</v>
      </c>
      <c r="J271" s="61">
        <f t="shared" si="87"/>
        <v>92.951424473614907</v>
      </c>
      <c r="K271" s="61">
        <f t="shared" si="87"/>
        <v>96.009773240330844</v>
      </c>
      <c r="L271" s="61">
        <f t="shared" si="87"/>
        <v>97.281959228758907</v>
      </c>
      <c r="M271" s="61">
        <f t="shared" si="87"/>
        <v>85.646357163245028</v>
      </c>
      <c r="N271" s="61">
        <f t="shared" si="87"/>
        <v>71.471465088419166</v>
      </c>
      <c r="O271" s="61">
        <f t="shared" si="87"/>
        <v>80.8595686080523</v>
      </c>
      <c r="P271" s="61">
        <f t="shared" si="87"/>
        <v>77.800149098484198</v>
      </c>
      <c r="Q271" s="61">
        <f t="shared" si="87"/>
        <v>92.118836508534514</v>
      </c>
      <c r="R271" s="61">
        <f t="shared" si="87"/>
        <v>85.159844374399498</v>
      </c>
      <c r="S271" s="61">
        <f t="shared" si="87"/>
        <v>86.076087932281638</v>
      </c>
      <c r="T271" s="61">
        <f t="shared" si="87"/>
        <v>88.972412782024989</v>
      </c>
      <c r="U271" s="61">
        <f t="shared" si="87"/>
        <v>92.165653144677137</v>
      </c>
      <c r="V271" s="61">
        <f t="shared" si="87"/>
        <v>90.692210442734961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+IFERROR(IF(D233&gt;0,+((D233/D39)*100),"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>
        <f t="shared" si="88"/>
        <v>55.081877894904977</v>
      </c>
      <c r="V272" s="63">
        <f t="shared" si="88"/>
        <v>77.692399336423705</v>
      </c>
    </row>
    <row r="273" spans="3:22" x14ac:dyDescent="0.2">
      <c r="C273" s="87" t="s">
        <v>149</v>
      </c>
      <c r="D273" s="60">
        <f t="shared" ref="D273:V273" si="89">+IFERROR(IF(D234&gt;0,+((D234/D40)*100)," "),"")</f>
        <v>74.158041048752324</v>
      </c>
      <c r="E273" s="60">
        <f t="shared" si="89"/>
        <v>81.073502624744037</v>
      </c>
      <c r="F273" s="60">
        <f t="shared" si="89"/>
        <v>82.038443748872055</v>
      </c>
      <c r="G273" s="60">
        <f t="shared" si="89"/>
        <v>86.120088139205237</v>
      </c>
      <c r="H273" s="60">
        <f t="shared" si="89"/>
        <v>88.022351071442216</v>
      </c>
      <c r="I273" s="60">
        <f t="shared" si="89"/>
        <v>86.04990422899526</v>
      </c>
      <c r="J273" s="60">
        <f t="shared" si="89"/>
        <v>67.567677978284081</v>
      </c>
      <c r="K273" s="60">
        <f t="shared" si="89"/>
        <v>76.742872859407967</v>
      </c>
      <c r="L273" s="60">
        <f t="shared" si="89"/>
        <v>82.281898208216859</v>
      </c>
      <c r="M273" s="60">
        <f t="shared" si="89"/>
        <v>29.717386369331294</v>
      </c>
      <c r="N273" s="60">
        <f t="shared" si="89"/>
        <v>76.822170378779646</v>
      </c>
      <c r="O273" s="60">
        <f t="shared" si="89"/>
        <v>89.967760626846456</v>
      </c>
      <c r="P273" s="60">
        <f t="shared" si="89"/>
        <v>53.628576945876446</v>
      </c>
      <c r="Q273" s="60">
        <f t="shared" si="89"/>
        <v>57.108425967140896</v>
      </c>
      <c r="R273" s="60">
        <f t="shared" si="89"/>
        <v>48.975911273257097</v>
      </c>
      <c r="S273" s="60">
        <f t="shared" si="89"/>
        <v>82.138398695799083</v>
      </c>
      <c r="T273" s="60">
        <f t="shared" si="89"/>
        <v>93.271615432079528</v>
      </c>
      <c r="U273" s="60">
        <f t="shared" si="89"/>
        <v>88.25243335245213</v>
      </c>
      <c r="V273" s="60">
        <f t="shared" si="89"/>
        <v>90.204177329018549</v>
      </c>
    </row>
    <row r="274" spans="3:22" x14ac:dyDescent="0.2">
      <c r="C274" s="88" t="s">
        <v>150</v>
      </c>
      <c r="D274" s="62">
        <f t="shared" ref="D274:V274" si="90">+IFERROR(IF(D235&gt;0,+((D235/D41)*100)," "),"")</f>
        <v>75.089815726498784</v>
      </c>
      <c r="E274" s="62">
        <f t="shared" si="90"/>
        <v>77.515638414481558</v>
      </c>
      <c r="F274" s="62">
        <f t="shared" si="90"/>
        <v>34.13795213749308</v>
      </c>
      <c r="G274" s="62">
        <f t="shared" si="90"/>
        <v>85.328992996552984</v>
      </c>
      <c r="H274" s="62">
        <f t="shared" si="90"/>
        <v>87.075175615146279</v>
      </c>
      <c r="I274" s="62">
        <f t="shared" si="90"/>
        <v>77.640700146496044</v>
      </c>
      <c r="J274" s="62">
        <f t="shared" si="90"/>
        <v>63.974597322499314</v>
      </c>
      <c r="K274" s="62">
        <f t="shared" si="90"/>
        <v>74.586033823763714</v>
      </c>
      <c r="L274" s="62">
        <f t="shared" si="90"/>
        <v>92.596628825745825</v>
      </c>
      <c r="M274" s="62">
        <f t="shared" si="90"/>
        <v>88.193174562133493</v>
      </c>
      <c r="N274" s="62">
        <f t="shared" si="90"/>
        <v>74.731288315547076</v>
      </c>
      <c r="O274" s="62">
        <f t="shared" si="90"/>
        <v>76.748238798759701</v>
      </c>
      <c r="P274" s="62">
        <f t="shared" si="90"/>
        <v>84.674711654243879</v>
      </c>
      <c r="Q274" s="62">
        <f t="shared" si="90"/>
        <v>80.286633289217036</v>
      </c>
      <c r="R274" s="62">
        <f t="shared" si="90"/>
        <v>85.79429850209857</v>
      </c>
      <c r="S274" s="62">
        <f t="shared" si="90"/>
        <v>84.301330472367837</v>
      </c>
      <c r="T274" s="62">
        <f t="shared" si="90"/>
        <v>89.378578450260036</v>
      </c>
      <c r="U274" s="62">
        <f t="shared" si="90"/>
        <v>89.802442207725335</v>
      </c>
      <c r="V274" s="62">
        <f t="shared" si="90"/>
        <v>92.900670726647618</v>
      </c>
    </row>
    <row r="275" spans="3:22" x14ac:dyDescent="0.2">
      <c r="C275" s="87" t="s">
        <v>151</v>
      </c>
      <c r="D275" s="60">
        <f t="shared" ref="D275:V275" si="91">+IFERROR(IF(D236&gt;0,+((D236/D42)*100)," "),"")</f>
        <v>77.853769245088316</v>
      </c>
      <c r="E275" s="60">
        <f t="shared" si="91"/>
        <v>83.438226263206332</v>
      </c>
      <c r="F275" s="60">
        <f t="shared" si="91"/>
        <v>86.37540159579396</v>
      </c>
      <c r="G275" s="60">
        <f t="shared" si="91"/>
        <v>87.102404494021116</v>
      </c>
      <c r="H275" s="60">
        <f t="shared" si="91"/>
        <v>90.043216708752553</v>
      </c>
      <c r="I275" s="60">
        <f t="shared" si="91"/>
        <v>74.674139147004098</v>
      </c>
      <c r="J275" s="60">
        <f t="shared" si="91"/>
        <v>76.899918699895011</v>
      </c>
      <c r="K275" s="60">
        <f t="shared" si="91"/>
        <v>83.053409534910429</v>
      </c>
      <c r="L275" s="60">
        <f t="shared" si="91"/>
        <v>81.411518646117969</v>
      </c>
      <c r="M275" s="60">
        <f t="shared" si="91"/>
        <v>90.643937565753575</v>
      </c>
      <c r="N275" s="60">
        <f t="shared" si="91"/>
        <v>72.580292234870413</v>
      </c>
      <c r="O275" s="60">
        <f t="shared" si="91"/>
        <v>98.006519659262878</v>
      </c>
      <c r="P275" s="60">
        <f t="shared" si="91"/>
        <v>99.077536123038001</v>
      </c>
      <c r="Q275" s="60">
        <f t="shared" si="91"/>
        <v>99.613262105117457</v>
      </c>
      <c r="R275" s="60">
        <f t="shared" si="91"/>
        <v>99.541800715356814</v>
      </c>
      <c r="S275" s="60">
        <f t="shared" si="91"/>
        <v>99.021884337048235</v>
      </c>
      <c r="T275" s="60">
        <f t="shared" si="91"/>
        <v>99.25622838323109</v>
      </c>
      <c r="U275" s="60">
        <f t="shared" si="91"/>
        <v>99.507595818516421</v>
      </c>
      <c r="V275" s="60">
        <f t="shared" si="91"/>
        <v>99.485005031816996</v>
      </c>
    </row>
    <row r="276" spans="3:22" x14ac:dyDescent="0.2">
      <c r="C276" s="91" t="s">
        <v>179</v>
      </c>
      <c r="D276" s="64">
        <f t="shared" ref="D276:V276" si="92">+IFERROR(IF(D237&gt;0,+((D237/D43)*100)," "),"")</f>
        <v>84.103975218060938</v>
      </c>
      <c r="E276" s="64">
        <f t="shared" si="92"/>
        <v>92.211563585526051</v>
      </c>
      <c r="F276" s="64">
        <f t="shared" si="92"/>
        <v>90.957888048914995</v>
      </c>
      <c r="G276" s="64">
        <f t="shared" si="92"/>
        <v>92.168210010275629</v>
      </c>
      <c r="H276" s="64">
        <f t="shared" si="92"/>
        <v>90.81525746153288</v>
      </c>
      <c r="I276" s="64">
        <f t="shared" si="92"/>
        <v>93.272477922209447</v>
      </c>
      <c r="J276" s="64">
        <f t="shared" si="92"/>
        <v>93.229649421860728</v>
      </c>
      <c r="K276" s="64">
        <f t="shared" si="92"/>
        <v>94.171277367232108</v>
      </c>
      <c r="L276" s="64">
        <f t="shared" si="92"/>
        <v>94.123025105197527</v>
      </c>
      <c r="M276" s="64">
        <f t="shared" si="92"/>
        <v>89.928641593335911</v>
      </c>
      <c r="N276" s="64">
        <f t="shared" si="92"/>
        <v>84.869130525320799</v>
      </c>
      <c r="O276" s="64">
        <f t="shared" si="92"/>
        <v>90.500197916782525</v>
      </c>
      <c r="P276" s="64">
        <f t="shared" si="92"/>
        <v>89.001779730633629</v>
      </c>
      <c r="Q276" s="64">
        <f t="shared" si="92"/>
        <v>90.160705962389585</v>
      </c>
      <c r="R276" s="64">
        <f t="shared" si="92"/>
        <v>88.965582954051115</v>
      </c>
      <c r="S276" s="64">
        <f t="shared" si="92"/>
        <v>92.320473138139477</v>
      </c>
      <c r="T276" s="64">
        <f t="shared" si="92"/>
        <v>93.123509947562184</v>
      </c>
      <c r="U276" s="64">
        <f t="shared" si="92"/>
        <v>94.023791501673443</v>
      </c>
      <c r="V276" s="64">
        <f t="shared" si="92"/>
        <v>94.108413260148836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D2:V2"/>
    <mergeCell ref="K206:K207"/>
    <mergeCell ref="H245:H246"/>
    <mergeCell ref="D204:V204"/>
    <mergeCell ref="D51:D52"/>
    <mergeCell ref="A5:C6"/>
    <mergeCell ref="H206:H207"/>
    <mergeCell ref="I168:I169"/>
    <mergeCell ref="N51:N52"/>
    <mergeCell ref="K168:K169"/>
    <mergeCell ref="E129:E130"/>
    <mergeCell ref="O6:O7"/>
    <mergeCell ref="D4:V4"/>
    <mergeCell ref="E206:E207"/>
    <mergeCell ref="K51:K52"/>
    <mergeCell ref="U90:U91"/>
    <mergeCell ref="F12:F13"/>
    <mergeCell ref="M51:M52"/>
    <mergeCell ref="D127:V127"/>
    <mergeCell ref="H168:H169"/>
    <mergeCell ref="Q245:Q246"/>
    <mergeCell ref="Q206:Q207"/>
    <mergeCell ref="L88:Q88"/>
    <mergeCell ref="V6:V7"/>
    <mergeCell ref="Q51:Q52"/>
    <mergeCell ref="G245:G246"/>
    <mergeCell ref="I12:I13"/>
    <mergeCell ref="K12:K13"/>
    <mergeCell ref="R51:R52"/>
    <mergeCell ref="O12:O13"/>
    <mergeCell ref="O168:O169"/>
    <mergeCell ref="R206:R207"/>
    <mergeCell ref="N245:N246"/>
    <mergeCell ref="P245:P246"/>
    <mergeCell ref="P12:P13"/>
    <mergeCell ref="O129:O130"/>
    <mergeCell ref="Q129:Q130"/>
    <mergeCell ref="R245:R246"/>
    <mergeCell ref="V245:V246"/>
    <mergeCell ref="O51:O52"/>
    <mergeCell ref="S206:S207"/>
    <mergeCell ref="U206:U207"/>
    <mergeCell ref="D242:V242"/>
    <mergeCell ref="T245:T246"/>
    <mergeCell ref="L243:Q243"/>
    <mergeCell ref="D48:V48"/>
    <mergeCell ref="O90:O91"/>
    <mergeCell ref="D6:D7"/>
    <mergeCell ref="F206:F207"/>
    <mergeCell ref="I129:I130"/>
    <mergeCell ref="F6:F7"/>
    <mergeCell ref="M245:M246"/>
    <mergeCell ref="O245:O246"/>
    <mergeCell ref="S90:S91"/>
    <mergeCell ref="U12:U13"/>
    <mergeCell ref="E6:E7"/>
    <mergeCell ref="T129:T130"/>
    <mergeCell ref="D10:V10"/>
    <mergeCell ref="V90:V91"/>
    <mergeCell ref="T51:T52"/>
    <mergeCell ref="V51:V52"/>
    <mergeCell ref="L51:L52"/>
    <mergeCell ref="D245:D246"/>
    <mergeCell ref="F90:F91"/>
    <mergeCell ref="R168:R169"/>
    <mergeCell ref="H6:H7"/>
    <mergeCell ref="J6:J7"/>
    <mergeCell ref="F245:F246"/>
    <mergeCell ref="J90:J91"/>
    <mergeCell ref="L90:L91"/>
    <mergeCell ref="I90:I91"/>
    <mergeCell ref="C206:C207"/>
    <mergeCell ref="C90:C91"/>
    <mergeCell ref="G129:G130"/>
    <mergeCell ref="J12:J13"/>
    <mergeCell ref="D168:D169"/>
    <mergeCell ref="E90:E91"/>
    <mergeCell ref="A7:C7"/>
    <mergeCell ref="F168:F169"/>
    <mergeCell ref="D90:D91"/>
    <mergeCell ref="D87:V87"/>
    <mergeCell ref="L166:Q166"/>
    <mergeCell ref="E51:E52"/>
    <mergeCell ref="I206:I207"/>
    <mergeCell ref="F129:F130"/>
    <mergeCell ref="H129:H130"/>
    <mergeCell ref="O206:O207"/>
    <mergeCell ref="G6:G7"/>
    <mergeCell ref="Q6:Q7"/>
    <mergeCell ref="S6:S7"/>
    <mergeCell ref="U168:U169"/>
    <mergeCell ref="T90:T91"/>
    <mergeCell ref="T6:T7"/>
    <mergeCell ref="C168:C169"/>
    <mergeCell ref="D206:D207"/>
    <mergeCell ref="D12:D13"/>
    <mergeCell ref="C129:C130"/>
    <mergeCell ref="J206:J207"/>
    <mergeCell ref="C51:C52"/>
    <mergeCell ref="G206:G207"/>
    <mergeCell ref="H12:H13"/>
    <mergeCell ref="I245:I246"/>
    <mergeCell ref="U51:U52"/>
    <mergeCell ref="C245:C246"/>
    <mergeCell ref="Q12:Q13"/>
    <mergeCell ref="Q168:Q169"/>
    <mergeCell ref="S168:S169"/>
    <mergeCell ref="S12:S13"/>
    <mergeCell ref="P129:P130"/>
    <mergeCell ref="J129:J130"/>
    <mergeCell ref="J51:J52"/>
    <mergeCell ref="E12:E13"/>
    <mergeCell ref="G12:G13"/>
    <mergeCell ref="I51:I52"/>
    <mergeCell ref="E168:E169"/>
    <mergeCell ref="G168:G169"/>
    <mergeCell ref="D129:D130"/>
    <mergeCell ref="L245:L246"/>
    <mergeCell ref="F51:F52"/>
    <mergeCell ref="H51:H52"/>
    <mergeCell ref="C12:C13"/>
    <mergeCell ref="L206:L207"/>
    <mergeCell ref="M168:M169"/>
    <mergeCell ref="M12:M13"/>
    <mergeCell ref="L129:L130"/>
    <mergeCell ref="U6:U7"/>
    <mergeCell ref="K6:K7"/>
    <mergeCell ref="P51:P52"/>
    <mergeCell ref="V206:V207"/>
    <mergeCell ref="P90:P91"/>
    <mergeCell ref="L6:L7"/>
    <mergeCell ref="N6:N7"/>
    <mergeCell ref="V129:V130"/>
    <mergeCell ref="N168:N169"/>
    <mergeCell ref="P168:P169"/>
    <mergeCell ref="N90:N91"/>
    <mergeCell ref="N206:N207"/>
    <mergeCell ref="Q90:Q91"/>
    <mergeCell ref="M206:M207"/>
    <mergeCell ref="P206:P207"/>
    <mergeCell ref="V168:V169"/>
    <mergeCell ref="V12:V13"/>
    <mergeCell ref="S129:S130"/>
    <mergeCell ref="U129:U130"/>
    <mergeCell ref="S51:S52"/>
    <mergeCell ref="M6:M7"/>
    <mergeCell ref="R129:R130"/>
    <mergeCell ref="T168:T169"/>
    <mergeCell ref="R90:R91"/>
    <mergeCell ref="I6:I7"/>
    <mergeCell ref="N129:N130"/>
    <mergeCell ref="G90:G91"/>
    <mergeCell ref="J245:J246"/>
    <mergeCell ref="L12:L13"/>
    <mergeCell ref="D165:V165"/>
    <mergeCell ref="N12:N13"/>
    <mergeCell ref="K129:K130"/>
    <mergeCell ref="M129:M130"/>
    <mergeCell ref="P6:P7"/>
    <mergeCell ref="R6:R7"/>
    <mergeCell ref="T206:T207"/>
    <mergeCell ref="M90:M91"/>
    <mergeCell ref="R12:R13"/>
    <mergeCell ref="T12:T13"/>
    <mergeCell ref="E245:E246"/>
    <mergeCell ref="K90:K91"/>
    <mergeCell ref="J168:J169"/>
    <mergeCell ref="H90:H91"/>
    <mergeCell ref="L168:L169"/>
    <mergeCell ref="S245:S246"/>
    <mergeCell ref="U245:U246"/>
    <mergeCell ref="K245:K246"/>
    <mergeCell ref="G51:G52"/>
  </mergeCells>
  <pageMargins left="0.7" right="0.7" top="0.75" bottom="0.75" header="0.3" footer="0.3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L298"/>
  <sheetViews>
    <sheetView showGridLines="0" zoomScaleNormal="100" workbookViewId="0">
      <pane xSplit="3" ySplit="8" topLeftCell="D2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46" sqref="C46"/>
    </sheetView>
  </sheetViews>
  <sheetFormatPr baseColWidth="10" defaultColWidth="11.42578125" defaultRowHeight="11.25" x14ac:dyDescent="0.2"/>
  <cols>
    <col min="1" max="2" width="2.7109375" style="3" customWidth="1"/>
    <col min="3" max="3" width="48.570312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2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2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2" ht="16.5" customHeight="1" x14ac:dyDescent="0.2"/>
    <row r="6" spans="1:12" ht="18" customHeight="1" x14ac:dyDescent="0.2">
      <c r="A6" s="165" t="s">
        <v>28</v>
      </c>
      <c r="B6" s="156"/>
      <c r="C6" s="156"/>
      <c r="D6" s="161"/>
      <c r="E6" s="178"/>
      <c r="F6" s="178"/>
      <c r="G6" s="178"/>
      <c r="H6" s="178"/>
      <c r="I6" s="178"/>
      <c r="J6" s="178"/>
      <c r="K6" s="178"/>
    </row>
    <row r="7" spans="1:12" ht="18" customHeight="1" x14ac:dyDescent="0.2">
      <c r="A7" s="156"/>
      <c r="B7" s="156"/>
      <c r="C7" s="156"/>
      <c r="D7" s="151">
        <v>2019</v>
      </c>
      <c r="E7" s="151">
        <v>2020</v>
      </c>
      <c r="F7" s="151">
        <v>2021</v>
      </c>
      <c r="G7" s="151">
        <v>2022</v>
      </c>
      <c r="H7" s="151">
        <v>2023</v>
      </c>
      <c r="I7" s="151">
        <v>2024</v>
      </c>
      <c r="J7" s="151">
        <v>2025</v>
      </c>
      <c r="K7" s="151" t="s">
        <v>10</v>
      </c>
    </row>
    <row r="8" spans="1:12" ht="16.5" customHeight="1" x14ac:dyDescent="0.2">
      <c r="A8" s="162" t="s">
        <v>227</v>
      </c>
      <c r="B8" s="156"/>
      <c r="C8" s="156"/>
      <c r="D8" s="156"/>
      <c r="E8" s="178"/>
      <c r="F8" s="178"/>
      <c r="G8" s="178"/>
      <c r="H8" s="178"/>
      <c r="I8" s="178"/>
      <c r="J8" s="178"/>
      <c r="K8" s="178"/>
    </row>
    <row r="9" spans="1:12" ht="16.5" customHeight="1" x14ac:dyDescent="0.2"/>
    <row r="10" spans="1:12" ht="16.5" customHeight="1" x14ac:dyDescent="0.2">
      <c r="D10" s="183" t="s">
        <v>164</v>
      </c>
      <c r="E10" s="178"/>
      <c r="F10" s="178"/>
      <c r="G10" s="178"/>
      <c r="H10" s="178"/>
      <c r="I10" s="178"/>
      <c r="J10" s="178"/>
      <c r="K10" s="178"/>
      <c r="L10" s="178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76" t="s">
        <v>120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10</v>
      </c>
    </row>
    <row r="13" spans="1:12" ht="9.9499999999999993" customHeight="1" thickBot="1" x14ac:dyDescent="0.25">
      <c r="C13" s="160"/>
      <c r="D13" s="154"/>
      <c r="E13" s="154"/>
      <c r="F13" s="154"/>
      <c r="G13" s="154"/>
      <c r="H13" s="154"/>
      <c r="I13" s="154"/>
      <c r="J13" s="154"/>
      <c r="K13" s="154"/>
    </row>
    <row r="14" spans="1:12" x14ac:dyDescent="0.2">
      <c r="C14" s="87" t="s">
        <v>123</v>
      </c>
      <c r="D14" s="42">
        <f>727.067988028*Deflactores!$T$5</f>
        <v>1128.3557841649033</v>
      </c>
      <c r="E14" s="42">
        <f>713.203356274*Deflactores!$U$5</f>
        <v>1089.3011517910245</v>
      </c>
      <c r="F14" s="42">
        <f>625.079042*Deflactores!$V$5</f>
        <v>903.90618756594506</v>
      </c>
      <c r="G14" s="42">
        <f>751.278377641*Deflactores!$W$5</f>
        <v>960.39505373911311</v>
      </c>
      <c r="H14" s="42">
        <f>923.065160514*Deflactores!$X$5</f>
        <v>1079.7934736251943</v>
      </c>
      <c r="I14" s="42">
        <f>1047.353240643*Deflactores!$Y$5</f>
        <v>1164.6241180911541</v>
      </c>
      <c r="J14" s="42">
        <f>832.465454205*Deflactores!$Z$5</f>
        <v>880.7484505488901</v>
      </c>
      <c r="K14" s="42">
        <f>884.009304*Deflactores!$AA$5</f>
        <v>884.00930400000004</v>
      </c>
    </row>
    <row r="15" spans="1:12" x14ac:dyDescent="0.2">
      <c r="C15" s="88" t="s">
        <v>124</v>
      </c>
      <c r="D15" s="50">
        <f>289.536637269*Deflactores!$T$5</f>
        <v>449.33946311710002</v>
      </c>
      <c r="E15" s="50">
        <f>318.243484534*Deflactores!$U$5</f>
        <v>486.06472642522664</v>
      </c>
      <c r="F15" s="50">
        <f>359.443867139*Deflactores!$V$5</f>
        <v>519.77992183198751</v>
      </c>
      <c r="G15" s="50">
        <f>370.26844046*Deflactores!$W$5</f>
        <v>473.33184257221552</v>
      </c>
      <c r="H15" s="50">
        <f>431.866070766*Deflactores!$X$5</f>
        <v>505.1931159806897</v>
      </c>
      <c r="I15" s="50">
        <f>509.768148141*Deflactores!$Y$5</f>
        <v>566.8462720325291</v>
      </c>
      <c r="J15" s="50">
        <f>688.813192493*Deflactores!$Z$5</f>
        <v>728.76435765759402</v>
      </c>
      <c r="K15" s="50">
        <f>580.87922*Deflactores!$AA$5</f>
        <v>580.87922000000003</v>
      </c>
    </row>
    <row r="16" spans="1:12" x14ac:dyDescent="0.2">
      <c r="C16" s="87" t="s">
        <v>125</v>
      </c>
      <c r="D16" s="42">
        <f>23.468888556*Deflactores!$T$5</f>
        <v>36.42198059346314</v>
      </c>
      <c r="E16" s="42">
        <f>24.172511265*Deflactores!$U$5</f>
        <v>36.919546341184152</v>
      </c>
      <c r="F16" s="42">
        <f>25.56990936*Deflactores!$V$5</f>
        <v>36.975802631380461</v>
      </c>
      <c r="G16" s="42">
        <f>27.602653*Deflactores!$W$5</f>
        <v>35.285790460942415</v>
      </c>
      <c r="H16" s="42">
        <f>27.224997*Deflactores!$X$5</f>
        <v>31.847561079757195</v>
      </c>
      <c r="I16" s="42">
        <f>27.813986*Deflactores!$Y$5</f>
        <v>30.928284420987534</v>
      </c>
      <c r="J16" s="42">
        <f>27.025604856*Deflactores!$Z$5</f>
        <v>28.593089937648003</v>
      </c>
      <c r="K16" s="42">
        <f>31.288669554*Deflactores!$AA$5</f>
        <v>31.288669553999998</v>
      </c>
    </row>
    <row r="17" spans="3:11" x14ac:dyDescent="0.2">
      <c r="C17" s="88" t="s">
        <v>126</v>
      </c>
      <c r="D17" s="50">
        <f>450.164471081*Deflactores!$T$5</f>
        <v>698.62199014904127</v>
      </c>
      <c r="E17" s="50">
        <f>515.72524978*Deflactores!$U$5</f>
        <v>787.68573317992332</v>
      </c>
      <c r="F17" s="50">
        <f>433.876844512*Deflactores!$V$5</f>
        <v>627.41499561584135</v>
      </c>
      <c r="G17" s="50">
        <f>409.097998*Deflactores!$W$5</f>
        <v>522.96952164051186</v>
      </c>
      <c r="H17" s="50">
        <f>492.15452855*Deflactores!$X$5</f>
        <v>575.71802151806412</v>
      </c>
      <c r="I17" s="50">
        <f>768.960681882*Deflactores!$Y$5</f>
        <v>855.06028074519827</v>
      </c>
      <c r="J17" s="50">
        <f>692.600138746*Deflactores!$Z$5</f>
        <v>732.77094679326797</v>
      </c>
      <c r="K17" s="50">
        <f>982.024647216*Deflactores!$AA$5</f>
        <v>982.02464721599995</v>
      </c>
    </row>
    <row r="18" spans="3:11" x14ac:dyDescent="0.2">
      <c r="C18" s="87" t="s">
        <v>127</v>
      </c>
      <c r="D18" s="42">
        <f>557.367*Deflactores!$T$5</f>
        <v>864.99239233239325</v>
      </c>
      <c r="E18" s="42">
        <f>607.3197*Deflactores!$U$5</f>
        <v>927.58123317246714</v>
      </c>
      <c r="F18" s="42">
        <f>660.634429179*Deflactores!$V$5</f>
        <v>955.32166035090688</v>
      </c>
      <c r="G18" s="42">
        <f>762.603828761*Deflactores!$W$5</f>
        <v>974.87291914922298</v>
      </c>
      <c r="H18" s="42">
        <f>907.149*Deflactores!$X$5</f>
        <v>1061.1748896038689</v>
      </c>
      <c r="I18" s="42">
        <f>1108.608*Deflactores!$Y$5</f>
        <v>1232.7374988749239</v>
      </c>
      <c r="J18" s="42">
        <f>1366.670325863*Deflactores!$Z$5</f>
        <v>1445.9372047630541</v>
      </c>
      <c r="K18" s="42">
        <f>1132.772*Deflactores!$AA$5</f>
        <v>1132.7719999999999</v>
      </c>
    </row>
    <row r="19" spans="3:11" x14ac:dyDescent="0.2">
      <c r="C19" s="88" t="s">
        <v>128</v>
      </c>
      <c r="D19" s="50">
        <f>233.461580475*Deflactores!$T$5</f>
        <v>362.31511914550344</v>
      </c>
      <c r="E19" s="50">
        <f>234.154731375*Deflactores!$U$5</f>
        <v>357.632947658359</v>
      </c>
      <c r="F19" s="50">
        <f>237.56293997*Deflactores!$V$5</f>
        <v>343.53193267874781</v>
      </c>
      <c r="G19" s="50">
        <f>190.565114364*Deflactores!$W$5</f>
        <v>243.60849280008091</v>
      </c>
      <c r="H19" s="50">
        <f>295.516717669*Deflactores!$X$5</f>
        <v>345.69284676331978</v>
      </c>
      <c r="I19" s="50">
        <f>334.796768508*Deflactores!$Y$5</f>
        <v>372.28355833798679</v>
      </c>
      <c r="J19" s="50">
        <f>337.653058691*Deflactores!$Z$5</f>
        <v>357.23693609507802</v>
      </c>
      <c r="K19" s="50">
        <f>410.384921861*Deflactores!$AA$5</f>
        <v>410.38492186100001</v>
      </c>
    </row>
    <row r="20" spans="3:11" x14ac:dyDescent="0.2">
      <c r="C20" s="87" t="s">
        <v>129</v>
      </c>
      <c r="D20" s="42">
        <f>30301.464155683*Deflactores!$T$5</f>
        <v>47025.632969297614</v>
      </c>
      <c r="E20" s="42">
        <f>32175.056162914*Deflactores!$U$5</f>
        <v>49142.121148036458</v>
      </c>
      <c r="F20" s="42">
        <f>34442.264549507*Deflactores!$V$5</f>
        <v>49805.822861171182</v>
      </c>
      <c r="G20" s="42">
        <f>37622.489945235*Deflactores!$W$5</f>
        <v>48094.626876136688</v>
      </c>
      <c r="H20" s="42">
        <f>43384.091355*Deflactores!$X$5</f>
        <v>50750.326963052692</v>
      </c>
      <c r="I20" s="42">
        <f>49957.582934234*Deflactores!$Y$5</f>
        <v>55551.273160742305</v>
      </c>
      <c r="J20" s="42">
        <f>55088.772196097*Deflactores!$Z$5</f>
        <v>58283.920983470627</v>
      </c>
      <c r="K20" s="42">
        <f>59046.028743991*Deflactores!$AA$5</f>
        <v>59046.028743991003</v>
      </c>
    </row>
    <row r="21" spans="3:11" x14ac:dyDescent="0.2">
      <c r="C21" s="88" t="s">
        <v>130</v>
      </c>
      <c r="D21" s="50">
        <f>37.630371065*Deflactores!$T$5</f>
        <v>58.399554856799959</v>
      </c>
      <c r="E21" s="50">
        <f>39.593952363*Deflactores!$U$5</f>
        <v>60.473268295172147</v>
      </c>
      <c r="F21" s="50">
        <f>39.882291951*Deflactores!$V$5</f>
        <v>57.672467074684597</v>
      </c>
      <c r="G21" s="50">
        <f>52.836845707*Deflactores!$W$5</f>
        <v>67.543864940603598</v>
      </c>
      <c r="H21" s="50">
        <f>57.071743554*Deflactores!$X$5</f>
        <v>66.762021636375351</v>
      </c>
      <c r="I21" s="50">
        <f>64.627885666*Deflactores!$Y$5</f>
        <v>71.864191971805525</v>
      </c>
      <c r="J21" s="50">
        <f>49.600696578*Deflactores!$Z$5</f>
        <v>52.477536979523997</v>
      </c>
      <c r="K21" s="50">
        <f>54.194708762*Deflactores!$AA$5</f>
        <v>54.194708761999998</v>
      </c>
    </row>
    <row r="22" spans="3:11" x14ac:dyDescent="0.2">
      <c r="C22" s="87" t="s">
        <v>131</v>
      </c>
      <c r="D22" s="42">
        <f>37383.621969135*Deflactores!$T$5</f>
        <v>58016.618495770112</v>
      </c>
      <c r="E22" s="42">
        <f>40601.292160617*Deflactores!$U$5</f>
        <v>62011.814618792603</v>
      </c>
      <c r="F22" s="42">
        <f>43215.477111369*Deflactores!$V$5</f>
        <v>62492.476206842519</v>
      </c>
      <c r="G22" s="42">
        <f>44200.443440359*Deflactores!$W$5</f>
        <v>56503.539189412128</v>
      </c>
      <c r="H22" s="42">
        <f>51624.760858448*Deflactores!$X$5</f>
        <v>60390.189378800707</v>
      </c>
      <c r="I22" s="42">
        <f>62013.957837231*Deflactores!$Y$5</f>
        <v>68957.585800935165</v>
      </c>
      <c r="J22" s="42">
        <f>73403.0920684763*Deflactores!$Z$5</f>
        <v>77660.47140844792</v>
      </c>
      <c r="K22" s="42">
        <f>81380.982664056*Deflactores!$AA$5</f>
        <v>81380.982664056006</v>
      </c>
    </row>
    <row r="23" spans="3:11" x14ac:dyDescent="0.2">
      <c r="C23" s="88" t="s">
        <v>132</v>
      </c>
      <c r="D23" s="50">
        <f>25.699*Deflactores!$T$5</f>
        <v>39.882948740327606</v>
      </c>
      <c r="E23" s="50">
        <f>25.966624037*Deflactores!$U$5</f>
        <v>39.659759341852876</v>
      </c>
      <c r="F23" s="50">
        <f>32.004322754*Deflactores!$V$5</f>
        <v>46.280395633866362</v>
      </c>
      <c r="G23" s="50">
        <f>34.817444432*Deflactores!$W$5</f>
        <v>44.508803143417346</v>
      </c>
      <c r="H23" s="50">
        <f>35.825842015*Deflactores!$X$5</f>
        <v>41.908753628382186</v>
      </c>
      <c r="I23" s="50">
        <f>41.510991839*Deflactores!$Y$5</f>
        <v>46.158927461669265</v>
      </c>
      <c r="J23" s="50">
        <f>46.050906398*Deflactores!$Z$5</f>
        <v>48.721858969084003</v>
      </c>
      <c r="K23" s="50">
        <f>52.315994349*Deflactores!$AA$5</f>
        <v>52.315994349</v>
      </c>
    </row>
    <row r="24" spans="3:11" x14ac:dyDescent="0.2">
      <c r="C24" s="87" t="s">
        <v>133</v>
      </c>
      <c r="D24" s="42">
        <f>3688.05016437*Deflactores!$T$5</f>
        <v>5723.5812933314719</v>
      </c>
      <c r="E24" s="42">
        <f>3815.563988827*Deflactores!$U$5</f>
        <v>5827.6481892561796</v>
      </c>
      <c r="F24" s="42">
        <f>4282.639367149*Deflactores!$V$5</f>
        <v>6192.9835476382586</v>
      </c>
      <c r="G24" s="42">
        <f>4556.72*Deflactores!$W$5</f>
        <v>5825.0729416909862</v>
      </c>
      <c r="H24" s="42">
        <f>5205.121*Deflactores!$X$5</f>
        <v>6088.904581882116</v>
      </c>
      <c r="I24" s="42">
        <f>5746.697624169*Deflactores!$Y$5</f>
        <v>6390.1484167609833</v>
      </c>
      <c r="J24" s="42">
        <f>6496.328023365*Deflactores!$Z$5</f>
        <v>6873.1150487201703</v>
      </c>
      <c r="K24" s="42">
        <f>6766.968119692*Deflactores!$AA$5</f>
        <v>6766.9681196920001</v>
      </c>
    </row>
    <row r="25" spans="3:11" x14ac:dyDescent="0.2">
      <c r="C25" s="88" t="s">
        <v>134</v>
      </c>
      <c r="D25" s="50">
        <f>8489.336368164*Deflactores!$T$5</f>
        <v>13174.822647219104</v>
      </c>
      <c r="E25" s="50">
        <f>38720.906004962*Deflactores!$U$5</f>
        <v>59139.83317458308</v>
      </c>
      <c r="F25" s="50">
        <f>21618.2562138231*Deflactores!$V$5</f>
        <v>31261.447341983741</v>
      </c>
      <c r="G25" s="50">
        <f>15365.545069323*Deflactores!$W$5</f>
        <v>19642.510581656705</v>
      </c>
      <c r="H25" s="50">
        <f>36519.595319728*Deflactores!$X$5</f>
        <v>42720.300118051535</v>
      </c>
      <c r="I25" s="50">
        <f>29099.868603216*Deflactores!$Y$5</f>
        <v>32358.145746302947</v>
      </c>
      <c r="J25" s="50">
        <f>21776.2361211836*Deflactores!$Z$5</f>
        <v>23039.257816212248</v>
      </c>
      <c r="K25" s="50">
        <f>28343.896939982*Deflactores!$AA$5</f>
        <v>28343.896939982002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500*Deflactores!$X$5</f>
        <v>584.89558474069247</v>
      </c>
      <c r="I26" s="42">
        <f>1381.612947511*Deflactores!$Y$5</f>
        <v>1536.3104806459285</v>
      </c>
      <c r="J26" s="42">
        <f>112.269769677*Deflactores!$Z$5</f>
        <v>118.78141631826601</v>
      </c>
      <c r="K26" s="42">
        <f>341.91090145*Deflactores!$AA$5</f>
        <v>341.91090144999998</v>
      </c>
    </row>
    <row r="27" spans="3:11" x14ac:dyDescent="0.2">
      <c r="C27" s="88" t="s">
        <v>136</v>
      </c>
      <c r="D27" s="50">
        <f>844.587181865*Deflactores!$T$5</f>
        <v>1310.7368878578757</v>
      </c>
      <c r="E27" s="50">
        <f>6882.971452534*Deflactores!$U$5</f>
        <v>10512.609994097631</v>
      </c>
      <c r="F27" s="50">
        <f>8750.89389384*Deflactores!$V$5</f>
        <v>12654.379055913098</v>
      </c>
      <c r="G27" s="50">
        <f>927.2094056*Deflactores!$W$5</f>
        <v>1185.2960945245577</v>
      </c>
      <c r="H27" s="50">
        <f>1229.265655381*Deflactores!$X$5</f>
        <v>1437.9841086114411</v>
      </c>
      <c r="I27" s="50">
        <f>2204.145190735*Deflactores!$Y$5</f>
        <v>2450.9406657572886</v>
      </c>
      <c r="J27" s="50">
        <f>2034.640892403*Deflactores!$Z$5</f>
        <v>2152.6500641623738</v>
      </c>
      <c r="K27" s="50">
        <f>1926.603753656*Deflactores!$AA$5</f>
        <v>1926.603753656</v>
      </c>
    </row>
    <row r="28" spans="3:11" x14ac:dyDescent="0.2">
      <c r="C28" s="87" t="s">
        <v>137</v>
      </c>
      <c r="D28" s="42">
        <f>154.540731379*Deflactores!$T$5</f>
        <v>239.83579391732732</v>
      </c>
      <c r="E28" s="42">
        <f>161.943*Deflactores!$U$5</f>
        <v>247.3413716756576</v>
      </c>
      <c r="F28" s="42">
        <f>180.945256866*Deflactores!$V$5</f>
        <v>261.6589683899316</v>
      </c>
      <c r="G28" s="42">
        <f>187.367*Deflactores!$W$5</f>
        <v>239.52019037066461</v>
      </c>
      <c r="H28" s="42">
        <f>220.227*Deflactores!$X$5</f>
        <v>257.61959988137698</v>
      </c>
      <c r="I28" s="42">
        <f>239.855581223*Deflactores!$Y$5</f>
        <v>266.71192097480099</v>
      </c>
      <c r="J28" s="42">
        <f>263.438327117*Deflactores!$Z$5</f>
        <v>278.71775008978597</v>
      </c>
      <c r="K28" s="42">
        <f>294.324447*Deflactores!$AA$5</f>
        <v>294.32444700000002</v>
      </c>
    </row>
    <row r="29" spans="3:11" x14ac:dyDescent="0.2">
      <c r="C29" s="88" t="s">
        <v>138</v>
      </c>
      <c r="D29" s="50">
        <f>90.387*Deflactores!$T$5</f>
        <v>140.27394403642131</v>
      </c>
      <c r="E29" s="50">
        <f>92.601*Deflactores!$U$5</f>
        <v>141.43283969382787</v>
      </c>
      <c r="F29" s="50">
        <f>109.327*Deflactores!$V$5</f>
        <v>158.09416910193269</v>
      </c>
      <c r="G29" s="50">
        <f>103.804*Deflactores!$W$5</f>
        <v>132.69761399412101</v>
      </c>
      <c r="H29" s="50">
        <f>114.794*Deflactores!$X$5</f>
        <v>134.2850075094461</v>
      </c>
      <c r="I29" s="50">
        <f>128.047*Deflactores!$Y$5</f>
        <v>142.3842679454211</v>
      </c>
      <c r="J29" s="50">
        <f>140.651175014*Deflactores!$Z$5</f>
        <v>148.80894316481201</v>
      </c>
      <c r="K29" s="50">
        <f>154.503477808*Deflactores!$AA$5</f>
        <v>154.50347780800001</v>
      </c>
    </row>
    <row r="30" spans="3:11" x14ac:dyDescent="0.2">
      <c r="C30" s="87" t="s">
        <v>160</v>
      </c>
      <c r="D30" s="42">
        <f>1186.079361308*Deflactores!$T$5</f>
        <v>1840.707512705065</v>
      </c>
      <c r="E30" s="42">
        <f>1460.645014439*Deflactores!$U$5</f>
        <v>2230.8956941797605</v>
      </c>
      <c r="F30" s="42">
        <f>1752.640581646*Deflactores!$V$5</f>
        <v>2534.4357431343806</v>
      </c>
      <c r="G30" s="42">
        <f>2229.878899244*Deflactores!$W$5</f>
        <v>2850.5607628368439</v>
      </c>
      <c r="H30" s="42">
        <f>2716.479836*Deflactores!$X$5</f>
        <v>3177.7141242270409</v>
      </c>
      <c r="I30" s="42">
        <f>3327.528019971*Deflactores!$Y$5</f>
        <v>3700.1073136539503</v>
      </c>
      <c r="J30" s="42">
        <f>3790.264639969*Deflactores!$Z$5</f>
        <v>4010.0999890872026</v>
      </c>
      <c r="K30" s="42">
        <f>3643.573843343*Deflactores!$AA$5</f>
        <v>3643.5738433430001</v>
      </c>
    </row>
    <row r="31" spans="3:11" x14ac:dyDescent="0.2">
      <c r="C31" s="88" t="s">
        <v>161</v>
      </c>
      <c r="D31" s="50">
        <f>1982.379883804*Deflactores!$T$5</f>
        <v>3076.5070738009854</v>
      </c>
      <c r="E31" s="50">
        <f>2102.0194001*Deflactores!$U$5</f>
        <v>3210.4898742741389</v>
      </c>
      <c r="F31" s="50">
        <f>2499.320849*Deflactores!$V$5</f>
        <v>3614.1854522834433</v>
      </c>
      <c r="G31" s="50">
        <f>2725.439825119*Deflactores!$W$5</f>
        <v>3484.0599772440919</v>
      </c>
      <c r="H31" s="50">
        <f>2971.650059648*Deflactores!$X$5</f>
        <v>3476.2099985650611</v>
      </c>
      <c r="I31" s="50">
        <f>3399.756777892*Deflactores!$Y$5</f>
        <v>3780.4234383674434</v>
      </c>
      <c r="J31" s="50">
        <f>3764.579825209*Deflactores!$Z$5</f>
        <v>3982.9254550711221</v>
      </c>
      <c r="K31" s="50">
        <f>4114.389560285*Deflactores!$AA$5</f>
        <v>4114.3895602849998</v>
      </c>
    </row>
    <row r="32" spans="3:11" x14ac:dyDescent="0.2">
      <c r="C32" s="87" t="s">
        <v>140</v>
      </c>
      <c r="D32" s="42">
        <f>187.908314991*Deflactores!$T$5</f>
        <v>291.61981768424397</v>
      </c>
      <c r="E32" s="42">
        <f>217.811210451*Deflactores!$U$5</f>
        <v>332.67090000361645</v>
      </c>
      <c r="F32" s="42">
        <f>227.708876361*Deflactores!$V$5</f>
        <v>329.28229628021455</v>
      </c>
      <c r="G32" s="42">
        <f>294.182227074*Deflactores!$W$5</f>
        <v>376.06719984004962</v>
      </c>
      <c r="H32" s="42">
        <f>300.419110299*Deflactores!$X$5</f>
        <v>351.4276223712244</v>
      </c>
      <c r="I32" s="42">
        <f>320.718328145*Deflactores!$Y$5</f>
        <v>356.62877201031779</v>
      </c>
      <c r="J32" s="42">
        <f>302.93701468*Deflactores!$Z$5</f>
        <v>320.50736153144004</v>
      </c>
      <c r="K32" s="42">
        <f>334.354650216*Deflactores!$AA$5</f>
        <v>334.35465021599998</v>
      </c>
    </row>
    <row r="33" spans="1:11" x14ac:dyDescent="0.2">
      <c r="C33" s="88" t="s">
        <v>141</v>
      </c>
      <c r="D33" s="50">
        <f>1717.95151541*Deflactores!$T$5</f>
        <v>2666.1337883756237</v>
      </c>
      <c r="E33" s="50">
        <f>2121.531077567*Deflactores!$U$5</f>
        <v>3240.2907614281421</v>
      </c>
      <c r="F33" s="50">
        <f>2489.039096424*Deflactores!$V$5</f>
        <v>3599.3173489748883</v>
      </c>
      <c r="G33" s="50">
        <f>2726.20315378*Deflactores!$W$5</f>
        <v>3485.0357767509317</v>
      </c>
      <c r="H33" s="50">
        <f>3404.796995337*Deflactores!$X$5</f>
        <v>3982.9014590219749</v>
      </c>
      <c r="I33" s="50">
        <f>3751.56476*Deflactores!$Y$5</f>
        <v>4171.6229353474846</v>
      </c>
      <c r="J33" s="50">
        <f>3860.537568828*Deflactores!$Z$5</f>
        <v>4084.4487478200244</v>
      </c>
      <c r="K33" s="50">
        <f>4119.777628949*Deflactores!$AA$5</f>
        <v>4119.7776289490002</v>
      </c>
    </row>
    <row r="34" spans="1:11" x14ac:dyDescent="0.2">
      <c r="C34" s="87" t="s">
        <v>142</v>
      </c>
      <c r="D34" s="42">
        <f>82.880917062*Deflactores!$T$5</f>
        <v>128.62505804642552</v>
      </c>
      <c r="E34" s="42">
        <f>85.304108421*Deflactores!$U$5</f>
        <v>130.28803459500656</v>
      </c>
      <c r="F34" s="42">
        <f>279.127568491*Deflactores!$V$5</f>
        <v>403.63717118394771</v>
      </c>
      <c r="G34" s="42">
        <f>433.401119538*Deflactores!$W$5</f>
        <v>554.03736334894052</v>
      </c>
      <c r="H34" s="42">
        <f>246.769024435*Deflactores!$X$5</f>
        <v>288.66822568559911</v>
      </c>
      <c r="I34" s="42">
        <f>273.548990122*Deflactores!$Y$5</f>
        <v>304.17794017610873</v>
      </c>
      <c r="J34" s="42">
        <f>279.355350031*Deflactores!$Z$5</f>
        <v>295.55796033279802</v>
      </c>
      <c r="K34" s="42">
        <f>277.005164844*Deflactores!$AA$5</f>
        <v>277.00516484399998</v>
      </c>
    </row>
    <row r="35" spans="1:11" x14ac:dyDescent="0.2">
      <c r="C35" s="88" t="s">
        <v>143</v>
      </c>
      <c r="D35" s="50">
        <f>1319.218584481*Deflactores!$T$5</f>
        <v>2047.3297475443896</v>
      </c>
      <c r="E35" s="50">
        <f>4621.73738908*Deflactores!$U$5</f>
        <v>7058.945834890792</v>
      </c>
      <c r="F35" s="50">
        <f>6365.786150271*Deflactores!$V$5</f>
        <v>9205.3534086518848</v>
      </c>
      <c r="G35" s="50">
        <f>4745.81222325475*Deflactores!$W$5</f>
        <v>6066.7985673966332</v>
      </c>
      <c r="H35" s="50">
        <f>3287.22381*Deflactores!$X$5</f>
        <v>3845.3653850469541</v>
      </c>
      <c r="I35" s="50">
        <f>2113.115714571*Deflactores!$Y$5</f>
        <v>2349.7187290850798</v>
      </c>
      <c r="J35" s="50">
        <f>3587.518379853*Deflactores!$Z$5</f>
        <v>3795.5944458844742</v>
      </c>
      <c r="K35" s="50">
        <f>9230.860610737*Deflactores!$AA$5</f>
        <v>9230.8606107369997</v>
      </c>
    </row>
    <row r="36" spans="1:11" x14ac:dyDescent="0.2">
      <c r="C36" s="87" t="s">
        <v>144</v>
      </c>
      <c r="D36" s="42">
        <f>4334.331609424*Deflactores!$T$5</f>
        <v>6726.5623332518398</v>
      </c>
      <c r="E36" s="42">
        <f>4599.530195*Deflactores!$U$5</f>
        <v>7025.0279882113136</v>
      </c>
      <c r="F36" s="42">
        <f>4957.475927*Deflactores!$V$5</f>
        <v>7168.842440768507</v>
      </c>
      <c r="G36" s="42">
        <f>5455.2092*Deflactores!$W$5</f>
        <v>6973.6546248581717</v>
      </c>
      <c r="H36" s="42">
        <f>7176.2295*Deflactores!$X$5</f>
        <v>8394.6898992718143</v>
      </c>
      <c r="I36" s="42">
        <f>8192.5800133*Deflactores!$Y$5</f>
        <v>9109.8933030684711</v>
      </c>
      <c r="J36" s="42">
        <f>9425.170014399*Deflactores!$Z$5</f>
        <v>9971.8298752341434</v>
      </c>
      <c r="K36" s="42">
        <f>9459.483033632*Deflactores!$AA$5</f>
        <v>9459.4830336319992</v>
      </c>
    </row>
    <row r="37" spans="1:11" x14ac:dyDescent="0.2">
      <c r="C37" s="88" t="s">
        <v>145</v>
      </c>
      <c r="D37" s="50">
        <f>1402.315373561*Deflactores!$T$5</f>
        <v>2176.2898230089386</v>
      </c>
      <c r="E37" s="50">
        <f>526.345228942*Deflactores!$U$5</f>
        <v>803.90600953083663</v>
      </c>
      <c r="F37" s="50">
        <f>1288.351220562*Deflactores!$V$5</f>
        <v>1863.0422103067879</v>
      </c>
      <c r="G37" s="50">
        <f>3066.85993592*Deflactores!$W$5</f>
        <v>3920.5136213512665</v>
      </c>
      <c r="H37" s="50">
        <f>3043.809406163*Deflactores!$X$5</f>
        <v>3560.6213649138554</v>
      </c>
      <c r="I37" s="50">
        <f>1247.842178072*Deflactores!$Y$5</f>
        <v>1387.5615597101182</v>
      </c>
      <c r="J37" s="50">
        <f>2739.50086744*Deflactores!$Z$5</f>
        <v>2898.3919177515204</v>
      </c>
      <c r="K37" s="50">
        <f>6474.520786*Deflactores!$AA$5</f>
        <v>6474.520786</v>
      </c>
    </row>
    <row r="38" spans="1:11" x14ac:dyDescent="0.2">
      <c r="C38" s="87" t="s">
        <v>146</v>
      </c>
      <c r="D38" s="42">
        <f>695.832895488*Deflactores!$T$5</f>
        <v>1079.8812289420459</v>
      </c>
      <c r="E38" s="42">
        <f>770.714414943999*Deflactores!$U$5</f>
        <v>1177.1398613243589</v>
      </c>
      <c r="F38" s="42">
        <f>876.740207534999*Deflactores!$V$5</f>
        <v>1267.8250992755832</v>
      </c>
      <c r="G38" s="42">
        <f>1127.545477201*Deflactores!$W$5</f>
        <v>1441.3952689148325</v>
      </c>
      <c r="H38" s="42">
        <f>1184.651*Deflactores!$X$5</f>
        <v>1385.7942787172922</v>
      </c>
      <c r="I38" s="42">
        <f>1185.336206162*Deflactores!$Y$5</f>
        <v>1318.0568696149001</v>
      </c>
      <c r="J38" s="42">
        <f>1281.042804945*Deflactores!$Z$5</f>
        <v>1355.34328763181</v>
      </c>
      <c r="K38" s="42">
        <f>1268.947845812*Deflactores!$AA$5</f>
        <v>1268.947845812</v>
      </c>
    </row>
    <row r="39" spans="1:11" x14ac:dyDescent="0.2">
      <c r="C39" s="88" t="s">
        <v>162</v>
      </c>
      <c r="D39" s="50">
        <f>28454.23331852*Deflactores!$T$5</f>
        <v>44158.867227824237</v>
      </c>
      <c r="E39" s="50">
        <f>34261.195270608*Deflactores!$U$5</f>
        <v>52328.356480241404</v>
      </c>
      <c r="F39" s="50">
        <f>42433.0174329598*Deflactores!$V$5</f>
        <v>61360.987071369418</v>
      </c>
      <c r="G39" s="50">
        <f>40782.6885048082*Deflactores!$W$5</f>
        <v>52134.459720757528</v>
      </c>
      <c r="H39" s="50">
        <f>51171.608337631*Deflactores!$X$5</f>
        <v>59860.095561520757</v>
      </c>
      <c r="I39" s="50">
        <f>58777.42640181*Deflactores!$Y$5</f>
        <v>65358.663849505123</v>
      </c>
      <c r="J39" s="50">
        <f>64115.67056048*Deflactores!$Z$5</f>
        <v>67834.379452987851</v>
      </c>
      <c r="K39" s="50">
        <f>74939.316370715*Deflactores!$AA$5</f>
        <v>74939.316370714994</v>
      </c>
    </row>
    <row r="40" spans="1:11" x14ac:dyDescent="0.2">
      <c r="C40" s="87" t="s">
        <v>148</v>
      </c>
      <c r="D40" s="42">
        <f>279.190136412*Deflactores!$T$5</f>
        <v>433.28245843514799</v>
      </c>
      <c r="E40" s="42">
        <f>325.051517136*Deflactores!$U$5</f>
        <v>496.46287961611029</v>
      </c>
      <c r="F40" s="42">
        <f>368.2064*Deflactores!$V$5</f>
        <v>532.45113161445818</v>
      </c>
      <c r="G40" s="42">
        <f>364.995285796*Deflactores!$W$5</f>
        <v>466.59091696111409</v>
      </c>
      <c r="H40" s="42">
        <f>490.227944563*Deflactores!$X$5</f>
        <v>573.46432058280732</v>
      </c>
      <c r="I40" s="42">
        <f>601.201697709*Deflactores!$Y$5</f>
        <v>668.51752571977715</v>
      </c>
      <c r="J40" s="42">
        <f>703.36457226*Deflactores!$Z$5</f>
        <v>744.15971745108004</v>
      </c>
      <c r="K40" s="42">
        <f>675.156391489*Deflactores!$AA$5</f>
        <v>675.15639148900004</v>
      </c>
    </row>
    <row r="41" spans="1:11" x14ac:dyDescent="0.2">
      <c r="C41" s="88" t="s">
        <v>149</v>
      </c>
      <c r="D41" s="50">
        <f>68.740496183*Deflactores!$T$5</f>
        <v>106.68016987630938</v>
      </c>
      <c r="E41" s="50">
        <f>54.421210989*Deflactores!$U$5</f>
        <v>83.119473977076069</v>
      </c>
      <c r="F41" s="50">
        <f>81.8916*Deflactores!$V$5</f>
        <v>118.42074197982045</v>
      </c>
      <c r="G41" s="50">
        <f>106.793*Deflactores!$W$5</f>
        <v>136.5185955384587</v>
      </c>
      <c r="H41" s="50">
        <f>108.200203899*Deflactores!$X$5</f>
        <v>126.57164305713552</v>
      </c>
      <c r="I41" s="50">
        <f>120.086*Deflactores!$Y$5</f>
        <v>133.53188439005862</v>
      </c>
      <c r="J41" s="50">
        <f>127.996875*Deflactores!$Z$5</f>
        <v>135.42069375</v>
      </c>
      <c r="K41" s="50">
        <f>105.78732957*Deflactores!$AA$5</f>
        <v>105.78732957</v>
      </c>
    </row>
    <row r="42" spans="1:11" x14ac:dyDescent="0.2">
      <c r="C42" s="87" t="s">
        <v>163</v>
      </c>
      <c r="D42" s="42">
        <f>22774.625745418*Deflactores!$T$5</f>
        <v>35344.536020259606</v>
      </c>
      <c r="E42" s="42">
        <f>26546.258370817*Deflactores!$U$5</f>
        <v>40545.055718952244</v>
      </c>
      <c r="F42" s="42">
        <f>23646.932778951*Deflactores!$V$5</f>
        <v>34195.049617180703</v>
      </c>
      <c r="G42" s="42">
        <f>30160.023479922*Deflactores!$W$5</f>
        <v>38554.999362185619</v>
      </c>
      <c r="H42" s="42">
        <f>29477.31120709*Deflactores!$X$5</f>
        <v>34482.298350108547</v>
      </c>
      <c r="I42" s="42">
        <f>34386.99487278*Deflactores!$Y$5</f>
        <v>38237.265158916089</v>
      </c>
      <c r="J42" s="42">
        <f>45053.18442475*Deflactores!$Z$5</f>
        <v>47666.2691213855</v>
      </c>
      <c r="K42" s="42">
        <f>49871.951716629*Deflactores!$AA$5</f>
        <v>49871.951716629002</v>
      </c>
    </row>
    <row r="43" spans="1:11" x14ac:dyDescent="0.2">
      <c r="C43" s="88" t="s">
        <v>150</v>
      </c>
      <c r="D43" s="50">
        <f>177.716233621*Deflactores!$T$5</f>
        <v>275.80246063389347</v>
      </c>
      <c r="E43" s="50">
        <f>173.459417223*Deflactores!$U$5</f>
        <v>264.93081013688152</v>
      </c>
      <c r="F43" s="50">
        <f>320.081022352*Deflactores!$V$5</f>
        <v>462.85861016982614</v>
      </c>
      <c r="G43" s="50">
        <f>382.41154937*Deflactores!$W$5</f>
        <v>488.8549590111557</v>
      </c>
      <c r="H43" s="50">
        <f>505.340996533*Deflactores!$X$5</f>
        <v>591.14343532122655</v>
      </c>
      <c r="I43" s="50">
        <f>545.718513851*Deflactores!$Y$5</f>
        <v>606.82195677319874</v>
      </c>
      <c r="J43" s="50">
        <f>480.697534377*Deflactores!$Z$5</f>
        <v>508.57799137086602</v>
      </c>
      <c r="K43" s="50">
        <f>538.865401127*Deflactores!$AA$5</f>
        <v>538.86540112700004</v>
      </c>
    </row>
    <row r="44" spans="1:11" x14ac:dyDescent="0.2">
      <c r="C44" s="87" t="s">
        <v>151</v>
      </c>
      <c r="D44" s="42">
        <f>2193.858246928*Deflactores!$T$5</f>
        <v>3404.7058642660963</v>
      </c>
      <c r="E44" s="42">
        <f>2371.702884348*Deflactores!$U$5</f>
        <v>3622.3871647539431</v>
      </c>
      <c r="F44" s="42">
        <f>2743.274099731*Deflactores!$V$5</f>
        <v>3966.9582026015978</v>
      </c>
      <c r="G44" s="42">
        <f>2659.146005054*Deflactores!$W$5</f>
        <v>3399.3134188727277</v>
      </c>
      <c r="H44" s="42">
        <f>2941.964825564*Deflactores!$X$5</f>
        <v>3441.4844738696102</v>
      </c>
      <c r="I44" s="42">
        <f>3774.236903562*Deflactores!$Y$5</f>
        <v>4196.833651442581</v>
      </c>
      <c r="J44" s="42">
        <f>4342.223109946*Deflactores!$Z$5</f>
        <v>4594.0720503228677</v>
      </c>
      <c r="K44" s="42">
        <f>4698.621505748*Deflactores!$AA$5</f>
        <v>4698.6215057480003</v>
      </c>
    </row>
    <row r="45" spans="1:11" ht="21.75" customHeight="1" x14ac:dyDescent="0.2">
      <c r="C45" s="79" t="s">
        <v>179</v>
      </c>
      <c r="D45" s="44">
        <f t="shared" ref="D45:K45" si="0">+SUM(D14:D44)</f>
        <v>233027.36184918429</v>
      </c>
      <c r="E45" s="44">
        <f t="shared" si="0"/>
        <v>313358.08718845627</v>
      </c>
      <c r="F45" s="44">
        <f t="shared" si="0"/>
        <v>296940.39206019952</v>
      </c>
      <c r="G45" s="44">
        <f t="shared" si="0"/>
        <v>259278.63991210036</v>
      </c>
      <c r="H45" s="44">
        <f t="shared" si="0"/>
        <v>293611.04616864654</v>
      </c>
      <c r="I45" s="44">
        <f t="shared" si="0"/>
        <v>307673.82847978175</v>
      </c>
      <c r="J45" s="44">
        <f t="shared" si="0"/>
        <v>325028.55187994317</v>
      </c>
      <c r="K45" s="44">
        <f t="shared" si="0"/>
        <v>352135.70035247307</v>
      </c>
    </row>
    <row r="46" spans="1:11" s="31" customFormat="1" ht="33.75" x14ac:dyDescent="0.2">
      <c r="A46" s="5"/>
      <c r="B46" s="5"/>
      <c r="C46" s="184" t="str">
        <f>+'C8 B Ejec. Sect. PGN 19-26'!C47</f>
        <v>* Información con corte a 30 de abril  no incluye provisión incremento salarial en los sectores que está prevista en el sector Hacienda</v>
      </c>
      <c r="D46" s="121">
        <f>+D45-'C6 Ejec. Nac 19-26'!D14</f>
        <v>1.2223608791828156E-9</v>
      </c>
      <c r="E46" s="121">
        <f>+E45-'C6 Ejec. Nac 19-26'!E14</f>
        <v>6.9849193096160889E-10</v>
      </c>
      <c r="F46" s="121">
        <f>+F45-'C6 Ejec. Nac 19-26'!F14</f>
        <v>0</v>
      </c>
      <c r="G46" s="121">
        <f>+G45-'C6 Ejec. Nac 19-26'!G14</f>
        <v>0</v>
      </c>
      <c r="H46" s="121">
        <f>+H45-'C6 Ejec. Nac 19-26'!H14</f>
        <v>0</v>
      </c>
      <c r="I46" s="121">
        <f>+I45-'C6 Ejec. Nac 19-26'!I14</f>
        <v>0</v>
      </c>
      <c r="J46" s="121">
        <f>+J45-'C6 Ejec. Nac 19-26'!J14</f>
        <v>9.3132257461547852E-10</v>
      </c>
      <c r="K46" s="121">
        <f>+K45-'C6 Ejec. Nac 19-26'!K14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83" t="s">
        <v>188</v>
      </c>
      <c r="E51" s="178"/>
      <c r="F51" s="178"/>
      <c r="G51" s="178"/>
      <c r="H51" s="178"/>
      <c r="I51" s="178"/>
      <c r="J51" s="178"/>
      <c r="K51" s="178"/>
      <c r="L51" s="178"/>
    </row>
    <row r="52" spans="3:12" ht="11.25" hidden="1" customHeight="1" x14ac:dyDescent="0.2">
      <c r="D52" s="28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ht="12" thickBot="1" x14ac:dyDescent="0.25">
      <c r="C54" s="176" t="s">
        <v>120</v>
      </c>
      <c r="D54" s="153">
        <v>2019</v>
      </c>
      <c r="E54" s="153">
        <v>2020</v>
      </c>
      <c r="F54" s="153">
        <v>2021</v>
      </c>
      <c r="G54" s="153">
        <v>2022</v>
      </c>
      <c r="H54" s="153">
        <v>2023</v>
      </c>
      <c r="I54" s="153">
        <v>2024</v>
      </c>
      <c r="J54" s="153">
        <v>2025</v>
      </c>
      <c r="K54" s="153" t="s">
        <v>10</v>
      </c>
    </row>
    <row r="55" spans="3:12" ht="12" customHeight="1" thickBot="1" x14ac:dyDescent="0.25">
      <c r="C55" s="160"/>
      <c r="D55" s="154"/>
      <c r="E55" s="154"/>
      <c r="F55" s="154"/>
      <c r="G55" s="154"/>
      <c r="H55" s="154"/>
      <c r="I55" s="154"/>
      <c r="J55" s="154"/>
      <c r="K55" s="154"/>
    </row>
    <row r="56" spans="3:12" x14ac:dyDescent="0.2">
      <c r="C56" s="87" t="s">
        <v>123</v>
      </c>
      <c r="D56" s="42">
        <f>705.313655785759*Deflactores!$T$5</f>
        <v>1094.5946682577726</v>
      </c>
      <c r="E56" s="42">
        <f>614.85273266909*Deflactores!$U$5</f>
        <v>939.08670505609439</v>
      </c>
      <c r="F56" s="42">
        <f>580.30723663103*Deflactores!$V$5</f>
        <v>839.16315639340075</v>
      </c>
      <c r="G56" s="42">
        <f>697.8677054839*Deflactores!$W$5</f>
        <v>892.11763902417522</v>
      </c>
      <c r="H56" s="42">
        <f>777.979802275109*Deflactores!$X$5</f>
        <v>910.07390273629642</v>
      </c>
      <c r="I56" s="42">
        <f>1004.3555198882*Deflactores!$Y$5</f>
        <v>1116.8119944725308</v>
      </c>
      <c r="J56" s="42">
        <f>788.075058990846*Deflactores!$Z$5</f>
        <v>833.7834124123151</v>
      </c>
      <c r="K56" s="42">
        <f>407.789270829349*Deflactores!$AA$5</f>
        <v>407.78927082934899</v>
      </c>
    </row>
    <row r="57" spans="3:12" x14ac:dyDescent="0.2">
      <c r="C57" s="88" t="s">
        <v>124</v>
      </c>
      <c r="D57" s="50">
        <f>283.70265242884*Deflactores!$T$5</f>
        <v>440.28554980016361</v>
      </c>
      <c r="E57" s="50">
        <f>310.53778344948*Deflactores!$U$5</f>
        <v>474.29553185696631</v>
      </c>
      <c r="F57" s="50">
        <f>337.69746189479*Deflactores!$V$5</f>
        <v>488.33316240350877</v>
      </c>
      <c r="G57" s="50">
        <f>342.33955107923*Deflactores!$W$5</f>
        <v>437.62900855489511</v>
      </c>
      <c r="H57" s="50">
        <f>412.713006925769*Deflactores!$X$5</f>
        <v>482.7880310318742</v>
      </c>
      <c r="I57" s="50">
        <f>492.918850506129*Deflactores!$Y$5</f>
        <v>548.11037889067006</v>
      </c>
      <c r="J57" s="50">
        <f>675.05352141888*Deflactores!$Z$5</f>
        <v>714.20662566117505</v>
      </c>
      <c r="K57" s="50">
        <f>258.38724430843*Deflactores!$AA$5</f>
        <v>258.38724430843001</v>
      </c>
    </row>
    <row r="58" spans="3:12" x14ac:dyDescent="0.2">
      <c r="C58" s="87" t="s">
        <v>125</v>
      </c>
      <c r="D58" s="42">
        <f>22.67956867012*Deflactores!$T$5</f>
        <v>35.197014464498068</v>
      </c>
      <c r="E58" s="42">
        <f>22.94716652129*Deflactores!$U$5</f>
        <v>35.048033218142159</v>
      </c>
      <c r="F58" s="42">
        <f>24.69428390912*Deflactores!$V$5</f>
        <v>35.709589544939057</v>
      </c>
      <c r="G58" s="42">
        <f>24.52920631672*Deflactores!$W$5</f>
        <v>31.356856685660141</v>
      </c>
      <c r="H58" s="42">
        <f>26.11209205751*Deflactores!$X$5</f>
        <v>30.545694705560209</v>
      </c>
      <c r="I58" s="42">
        <f>26.79346334176*Deflactores!$Y$5</f>
        <v>29.793495073207286</v>
      </c>
      <c r="J58" s="42">
        <f>25.25286534355*Deflactores!$Z$5</f>
        <v>26.717531533475899</v>
      </c>
      <c r="K58" s="42">
        <f>7.97861873082*Deflactores!$AA$5</f>
        <v>7.9786187308200001</v>
      </c>
    </row>
    <row r="59" spans="3:12" x14ac:dyDescent="0.2">
      <c r="C59" s="88" t="s">
        <v>126</v>
      </c>
      <c r="D59" s="50">
        <f>442.508156620599*Deflactores!$T$5</f>
        <v>686.73995593899406</v>
      </c>
      <c r="E59" s="50">
        <f>506.32126280382*Deflactores!$U$5</f>
        <v>773.32268545381976</v>
      </c>
      <c r="F59" s="50">
        <f>421.3475673735*Deflactores!$V$5</f>
        <v>609.29682116068386</v>
      </c>
      <c r="G59" s="50">
        <f>402.77850746161*Deflactores!$W$5</f>
        <v>514.89101487677658</v>
      </c>
      <c r="H59" s="50">
        <f>484.99747237784*Deflactores!$X$5</f>
        <v>567.34576040838908</v>
      </c>
      <c r="I59" s="50">
        <f>750.69204828884*Deflactores!$Y$5</f>
        <v>834.74613031195724</v>
      </c>
      <c r="J59" s="50">
        <f>681.88477925861*Deflactores!$Z$5</f>
        <v>721.43409645560939</v>
      </c>
      <c r="K59" s="50">
        <f>806.05320868055*Deflactores!$AA$5</f>
        <v>806.05320868055003</v>
      </c>
    </row>
    <row r="60" spans="3:12" x14ac:dyDescent="0.2">
      <c r="C60" s="87" t="s">
        <v>127</v>
      </c>
      <c r="D60" s="42">
        <f>551.90141227832*Deflactores!$T$5</f>
        <v>856.5102041173061</v>
      </c>
      <c r="E60" s="42">
        <f>602.52580513676*Deflactores!$U$5</f>
        <v>920.25934503193218</v>
      </c>
      <c r="F60" s="42">
        <f>632.65134401225*Deflactores!$V$5</f>
        <v>914.85624377178226</v>
      </c>
      <c r="G60" s="42">
        <f>738.717671821719*Deflactores!$W$5</f>
        <v>944.33810321407873</v>
      </c>
      <c r="H60" s="42">
        <f>896.06421984406*Deflactores!$X$5</f>
        <v>1048.2080116618076</v>
      </c>
      <c r="I60" s="42">
        <f>1043.44658585773*Deflactores!$Y$5</f>
        <v>1160.2800398877121</v>
      </c>
      <c r="J60" s="42">
        <f>1156.28635316452*Deflactores!$Z$5</f>
        <v>1223.3509616480624</v>
      </c>
      <c r="K60" s="42">
        <f>481.48929487844*Deflactores!$AA$5</f>
        <v>481.48929487843998</v>
      </c>
    </row>
    <row r="61" spans="3:12" x14ac:dyDescent="0.2">
      <c r="C61" s="88" t="s">
        <v>128</v>
      </c>
      <c r="D61" s="50">
        <f>232.712579608919*Deflactores!$T$5</f>
        <v>361.15272515552834</v>
      </c>
      <c r="E61" s="50">
        <f>233.629809391459*Deflactores!$U$5</f>
        <v>356.83121542274682</v>
      </c>
      <c r="F61" s="50">
        <f>224.822556715349*Deflactores!$V$5</f>
        <v>325.10848463129179</v>
      </c>
      <c r="G61" s="50">
        <f>185.7757038072*Deflactores!$W$5</f>
        <v>237.48596039934858</v>
      </c>
      <c r="H61" s="50">
        <f>292.62156096854*Deflactores!$X$5</f>
        <v>342.30611802085679</v>
      </c>
      <c r="I61" s="50">
        <f>328.67350233639*Deflactores!$Y$5</f>
        <v>365.47467744831619</v>
      </c>
      <c r="J61" s="50">
        <f>335.54035014125*Deflactores!$Z$5</f>
        <v>355.00169044944249</v>
      </c>
      <c r="K61" s="50">
        <f>176.992003815329*Deflactores!$AA$5</f>
        <v>176.99200381532901</v>
      </c>
    </row>
    <row r="62" spans="3:12" x14ac:dyDescent="0.2">
      <c r="C62" s="87" t="s">
        <v>129</v>
      </c>
      <c r="D62" s="42">
        <f>30274.1850183194*Deflactores!$T$5</f>
        <v>46983.297764147501</v>
      </c>
      <c r="E62" s="42">
        <f>32100.5958083174*Deflactores!$U$5</f>
        <v>49028.395168887138</v>
      </c>
      <c r="F62" s="42">
        <f>33928.3684748014*Deflactores!$V$5</f>
        <v>49062.694695801903</v>
      </c>
      <c r="G62" s="42">
        <f>37069.3760702019*Deflactores!$W$5</f>
        <v>47387.55497636467</v>
      </c>
      <c r="H62" s="42">
        <f>43074.1734154322*Deflactores!$X$5</f>
        <v>50387.787694082414</v>
      </c>
      <c r="I62" s="42">
        <f>49730.602942097*Deflactores!$Y$5</f>
        <v>55298.878493013392</v>
      </c>
      <c r="J62" s="42">
        <f>54957.3825674249*Deflactores!$Z$5</f>
        <v>58144.91075633555</v>
      </c>
      <c r="K62" s="42">
        <f>20288.0246536138*Deflactores!$AA$5</f>
        <v>20288.0246536138</v>
      </c>
    </row>
    <row r="63" spans="3:12" x14ac:dyDescent="0.2">
      <c r="C63" s="88" t="s">
        <v>130</v>
      </c>
      <c r="D63" s="50">
        <f>36.97973938783*Deflactores!$T$5</f>
        <v>57.389822578135245</v>
      </c>
      <c r="E63" s="50">
        <f>39.0102949904899*Deflactores!$U$5</f>
        <v>59.581827386301384</v>
      </c>
      <c r="F63" s="50">
        <f>36.42389235794*Deflactores!$V$5</f>
        <v>52.671389480976885</v>
      </c>
      <c r="G63" s="50">
        <f>49.74624542684*Deflactores!$W$5</f>
        <v>63.593002902659066</v>
      </c>
      <c r="H63" s="50">
        <f>48.4766144126999*Deflactores!$X$5</f>
        <v>56.707515466330378</v>
      </c>
      <c r="I63" s="50">
        <f>62.4161431238*Deflactores!$Y$5</f>
        <v>69.404803288315165</v>
      </c>
      <c r="J63" s="50">
        <f>46.41038655829*Deflactores!$Z$5</f>
        <v>49.102188978670824</v>
      </c>
      <c r="K63" s="50">
        <f>17.65968845223*Deflactores!$AA$5</f>
        <v>17.65968845223</v>
      </c>
    </row>
    <row r="64" spans="3:12" x14ac:dyDescent="0.2">
      <c r="C64" s="87" t="s">
        <v>131</v>
      </c>
      <c r="D64" s="42">
        <f>37378.6409499261*Deflactores!$T$5</f>
        <v>58008.88832207529</v>
      </c>
      <c r="E64" s="42">
        <f>40598.3838936504*Deflactores!$U$5</f>
        <v>62007.372717995924</v>
      </c>
      <c r="F64" s="42">
        <f>43206.8420035142*Deflactores!$V$5</f>
        <v>62479.989262159041</v>
      </c>
      <c r="G64" s="42">
        <f>44171.2634547524*Deflactores!$W$5</f>
        <v>56466.237019299428</v>
      </c>
      <c r="H64" s="42">
        <f>51129.6233913474*Deflactores!$X$5</f>
        <v>59810.98194210705</v>
      </c>
      <c r="I64" s="42">
        <f>61944.3768278671*Deflactores!$Y$5</f>
        <v>68880.213889986975</v>
      </c>
      <c r="J64" s="42">
        <f>73108.3938520768*Deflactores!$Z$5</f>
        <v>77348.680695497256</v>
      </c>
      <c r="K64" s="42">
        <f>39452.3035610956*Deflactores!$AA$5</f>
        <v>39452.303561095599</v>
      </c>
    </row>
    <row r="65" spans="3:11" x14ac:dyDescent="0.2">
      <c r="C65" s="88" t="s">
        <v>132</v>
      </c>
      <c r="D65" s="50">
        <f>22.7359512649199*Deflactores!$T$5</f>
        <v>35.284516084726526</v>
      </c>
      <c r="E65" s="50">
        <f>23.34998454923*Deflactores!$U$5</f>
        <v>35.66327168826043</v>
      </c>
      <c r="F65" s="50">
        <f>30.07740491501*Deflactores!$V$5</f>
        <v>43.493943296540586</v>
      </c>
      <c r="G65" s="50">
        <f>32.04388781921*Deflactores!$W$5</f>
        <v>40.963233176991679</v>
      </c>
      <c r="H65" s="50">
        <f>34.77247861571*Deflactores!$X$5</f>
        <v>40.676538425637851</v>
      </c>
      <c r="I65" s="50">
        <f>39.38004129941*Deflactores!$Y$5</f>
        <v>43.789376963747237</v>
      </c>
      <c r="J65" s="50">
        <f>44.94814743334*Deflactores!$Z$5</f>
        <v>47.555139984473719</v>
      </c>
      <c r="K65" s="50">
        <f>17.78967666922*Deflactores!$AA$5</f>
        <v>17.78967666922</v>
      </c>
    </row>
    <row r="66" spans="3:11" x14ac:dyDescent="0.2">
      <c r="C66" s="87" t="s">
        <v>133</v>
      </c>
      <c r="D66" s="42">
        <f>3663.94963800874*Deflactores!$T$5</f>
        <v>5686.1790575448249</v>
      </c>
      <c r="E66" s="42">
        <f>3775.78316769924*Deflactores!$U$5</f>
        <v>5766.8895095718208</v>
      </c>
      <c r="F66" s="42">
        <f>4087.81891210219*Deflactores!$V$5</f>
        <v>5911.2601127622838</v>
      </c>
      <c r="G66" s="42">
        <f>4514.84593453778*Deflactores!$W$5</f>
        <v>5771.543322648653</v>
      </c>
      <c r="H66" s="42">
        <f>5175.14306849396*Deflactores!$X$5</f>
        <v>6053.8366623270322</v>
      </c>
      <c r="I66" s="42">
        <f>5672.31064864163*Deflactores!$Y$5</f>
        <v>6307.4324214222524</v>
      </c>
      <c r="J66" s="42">
        <f>6474.07986455098*Deflactores!$Z$5</f>
        <v>6849.5764966949373</v>
      </c>
      <c r="K66" s="42">
        <f>1987.04587505626*Deflactores!$AA$5</f>
        <v>1987.04587505626</v>
      </c>
    </row>
    <row r="67" spans="3:11" x14ac:dyDescent="0.2">
      <c r="C67" s="88" t="s">
        <v>134</v>
      </c>
      <c r="D67" s="50">
        <f>8211.59808482213*Deflactores!$T$5</f>
        <v>12743.793357451004</v>
      </c>
      <c r="E67" s="50">
        <f>19570.4421954612*Deflactores!$U$5</f>
        <v>29890.640638524299</v>
      </c>
      <c r="F67" s="50">
        <f>19719.4719808545*Deflactores!$V$5</f>
        <v>28515.678084480824</v>
      </c>
      <c r="G67" s="50">
        <f>14640.1024688037*Deflactores!$W$5</f>
        <v>18715.14263650429</v>
      </c>
      <c r="H67" s="50">
        <f>35238.9991072924*Deflactores!$X$5</f>
        <v>41222.269977073061</v>
      </c>
      <c r="I67" s="50">
        <f>24562.1558290815*Deflactores!$Y$5</f>
        <v>27312.350753122893</v>
      </c>
      <c r="J67" s="50">
        <f>20108.2373514352*Deflactores!$Z$5</f>
        <v>21274.515117818442</v>
      </c>
      <c r="K67" s="50">
        <f>5501.90215751354*Deflactores!$AA$5</f>
        <v>5501.9021575135403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471.96114025259*Deflactores!$X$5</f>
        <v>552.09597420584521</v>
      </c>
      <c r="I68" s="42">
        <f>1371.7499163263*Deflactores!$Y$5</f>
        <v>1525.3430977712314</v>
      </c>
      <c r="J68" s="42">
        <f>108.39744937505*Deflactores!$Z$5</f>
        <v>114.68450143880291</v>
      </c>
      <c r="K68" s="42">
        <f>38.78457951866*Deflactores!$AA$5</f>
        <v>38.784579518660003</v>
      </c>
    </row>
    <row r="69" spans="3:11" x14ac:dyDescent="0.2">
      <c r="C69" s="88" t="s">
        <v>136</v>
      </c>
      <c r="D69" s="50">
        <f>824.97717726446*Deflactores!$T$5</f>
        <v>1280.3036099762098</v>
      </c>
      <c r="E69" s="50">
        <f>6820.09096259945*Deflactores!$U$5</f>
        <v>10416.57035896645</v>
      </c>
      <c r="F69" s="50">
        <f>8599.06442311034*Deflactores!$V$5</f>
        <v>12434.823465618001</v>
      </c>
      <c r="G69" s="50">
        <f>906.560701443749*Deflactores!$W$5</f>
        <v>1158.8998691998593</v>
      </c>
      <c r="H69" s="50">
        <f>1166.69534232296*Deflactores!$X$5</f>
        <v>1364.7899089244602</v>
      </c>
      <c r="I69" s="50">
        <f>2125.92965143575*Deflactores!$Y$5</f>
        <v>2363.9674269849629</v>
      </c>
      <c r="J69" s="50">
        <f>1942.99394276131*Deflactores!$Z$5</f>
        <v>2055.6875914414663</v>
      </c>
      <c r="K69" s="50">
        <f>295.33052959685*Deflactores!$AA$5</f>
        <v>295.33052959685</v>
      </c>
    </row>
    <row r="70" spans="3:11" x14ac:dyDescent="0.2">
      <c r="C70" s="87" t="s">
        <v>137</v>
      </c>
      <c r="D70" s="42">
        <f>139.72034585394*Deflactores!$T$5</f>
        <v>216.83565086865377</v>
      </c>
      <c r="E70" s="42">
        <f>143.5601391313*Deflactores!$U$5</f>
        <v>219.26456673449289</v>
      </c>
      <c r="F70" s="42">
        <f>147.53469395789*Deflactores!$V$5</f>
        <v>213.3450552469248</v>
      </c>
      <c r="G70" s="42">
        <f>168.913770036309*Deflactores!$W$5</f>
        <v>215.93054462804761</v>
      </c>
      <c r="H70" s="42">
        <f>205.83718309344*Deflactores!$X$5</f>
        <v>240.78651913362913</v>
      </c>
      <c r="I70" s="42">
        <f>229.32231856602*Deflactores!$Y$5</f>
        <v>254.99926161932262</v>
      </c>
      <c r="J70" s="42">
        <f>251.58096491343*Deflactores!$Z$5</f>
        <v>266.17266087840892</v>
      </c>
      <c r="K70" s="42">
        <f>93.88428185407*Deflactores!$AA$5</f>
        <v>93.884281854069997</v>
      </c>
    </row>
    <row r="71" spans="3:11" x14ac:dyDescent="0.2">
      <c r="C71" s="88" t="s">
        <v>138</v>
      </c>
      <c r="D71" s="50">
        <f>87.2822857304599*Deflactores!$T$5</f>
        <v>135.45565694099224</v>
      </c>
      <c r="E71" s="50">
        <f>91.83441642363*Deflactores!$U$5</f>
        <v>140.26200901091235</v>
      </c>
      <c r="F71" s="50">
        <f>106.31293775018*Deflactores!$V$5</f>
        <v>153.73563308606475</v>
      </c>
      <c r="G71" s="50">
        <f>100.244969704429*Deflactores!$W$5</f>
        <v>128.14793548120181</v>
      </c>
      <c r="H71" s="50">
        <f>105.58533432232*Deflactores!$X$5</f>
        <v>123.51279171698972</v>
      </c>
      <c r="I71" s="50">
        <f>123.83520786849*Deflactores!$Y$5</f>
        <v>137.7008865356002</v>
      </c>
      <c r="J71" s="50">
        <f>137.17219646521*Deflactores!$Z$5</f>
        <v>145.12818386019217</v>
      </c>
      <c r="K71" s="50">
        <f>44.1557141994499*Deflactores!$AA$5</f>
        <v>44.155714199449903</v>
      </c>
    </row>
    <row r="72" spans="3:11" x14ac:dyDescent="0.2">
      <c r="C72" s="87" t="s">
        <v>160</v>
      </c>
      <c r="D72" s="42">
        <f>1171.73597440377*Deflactores!$T$5</f>
        <v>1818.447636263799</v>
      </c>
      <c r="E72" s="42">
        <f>1426.59215511038*Deflactores!$U$5</f>
        <v>2178.8855366810162</v>
      </c>
      <c r="F72" s="42">
        <f>1703.21005030532*Deflactores!$V$5</f>
        <v>2462.9558819786562</v>
      </c>
      <c r="G72" s="42">
        <f>1960.76812687354*Deflactores!$W$5</f>
        <v>2506.5436017093821</v>
      </c>
      <c r="H72" s="42">
        <f>2619.30595298259*Deflactores!$X$5</f>
        <v>3064.0409739690576</v>
      </c>
      <c r="I72" s="42">
        <f>3013.50910470317*Deflactores!$Y$5</f>
        <v>3350.9280796896624</v>
      </c>
      <c r="J72" s="42">
        <f>3720.71111430494*Deflactores!$Z$5</f>
        <v>3936.5123589346267</v>
      </c>
      <c r="K72" s="42">
        <f>2474.49380792908*Deflactores!$AA$5</f>
        <v>2474.49380792908</v>
      </c>
    </row>
    <row r="73" spans="3:11" x14ac:dyDescent="0.2">
      <c r="C73" s="88" t="s">
        <v>161</v>
      </c>
      <c r="D73" s="50">
        <f>1955.44297514933*Deflactores!$T$5</f>
        <v>3034.7029823150488</v>
      </c>
      <c r="E73" s="50">
        <f>2042.66667112716*Deflactores!$U$5</f>
        <v>3119.8383154118492</v>
      </c>
      <c r="F73" s="50">
        <f>2164.41331328956*Deflactores!$V$5</f>
        <v>3129.8867101235201</v>
      </c>
      <c r="G73" s="50">
        <f>2479.71172769836*Deflactores!$W$5</f>
        <v>3169.9340069632372</v>
      </c>
      <c r="H73" s="50">
        <f>2894.39873183706*Deflactores!$X$5</f>
        <v>3385.8420774611118</v>
      </c>
      <c r="I73" s="50">
        <f>3356.45164918442*Deflactores!$Y$5</f>
        <v>3732.269486698829</v>
      </c>
      <c r="J73" s="50">
        <f>3728.48464514616*Deflactores!$Z$5</f>
        <v>3944.7367545646375</v>
      </c>
      <c r="K73" s="50">
        <f>1660.95983065585*Deflactores!$AA$5</f>
        <v>1660.9598306558501</v>
      </c>
    </row>
    <row r="74" spans="3:11" x14ac:dyDescent="0.2">
      <c r="C74" s="87" t="s">
        <v>140</v>
      </c>
      <c r="D74" s="42">
        <f>181.5038428251*Deflactores!$T$5</f>
        <v>281.68055019907166</v>
      </c>
      <c r="E74" s="42">
        <f>203.745915122549*Deflactores!$U$5</f>
        <v>311.1884682865167</v>
      </c>
      <c r="F74" s="42">
        <f>206.97533382448*Deflactores!$V$5</f>
        <v>299.3002042091735</v>
      </c>
      <c r="G74" s="42">
        <f>279.31373680063*Deflactores!$W$5</f>
        <v>357.06009815831288</v>
      </c>
      <c r="H74" s="42">
        <f>278.45360018523*Deflactores!$X$5</f>
        <v>325.73256260698219</v>
      </c>
      <c r="I74" s="42">
        <f>299.45422438285*Deflactores!$Y$5</f>
        <v>332.98375223094615</v>
      </c>
      <c r="J74" s="42">
        <f>287.40635666761*Deflactores!$Z$5</f>
        <v>304.07592535433139</v>
      </c>
      <c r="K74" s="42">
        <f>178.925430881899*Deflactores!$AA$5</f>
        <v>178.92543088189899</v>
      </c>
    </row>
    <row r="75" spans="3:11" x14ac:dyDescent="0.2">
      <c r="C75" s="88" t="s">
        <v>141</v>
      </c>
      <c r="D75" s="50">
        <f>1649.66144580051*Deflactores!$T$5</f>
        <v>2560.1526472530627</v>
      </c>
      <c r="E75" s="50">
        <f>1830.07164868104*Deflactores!$U$5</f>
        <v>2795.1342870608828</v>
      </c>
      <c r="F75" s="50">
        <f>2232.68043994741*Deflactores!$V$5</f>
        <v>3228.6055505375916</v>
      </c>
      <c r="G75" s="50">
        <f>2563.57285427045*Deflactores!$W$5</f>
        <v>3277.1376927843553</v>
      </c>
      <c r="H75" s="50">
        <f>3186.0926004979*Deflactores!$X$5</f>
        <v>3727.0629892124257</v>
      </c>
      <c r="I75" s="50">
        <f>3427.67086317003*Deflactores!$Y$5</f>
        <v>3811.46303006173</v>
      </c>
      <c r="J75" s="50">
        <f>3758.29545284916*Deflactores!$Z$5</f>
        <v>3976.2765891144113</v>
      </c>
      <c r="K75" s="50">
        <f>1326.33439442569*Deflactores!$AA$5</f>
        <v>1326.3343944256901</v>
      </c>
    </row>
    <row r="76" spans="3:11" x14ac:dyDescent="0.2">
      <c r="C76" s="87" t="s">
        <v>142</v>
      </c>
      <c r="D76" s="42">
        <f>79.02570833998*Deflactores!$T$5</f>
        <v>122.64205902531235</v>
      </c>
      <c r="E76" s="42">
        <f>81.64625714595*Deflactores!$U$5</f>
        <v>124.70126670904412</v>
      </c>
      <c r="F76" s="42">
        <f>224.83782972817*Deflactores!$V$5</f>
        <v>325.13057043142913</v>
      </c>
      <c r="G76" s="42">
        <f>408.42085454902*Deflactores!$W$5</f>
        <v>522.10389680643232</v>
      </c>
      <c r="H76" s="42">
        <f>225.24244686784*Deflactores!$X$5</f>
        <v>263.48662533837927</v>
      </c>
      <c r="I76" s="42">
        <f>251.51373305666*Deflactores!$Y$5</f>
        <v>279.67542198952407</v>
      </c>
      <c r="J76" s="42">
        <f>240.25038246428*Deflactores!$Z$5</f>
        <v>254.18490464720824</v>
      </c>
      <c r="K76" s="42">
        <f>149.20037233895*Deflactores!$AA$5</f>
        <v>149.20037233894999</v>
      </c>
    </row>
    <row r="77" spans="3:11" x14ac:dyDescent="0.2">
      <c r="C77" s="88" t="s">
        <v>143</v>
      </c>
      <c r="D77" s="50">
        <f>1297.06734012303*Deflactores!$T$5</f>
        <v>2012.9526533670521</v>
      </c>
      <c r="E77" s="50">
        <f>4602.66574984392*Deflactores!$U$5</f>
        <v>7029.8170339623457</v>
      </c>
      <c r="F77" s="50">
        <f>6335.74228904698*Deflactores!$V$5</f>
        <v>9161.9079717806144</v>
      </c>
      <c r="G77" s="50">
        <f>4712.21453107236*Deflactores!$W$5</f>
        <v>6023.8490318458626</v>
      </c>
      <c r="H77" s="50">
        <f>3243.31125671289*Deflactores!$X$5</f>
        <v>3793.9968679823119</v>
      </c>
      <c r="I77" s="50">
        <f>2039.04091891953*Deflactores!$Y$5</f>
        <v>2267.3498680259281</v>
      </c>
      <c r="J77" s="50">
        <f>3549.53627931391*Deflactores!$Z$5</f>
        <v>3755.4093835141171</v>
      </c>
      <c r="K77" s="50">
        <f>2284.40750946557*Deflactores!$AA$5</f>
        <v>2284.40750946557</v>
      </c>
    </row>
    <row r="78" spans="3:11" x14ac:dyDescent="0.2">
      <c r="C78" s="87" t="s">
        <v>144</v>
      </c>
      <c r="D78" s="42">
        <f>4304.87282354709*Deflactores!$T$5</f>
        <v>6680.8444746938776</v>
      </c>
      <c r="E78" s="42">
        <f>4552.62443572019*Deflactores!$U$5</f>
        <v>6953.387134085131</v>
      </c>
      <c r="F78" s="42">
        <f>4837.35950806067*Deflactores!$V$5</f>
        <v>6995.1460487728145</v>
      </c>
      <c r="G78" s="42">
        <f>5399.15096306295*Deflactores!$W$5</f>
        <v>6901.9927015578787</v>
      </c>
      <c r="H78" s="42">
        <f>6539.24942233256*Deflactores!$X$5</f>
        <v>7649.5562292808763</v>
      </c>
      <c r="I78" s="42">
        <f>8054.69986637758*Deflactores!$Y$5</f>
        <v>8956.5748826153904</v>
      </c>
      <c r="J78" s="42">
        <f>9300.58513186542*Deflactores!$Z$5</f>
        <v>9840.0190695136152</v>
      </c>
      <c r="K78" s="42">
        <f>2545.17064757266*Deflactores!$AA$5</f>
        <v>2545.1706475726601</v>
      </c>
    </row>
    <row r="79" spans="3:11" x14ac:dyDescent="0.2">
      <c r="C79" s="88" t="s">
        <v>145</v>
      </c>
      <c r="D79" s="50">
        <f>1340.97151432361*Deflactores!$T$5</f>
        <v>2081.0886870309359</v>
      </c>
      <c r="E79" s="50">
        <f>508.308374296529*Deflactores!$U$5</f>
        <v>776.35767234599234</v>
      </c>
      <c r="F79" s="50">
        <f>1211.08600769604*Deflactores!$V$5</f>
        <v>1751.3115341835257</v>
      </c>
      <c r="G79" s="50">
        <f>2987.93232503438*Deflactores!$W$5</f>
        <v>3819.6166844049235</v>
      </c>
      <c r="H79" s="50">
        <f>2888.80204207781*Deflactores!$X$5</f>
        <v>3379.2951192024143</v>
      </c>
      <c r="I79" s="50">
        <f>795.97448467571*Deflactores!$Y$5</f>
        <v>885.09878641268256</v>
      </c>
      <c r="J79" s="50">
        <f>2608.8966529397*Deflactores!$Z$5</f>
        <v>2760.2126588102024</v>
      </c>
      <c r="K79" s="50">
        <f>2682.74379868003*Deflactores!$AA$5</f>
        <v>2682.7437986800301</v>
      </c>
    </row>
    <row r="80" spans="3:11" x14ac:dyDescent="0.2">
      <c r="C80" s="87" t="s">
        <v>146</v>
      </c>
      <c r="D80" s="42">
        <f>671.409358689904*Deflactores!$T$5</f>
        <v>1041.9777048292024</v>
      </c>
      <c r="E80" s="42">
        <f>719.83630107133*Deflactores!$U$5</f>
        <v>1099.4318870770232</v>
      </c>
      <c r="F80" s="42">
        <f>801.622702706239*Deflactores!$V$5</f>
        <v>1159.2001529136303</v>
      </c>
      <c r="G80" s="42">
        <f>1100.02899264964*Deflactores!$W$5</f>
        <v>1406.2196316997774</v>
      </c>
      <c r="H80" s="42">
        <f>1114.79434319987*Deflactores!$X$5</f>
        <v>1304.0765784630082</v>
      </c>
      <c r="I80" s="42">
        <f>1132.83138462828*Deflactores!$Y$5</f>
        <v>1259.6731466250312</v>
      </c>
      <c r="J80" s="42">
        <f>1227.78329754137*Deflactores!$Z$5</f>
        <v>1298.9947287987695</v>
      </c>
      <c r="K80" s="42">
        <f>497.5802640862*Deflactores!$AA$5</f>
        <v>497.58026408619997</v>
      </c>
    </row>
    <row r="81" spans="1:12" x14ac:dyDescent="0.2">
      <c r="C81" s="88" t="s">
        <v>162</v>
      </c>
      <c r="D81" s="50">
        <f>28434.4478051577*Deflactores!$T$5</f>
        <v>44128.161573315119</v>
      </c>
      <c r="E81" s="50">
        <f>33484.3146004642*Deflactores!$U$5</f>
        <v>51141.798675447921</v>
      </c>
      <c r="F81" s="50">
        <f>42341.5886502869*Deflactores!$V$5</f>
        <v>61228.774924062047</v>
      </c>
      <c r="G81" s="50">
        <f>40756.5954815885*Deflactores!$W$5</f>
        <v>52101.10376218996</v>
      </c>
      <c r="H81" s="50">
        <f>50733.7178001599*Deflactores!$X$5</f>
        <v>59347.855077587607</v>
      </c>
      <c r="I81" s="50">
        <f>58084.9783106795*Deflactores!$Y$5</f>
        <v>64588.683181892295</v>
      </c>
      <c r="J81" s="50">
        <f>63531.8402059979*Deflactores!$Z$5</f>
        <v>67216.686937945778</v>
      </c>
      <c r="K81" s="50">
        <f>27024.1394128698*Deflactores!$AA$5</f>
        <v>27024.139412869801</v>
      </c>
    </row>
    <row r="82" spans="1:12" x14ac:dyDescent="0.2">
      <c r="C82" s="87" t="s">
        <v>148</v>
      </c>
      <c r="D82" s="42">
        <f>264.07690960853*Deflactores!$T$5</f>
        <v>409.82784736453283</v>
      </c>
      <c r="E82" s="42">
        <f>317.62768516746*Deflactores!$U$5</f>
        <v>485.12419389219338</v>
      </c>
      <c r="F82" s="42">
        <f>358.64498812644*Deflactores!$V$5</f>
        <v>518.62468923890754</v>
      </c>
      <c r="G82" s="42">
        <f>360.0101767812*Deflactores!$W$5</f>
        <v>460.21821386908931</v>
      </c>
      <c r="H82" s="42">
        <f>451.28346101165*Deflactores!$X$5</f>
        <v>527.90740762442499</v>
      </c>
      <c r="I82" s="42">
        <f>592.63193987723*Deflactores!$Y$5</f>
        <v>658.98822245342888</v>
      </c>
      <c r="J82" s="42">
        <f>699.623488265909*Deflactores!$Z$5</f>
        <v>740.20165058533178</v>
      </c>
      <c r="K82" s="42">
        <f>267.43318755477*Deflactores!$AA$5</f>
        <v>267.43318755476997</v>
      </c>
    </row>
    <row r="83" spans="1:12" x14ac:dyDescent="0.2">
      <c r="C83" s="88" t="s">
        <v>149</v>
      </c>
      <c r="D83" s="50">
        <f>64.40144436624*Deflactores!$T$5</f>
        <v>99.946282130114398</v>
      </c>
      <c r="E83" s="50">
        <f>53.71154523094*Deflactores!$U$5</f>
        <v>82.035575926343355</v>
      </c>
      <c r="F83" s="50">
        <f>65.78004969265*Deflactores!$V$5</f>
        <v>95.122360438348665</v>
      </c>
      <c r="G83" s="50">
        <f>93.64234653543*Deflactores!$W$5</f>
        <v>119.70748674484803</v>
      </c>
      <c r="H83" s="50">
        <f>94.20563140713*Deflactores!$X$5</f>
        <v>110.20091573547889</v>
      </c>
      <c r="I83" s="50">
        <f>113.06374326329*Deflactores!$Y$5</f>
        <v>125.72335404744024</v>
      </c>
      <c r="J83" s="50">
        <f>115.76479600288*Deflactores!$Z$5</f>
        <v>122.47915417104706</v>
      </c>
      <c r="K83" s="50">
        <f>102.08277853058*Deflactores!$AA$5</f>
        <v>102.08277853058</v>
      </c>
    </row>
    <row r="84" spans="1:12" x14ac:dyDescent="0.2">
      <c r="C84" s="87" t="s">
        <v>163</v>
      </c>
      <c r="D84" s="42">
        <f>22653.7594107629*Deflactores!$T$5</f>
        <v>35156.960401384138</v>
      </c>
      <c r="E84" s="42">
        <f>26371.9671291886*Deflactores!$U$5</f>
        <v>40278.854433466477</v>
      </c>
      <c r="F84" s="42">
        <f>23245.8977128905*Deflactores!$V$5</f>
        <v>33615.126034263638</v>
      </c>
      <c r="G84" s="42">
        <f>25594.2626291314*Deflactores!$W$5</f>
        <v>32718.369068866665</v>
      </c>
      <c r="H84" s="42">
        <f>28926.2308944203*Deflactores!$X$5</f>
        <v>33837.64946667249</v>
      </c>
      <c r="I84" s="42">
        <f>31249.8531415474*Deflactores!$Y$5</f>
        <v>34748.861456817758</v>
      </c>
      <c r="J84" s="42">
        <f>44929.2189198675*Deflactores!$Z$5</f>
        <v>47535.113617219817</v>
      </c>
      <c r="K84" s="42">
        <f>8180.98307196028*Deflactores!$AA$5</f>
        <v>8180.9830719602796</v>
      </c>
    </row>
    <row r="85" spans="1:12" x14ac:dyDescent="0.2">
      <c r="C85" s="88" t="s">
        <v>150</v>
      </c>
      <c r="D85" s="50">
        <f>165.370478680169*Deflactores!$T$5</f>
        <v>256.64276136676989</v>
      </c>
      <c r="E85" s="50">
        <f>155.1441584967*Deflactores!$U$5</f>
        <v>236.95725638057465</v>
      </c>
      <c r="F85" s="50">
        <f>299.937552914739*Deflactores!$V$5</f>
        <v>433.72980334704721</v>
      </c>
      <c r="G85" s="50">
        <f>353.09741473827*Deflactores!$W$5</f>
        <v>451.38129978864981</v>
      </c>
      <c r="H85" s="50">
        <f>455.53471354015*Deflactores!$X$5</f>
        <v>532.88048529149978</v>
      </c>
      <c r="I85" s="50">
        <f>524.77733349672*Deflactores!$Y$5</f>
        <v>583.53601774567608</v>
      </c>
      <c r="J85" s="50">
        <f>462.82627020685*Deflactores!$Z$5</f>
        <v>489.67019387884733</v>
      </c>
      <c r="K85" s="50">
        <f>326.52964357899*Deflactores!$AA$5</f>
        <v>326.52964357898998</v>
      </c>
    </row>
    <row r="86" spans="1:12" x14ac:dyDescent="0.2">
      <c r="C86" s="87" t="s">
        <v>151</v>
      </c>
      <c r="D86" s="42">
        <f>2190.79212762716*Deflactores!$T$5</f>
        <v>3399.9474737097657</v>
      </c>
      <c r="E86" s="42">
        <f>2341.04330928252*Deflactores!$U$5</f>
        <v>3575.5596924230081</v>
      </c>
      <c r="F86" s="42">
        <f>2728.56652615388*Deflactores!$V$5</f>
        <v>3945.6900655066415</v>
      </c>
      <c r="G86" s="42">
        <f>2654.77344210921*Deflactores!$W$5</f>
        <v>3393.7237626955794</v>
      </c>
      <c r="H86" s="42">
        <f>2926.31864759444*Deflactores!$X$5</f>
        <v>3423.1817130446848</v>
      </c>
      <c r="I86" s="42">
        <f>3759.52629688483*Deflactores!$Y$5</f>
        <v>4180.4759159020232</v>
      </c>
      <c r="J86" s="42">
        <f>4340.45487461282*Deflactores!$Z$5</f>
        <v>4592.2012573403645</v>
      </c>
      <c r="K86" s="42">
        <f>1374.96895292904*Deflactores!$AA$5</f>
        <v>1374.9689529290399</v>
      </c>
    </row>
    <row r="87" spans="1:12" x14ac:dyDescent="0.2">
      <c r="C87" s="79" t="s">
        <v>179</v>
      </c>
      <c r="D87" s="44">
        <f t="shared" ref="D87:K87" si="1">+SUM(D56:D86)</f>
        <v>231707.88360964941</v>
      </c>
      <c r="E87" s="44">
        <f t="shared" si="1"/>
        <v>281252.55501396157</v>
      </c>
      <c r="F87" s="44">
        <f t="shared" si="1"/>
        <v>290430.67160162574</v>
      </c>
      <c r="G87" s="44">
        <f t="shared" si="1"/>
        <v>250234.79206304569</v>
      </c>
      <c r="H87" s="44">
        <f t="shared" si="1"/>
        <v>287907.47813149996</v>
      </c>
      <c r="I87" s="44">
        <f t="shared" si="1"/>
        <v>296011.58173000132</v>
      </c>
      <c r="J87" s="44">
        <f t="shared" si="1"/>
        <v>320937.2828354814</v>
      </c>
      <c r="K87" s="44">
        <f t="shared" si="1"/>
        <v>120951.52346227196</v>
      </c>
    </row>
    <row r="88" spans="1:12" s="31" customFormat="1" x14ac:dyDescent="0.2">
      <c r="A88" s="5"/>
      <c r="B88" s="5"/>
      <c r="C88" s="72" t="str">
        <f>+'C1 Aprop Resumen 2000-2026'!B20</f>
        <v>* Información con corte a 30 de abril</v>
      </c>
      <c r="D88" s="121">
        <f>+D87-'C6 Ejec. Nac 19-26'!D47</f>
        <v>0</v>
      </c>
      <c r="E88" s="121">
        <f>+E87-'C6 Ejec. Nac 19-26'!E47</f>
        <v>1.2223608791828156E-9</v>
      </c>
      <c r="F88" s="121">
        <f>+F87-'C6 Ejec. Nac 19-26'!F47</f>
        <v>0</v>
      </c>
      <c r="G88" s="121">
        <f>+G87-'C6 Ejec. Nac 19-26'!G47</f>
        <v>0</v>
      </c>
      <c r="H88" s="121">
        <f>+H87-'C6 Ejec. Nac 19-26'!H47</f>
        <v>0</v>
      </c>
      <c r="I88" s="121">
        <f>+I87-'C6 Ejec. Nac 19-26'!I47</f>
        <v>0</v>
      </c>
      <c r="J88" s="121">
        <f>+J87-'C6 Ejec. Nac 19-26'!J47</f>
        <v>0</v>
      </c>
      <c r="K88" s="121">
        <f>+K87-'C6 Ejec. Nac 19-26'!K47</f>
        <v>0</v>
      </c>
    </row>
    <row r="89" spans="1:12" x14ac:dyDescent="0.2">
      <c r="C89" s="1" t="s">
        <v>52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55" t="s">
        <v>189</v>
      </c>
      <c r="E93" s="178"/>
      <c r="F93" s="178"/>
      <c r="G93" s="178"/>
      <c r="H93" s="178"/>
      <c r="I93" s="178"/>
      <c r="J93" s="178"/>
      <c r="K93" s="178"/>
      <c r="L93" s="178"/>
    </row>
    <row r="94" spans="1:12" ht="11.25" hidden="1" customHeight="1" x14ac:dyDescent="0.2">
      <c r="D94" s="28"/>
      <c r="E94" s="28"/>
      <c r="F94" s="28"/>
    </row>
    <row r="95" spans="1:12" x14ac:dyDescent="0.2">
      <c r="D95" s="29"/>
      <c r="E95" s="29"/>
      <c r="F95" s="29"/>
    </row>
    <row r="96" spans="1:12" ht="12" thickBot="1" x14ac:dyDescent="0.25">
      <c r="C96" s="176" t="s">
        <v>120</v>
      </c>
      <c r="D96" s="153">
        <v>2019</v>
      </c>
      <c r="E96" s="153">
        <v>2020</v>
      </c>
      <c r="F96" s="153">
        <v>2021</v>
      </c>
      <c r="G96" s="153">
        <v>2022</v>
      </c>
      <c r="H96" s="153">
        <v>2023</v>
      </c>
      <c r="I96" s="153">
        <v>2024</v>
      </c>
      <c r="J96" s="153">
        <v>2025</v>
      </c>
      <c r="K96" s="153" t="s">
        <v>10</v>
      </c>
    </row>
    <row r="97" spans="3:11" ht="12" customHeight="1" thickBot="1" x14ac:dyDescent="0.25">
      <c r="C97" s="160"/>
      <c r="D97" s="154"/>
      <c r="E97" s="154"/>
      <c r="F97" s="154"/>
      <c r="G97" s="154"/>
      <c r="H97" s="154"/>
      <c r="I97" s="154"/>
      <c r="J97" s="154"/>
      <c r="K97" s="154"/>
    </row>
    <row r="98" spans="3:11" x14ac:dyDescent="0.2">
      <c r="C98" s="87" t="s">
        <v>123</v>
      </c>
      <c r="D98" s="47">
        <f t="shared" ref="D98:K107" si="2">+IFERROR(IF(D56&gt;0,+((D56/D14)*100)," "),"")</f>
        <v>97.007937001704008</v>
      </c>
      <c r="E98" s="47">
        <f t="shared" si="2"/>
        <v>86.210016716869518</v>
      </c>
      <c r="F98" s="47">
        <f t="shared" si="2"/>
        <v>92.837416972785022</v>
      </c>
      <c r="G98" s="47">
        <f t="shared" si="2"/>
        <v>92.890694881328997</v>
      </c>
      <c r="H98" s="47">
        <f t="shared" si="2"/>
        <v>84.282219235952795</v>
      </c>
      <c r="I98" s="47">
        <f t="shared" si="2"/>
        <v>95.894630475540183</v>
      </c>
      <c r="J98" s="47">
        <f t="shared" si="2"/>
        <v>94.667599118987269</v>
      </c>
      <c r="K98" s="47">
        <f t="shared" si="2"/>
        <v>46.129522504363706</v>
      </c>
    </row>
    <row r="99" spans="3:11" x14ac:dyDescent="0.2">
      <c r="C99" s="88" t="s">
        <v>124</v>
      </c>
      <c r="D99" s="116">
        <f t="shared" si="2"/>
        <v>97.985061615970963</v>
      </c>
      <c r="E99" s="116">
        <f t="shared" si="2"/>
        <v>97.57867750354626</v>
      </c>
      <c r="F99" s="116">
        <f t="shared" si="2"/>
        <v>93.94998573287647</v>
      </c>
      <c r="G99" s="116">
        <f t="shared" si="2"/>
        <v>92.457123986566941</v>
      </c>
      <c r="H99" s="116">
        <f t="shared" si="2"/>
        <v>95.565045476654532</v>
      </c>
      <c r="I99" s="116">
        <f t="shared" si="2"/>
        <v>96.694713528823584</v>
      </c>
      <c r="J99" s="116">
        <f t="shared" si="2"/>
        <v>98.002408893430143</v>
      </c>
      <c r="K99" s="116">
        <f t="shared" si="2"/>
        <v>44.482094626905401</v>
      </c>
    </row>
    <row r="100" spans="3:11" x14ac:dyDescent="0.2">
      <c r="C100" s="87" t="s">
        <v>125</v>
      </c>
      <c r="D100" s="47">
        <f t="shared" si="2"/>
        <v>96.636739383731026</v>
      </c>
      <c r="E100" s="47">
        <f t="shared" si="2"/>
        <v>94.930833911807028</v>
      </c>
      <c r="F100" s="47">
        <f t="shared" si="2"/>
        <v>96.575562945679508</v>
      </c>
      <c r="G100" s="47">
        <f t="shared" si="2"/>
        <v>88.865393905143819</v>
      </c>
      <c r="H100" s="47">
        <f t="shared" si="2"/>
        <v>95.912194434805642</v>
      </c>
      <c r="I100" s="47">
        <f t="shared" si="2"/>
        <v>96.330901086093874</v>
      </c>
      <c r="J100" s="47">
        <f t="shared" si="2"/>
        <v>93.440518641874419</v>
      </c>
      <c r="K100" s="47">
        <f t="shared" si="2"/>
        <v>25.500025550942606</v>
      </c>
    </row>
    <row r="101" spans="3:11" x14ac:dyDescent="0.2">
      <c r="C101" s="88" t="s">
        <v>126</v>
      </c>
      <c r="D101" s="116">
        <f t="shared" si="2"/>
        <v>98.299218407437721</v>
      </c>
      <c r="E101" s="116">
        <f t="shared" si="2"/>
        <v>98.176550987140615</v>
      </c>
      <c r="F101" s="116">
        <f t="shared" si="2"/>
        <v>97.112250331636801</v>
      </c>
      <c r="G101" s="116">
        <f t="shared" si="2"/>
        <v>98.455262414070774</v>
      </c>
      <c r="H101" s="116">
        <f t="shared" si="2"/>
        <v>98.545770534054341</v>
      </c>
      <c r="I101" s="116">
        <f t="shared" si="2"/>
        <v>97.624243472572843</v>
      </c>
      <c r="J101" s="116">
        <f t="shared" si="2"/>
        <v>98.452879390583021</v>
      </c>
      <c r="K101" s="116">
        <f t="shared" si="2"/>
        <v>82.080751329987308</v>
      </c>
    </row>
    <row r="102" spans="3:11" x14ac:dyDescent="0.2">
      <c r="C102" s="87" t="s">
        <v>127</v>
      </c>
      <c r="D102" s="47">
        <f t="shared" si="2"/>
        <v>99.019391581905651</v>
      </c>
      <c r="E102" s="47">
        <f t="shared" si="2"/>
        <v>99.210647231887933</v>
      </c>
      <c r="F102" s="47">
        <f t="shared" si="2"/>
        <v>95.764210290776731</v>
      </c>
      <c r="G102" s="47">
        <f t="shared" si="2"/>
        <v>96.867815759843637</v>
      </c>
      <c r="H102" s="47">
        <f t="shared" si="2"/>
        <v>98.778064005368449</v>
      </c>
      <c r="I102" s="47">
        <f t="shared" si="2"/>
        <v>94.122231289845473</v>
      </c>
      <c r="J102" s="47">
        <f t="shared" si="2"/>
        <v>84.606091994744204</v>
      </c>
      <c r="K102" s="47">
        <f t="shared" si="2"/>
        <v>42.505402223787314</v>
      </c>
    </row>
    <row r="103" spans="3:11" x14ac:dyDescent="0.2">
      <c r="C103" s="88" t="s">
        <v>128</v>
      </c>
      <c r="D103" s="116">
        <f t="shared" si="2"/>
        <v>99.679175963532373</v>
      </c>
      <c r="E103" s="116">
        <f t="shared" si="2"/>
        <v>99.775822602234612</v>
      </c>
      <c r="F103" s="116">
        <f t="shared" si="2"/>
        <v>94.637049341004172</v>
      </c>
      <c r="G103" s="116">
        <f t="shared" si="2"/>
        <v>97.486732777515755</v>
      </c>
      <c r="H103" s="116">
        <f t="shared" si="2"/>
        <v>99.020306964933596</v>
      </c>
      <c r="I103" s="116">
        <f t="shared" si="2"/>
        <v>98.171049798688941</v>
      </c>
      <c r="J103" s="116">
        <f t="shared" si="2"/>
        <v>99.374296042825577</v>
      </c>
      <c r="K103" s="116">
        <f t="shared" si="2"/>
        <v>43.128291120617078</v>
      </c>
    </row>
    <row r="104" spans="3:11" x14ac:dyDescent="0.2">
      <c r="C104" s="87" t="s">
        <v>129</v>
      </c>
      <c r="D104" s="47">
        <f t="shared" si="2"/>
        <v>99.909974193908766</v>
      </c>
      <c r="E104" s="47">
        <f t="shared" si="2"/>
        <v>99.768577390449366</v>
      </c>
      <c r="F104" s="47">
        <f t="shared" si="2"/>
        <v>98.507949226256784</v>
      </c>
      <c r="G104" s="47">
        <f t="shared" si="2"/>
        <v>98.529831821768738</v>
      </c>
      <c r="H104" s="47">
        <f t="shared" si="2"/>
        <v>99.285641510774468</v>
      </c>
      <c r="I104" s="47">
        <f t="shared" si="2"/>
        <v>99.545654575731163</v>
      </c>
      <c r="J104" s="47">
        <f t="shared" si="2"/>
        <v>99.761494723090948</v>
      </c>
      <c r="K104" s="47">
        <f t="shared" si="2"/>
        <v>34.359676823614443</v>
      </c>
    </row>
    <row r="105" spans="3:11" x14ac:dyDescent="0.2">
      <c r="C105" s="88" t="s">
        <v>130</v>
      </c>
      <c r="D105" s="116">
        <f t="shared" si="2"/>
        <v>98.270993193114819</v>
      </c>
      <c r="E105" s="116">
        <f t="shared" si="2"/>
        <v>98.52589262329991</v>
      </c>
      <c r="F105" s="116">
        <f t="shared" si="2"/>
        <v>91.328483334636218</v>
      </c>
      <c r="G105" s="116">
        <f t="shared" si="2"/>
        <v>94.150672246222783</v>
      </c>
      <c r="H105" s="116">
        <f t="shared" si="2"/>
        <v>84.939781744765554</v>
      </c>
      <c r="I105" s="116">
        <f t="shared" si="2"/>
        <v>96.577727215724835</v>
      </c>
      <c r="J105" s="116">
        <f t="shared" si="2"/>
        <v>93.568013677604227</v>
      </c>
      <c r="K105" s="116">
        <f t="shared" si="2"/>
        <v>32.585632168970228</v>
      </c>
    </row>
    <row r="106" spans="3:11" x14ac:dyDescent="0.2">
      <c r="C106" s="87" t="s">
        <v>131</v>
      </c>
      <c r="D106" s="47">
        <f t="shared" si="2"/>
        <v>99.986675932008367</v>
      </c>
      <c r="E106" s="47">
        <f t="shared" si="2"/>
        <v>99.992837008844219</v>
      </c>
      <c r="F106" s="47">
        <f t="shared" si="2"/>
        <v>99.980018483117632</v>
      </c>
      <c r="G106" s="47">
        <f t="shared" si="2"/>
        <v>99.933982595342115</v>
      </c>
      <c r="H106" s="47">
        <f t="shared" si="2"/>
        <v>99.040891504643994</v>
      </c>
      <c r="I106" s="47">
        <f t="shared" si="2"/>
        <v>99.887797825214548</v>
      </c>
      <c r="J106" s="47">
        <f t="shared" si="2"/>
        <v>99.598520705197842</v>
      </c>
      <c r="K106" s="47">
        <f t="shared" si="2"/>
        <v>48.478529343834921</v>
      </c>
    </row>
    <row r="107" spans="3:11" x14ac:dyDescent="0.2">
      <c r="C107" s="88" t="s">
        <v>132</v>
      </c>
      <c r="D107" s="116">
        <f t="shared" si="2"/>
        <v>88.470178858787889</v>
      </c>
      <c r="E107" s="116">
        <f t="shared" si="2"/>
        <v>89.923066302182633</v>
      </c>
      <c r="F107" s="116">
        <f t="shared" si="2"/>
        <v>93.979195079985985</v>
      </c>
      <c r="G107" s="116">
        <f t="shared" si="2"/>
        <v>92.034002902749265</v>
      </c>
      <c r="H107" s="116">
        <f t="shared" si="2"/>
        <v>97.05976652593688</v>
      </c>
      <c r="I107" s="116">
        <f t="shared" si="2"/>
        <v>94.866539089562423</v>
      </c>
      <c r="J107" s="116">
        <f t="shared" si="2"/>
        <v>97.605347970506187</v>
      </c>
      <c r="K107" s="116">
        <f t="shared" si="2"/>
        <v>34.004278979283214</v>
      </c>
    </row>
    <row r="108" spans="3:11" x14ac:dyDescent="0.2">
      <c r="C108" s="87" t="s">
        <v>133</v>
      </c>
      <c r="D108" s="47">
        <f t="shared" ref="D108:K117" si="3">+IFERROR(IF(D66&gt;0,+((D66/D24)*100)," "),"")</f>
        <v>99.346523900512707</v>
      </c>
      <c r="E108" s="47">
        <f t="shared" si="3"/>
        <v>98.957406526420499</v>
      </c>
      <c r="F108" s="47">
        <f t="shared" si="3"/>
        <v>95.450925507731853</v>
      </c>
      <c r="G108" s="47">
        <f t="shared" si="3"/>
        <v>99.081048090244266</v>
      </c>
      <c r="H108" s="47">
        <f t="shared" si="3"/>
        <v>99.42406849896399</v>
      </c>
      <c r="I108" s="47">
        <f t="shared" si="3"/>
        <v>98.705570044010699</v>
      </c>
      <c r="J108" s="47">
        <f t="shared" si="3"/>
        <v>99.657527164053278</v>
      </c>
      <c r="K108" s="47">
        <f t="shared" si="3"/>
        <v>29.363901822943728</v>
      </c>
    </row>
    <row r="109" spans="3:11" x14ac:dyDescent="0.2">
      <c r="C109" s="88" t="s">
        <v>134</v>
      </c>
      <c r="D109" s="116">
        <f t="shared" si="3"/>
        <v>96.728386397982518</v>
      </c>
      <c r="E109" s="116">
        <f t="shared" si="3"/>
        <v>50.542314771646325</v>
      </c>
      <c r="F109" s="116">
        <f t="shared" si="3"/>
        <v>91.216755809589841</v>
      </c>
      <c r="G109" s="116">
        <f t="shared" si="3"/>
        <v>95.278770800213067</v>
      </c>
      <c r="H109" s="116">
        <f t="shared" si="3"/>
        <v>96.493399772850665</v>
      </c>
      <c r="I109" s="116">
        <f t="shared" si="3"/>
        <v>84.406414901705062</v>
      </c>
      <c r="J109" s="116">
        <f t="shared" si="3"/>
        <v>92.340279741337881</v>
      </c>
      <c r="K109" s="116">
        <f t="shared" si="3"/>
        <v>19.411241048342006</v>
      </c>
    </row>
    <row r="110" spans="3:11" x14ac:dyDescent="0.2">
      <c r="C110" s="87" t="s">
        <v>135</v>
      </c>
      <c r="D110" s="47" t="str">
        <f t="shared" si="3"/>
        <v xml:space="preserve"> </v>
      </c>
      <c r="E110" s="47" t="str">
        <f t="shared" si="3"/>
        <v xml:space="preserve"> </v>
      </c>
      <c r="F110" s="47" t="str">
        <f t="shared" si="3"/>
        <v xml:space="preserve"> </v>
      </c>
      <c r="G110" s="47" t="str">
        <f t="shared" si="3"/>
        <v xml:space="preserve"> </v>
      </c>
      <c r="H110" s="47">
        <f t="shared" si="3"/>
        <v>94.392228050518</v>
      </c>
      <c r="I110" s="47">
        <f t="shared" si="3"/>
        <v>99.28612197776026</v>
      </c>
      <c r="J110" s="47">
        <f t="shared" si="3"/>
        <v>96.550878911490898</v>
      </c>
      <c r="K110" s="47">
        <f t="shared" si="3"/>
        <v>11.34347555289393</v>
      </c>
    </row>
    <row r="111" spans="3:11" x14ac:dyDescent="0.2">
      <c r="C111" s="88" t="s">
        <v>136</v>
      </c>
      <c r="D111" s="116">
        <f t="shared" si="3"/>
        <v>97.678155077225099</v>
      </c>
      <c r="E111" s="116">
        <f t="shared" si="3"/>
        <v>99.086433957075329</v>
      </c>
      <c r="F111" s="116">
        <f t="shared" si="3"/>
        <v>98.264983296888815</v>
      </c>
      <c r="G111" s="116">
        <f t="shared" si="3"/>
        <v>97.773026887827001</v>
      </c>
      <c r="H111" s="116">
        <f t="shared" si="3"/>
        <v>94.909943771377328</v>
      </c>
      <c r="I111" s="116">
        <f t="shared" si="3"/>
        <v>96.451434341620313</v>
      </c>
      <c r="J111" s="116">
        <f t="shared" si="3"/>
        <v>95.495669531469488</v>
      </c>
      <c r="K111" s="116">
        <f t="shared" si="3"/>
        <v>15.329074753250065</v>
      </c>
    </row>
    <row r="112" spans="3:11" x14ac:dyDescent="0.2">
      <c r="C112" s="87" t="s">
        <v>137</v>
      </c>
      <c r="D112" s="47">
        <f t="shared" si="3"/>
        <v>90.410045692928634</v>
      </c>
      <c r="E112" s="47">
        <f t="shared" si="3"/>
        <v>88.648560994485692</v>
      </c>
      <c r="F112" s="47">
        <f t="shared" si="3"/>
        <v>81.535540921720667</v>
      </c>
      <c r="G112" s="47">
        <f t="shared" si="3"/>
        <v>90.151291335352013</v>
      </c>
      <c r="H112" s="47">
        <f t="shared" si="3"/>
        <v>93.465916119930796</v>
      </c>
      <c r="I112" s="47">
        <f t="shared" si="3"/>
        <v>95.608497995638913</v>
      </c>
      <c r="J112" s="47">
        <f t="shared" si="3"/>
        <v>95.498998823241152</v>
      </c>
      <c r="K112" s="47">
        <f t="shared" si="3"/>
        <v>31.898227555004965</v>
      </c>
    </row>
    <row r="113" spans="3:11" x14ac:dyDescent="0.2">
      <c r="C113" s="88" t="s">
        <v>138</v>
      </c>
      <c r="D113" s="116">
        <f t="shared" si="3"/>
        <v>96.565087601601888</v>
      </c>
      <c r="E113" s="116">
        <f t="shared" si="3"/>
        <v>99.172164904947024</v>
      </c>
      <c r="F113" s="116">
        <f t="shared" si="3"/>
        <v>97.243076047252742</v>
      </c>
      <c r="G113" s="116">
        <f t="shared" si="3"/>
        <v>96.57139388118857</v>
      </c>
      <c r="H113" s="116">
        <f t="shared" si="3"/>
        <v>91.978094954718898</v>
      </c>
      <c r="I113" s="116">
        <f t="shared" si="3"/>
        <v>96.710745170515509</v>
      </c>
      <c r="J113" s="116">
        <f t="shared" si="3"/>
        <v>97.526520095943937</v>
      </c>
      <c r="K113" s="116">
        <f t="shared" si="3"/>
        <v>28.579106972803416</v>
      </c>
    </row>
    <row r="114" spans="3:11" x14ac:dyDescent="0.2">
      <c r="C114" s="87" t="s">
        <v>160</v>
      </c>
      <c r="D114" s="47">
        <f t="shared" si="3"/>
        <v>98.790689107985799</v>
      </c>
      <c r="E114" s="47">
        <f t="shared" si="3"/>
        <v>97.668642346908698</v>
      </c>
      <c r="F114" s="47">
        <f t="shared" si="3"/>
        <v>97.179653840135472</v>
      </c>
      <c r="G114" s="47">
        <f t="shared" si="3"/>
        <v>87.931596982163612</v>
      </c>
      <c r="H114" s="47">
        <f t="shared" si="3"/>
        <v>96.422801239691964</v>
      </c>
      <c r="I114" s="47">
        <f t="shared" si="3"/>
        <v>90.562997114279241</v>
      </c>
      <c r="J114" s="47">
        <f t="shared" si="3"/>
        <v>98.164942760708414</v>
      </c>
      <c r="K114" s="47">
        <f t="shared" si="3"/>
        <v>67.913919528490126</v>
      </c>
    </row>
    <row r="115" spans="3:11" x14ac:dyDescent="0.2">
      <c r="C115" s="88" t="s">
        <v>161</v>
      </c>
      <c r="D115" s="116">
        <f t="shared" si="3"/>
        <v>98.641183313312254</v>
      </c>
      <c r="E115" s="116">
        <f t="shared" si="3"/>
        <v>97.176394805394452</v>
      </c>
      <c r="F115" s="116">
        <f t="shared" si="3"/>
        <v>86.600058338070525</v>
      </c>
      <c r="G115" s="116">
        <f t="shared" si="3"/>
        <v>90.983910370873417</v>
      </c>
      <c r="H115" s="116">
        <f t="shared" si="3"/>
        <v>97.400389471831332</v>
      </c>
      <c r="I115" s="116">
        <f t="shared" si="3"/>
        <v>98.726228623494904</v>
      </c>
      <c r="J115" s="116">
        <f t="shared" si="3"/>
        <v>99.041189674844105</v>
      </c>
      <c r="K115" s="116">
        <f t="shared" si="3"/>
        <v>40.36953249854146</v>
      </c>
    </row>
    <row r="116" spans="3:11" x14ac:dyDescent="0.2">
      <c r="C116" s="87" t="s">
        <v>140</v>
      </c>
      <c r="D116" s="47">
        <f t="shared" si="3"/>
        <v>96.591703690064648</v>
      </c>
      <c r="E116" s="47">
        <f t="shared" si="3"/>
        <v>93.542437370726987</v>
      </c>
      <c r="F116" s="47">
        <f t="shared" si="3"/>
        <v>90.894714835951362</v>
      </c>
      <c r="G116" s="47">
        <f t="shared" si="3"/>
        <v>94.945823063053382</v>
      </c>
      <c r="H116" s="47">
        <f t="shared" si="3"/>
        <v>92.688377882516107</v>
      </c>
      <c r="I116" s="47">
        <f t="shared" si="3"/>
        <v>93.369850770568902</v>
      </c>
      <c r="J116" s="47">
        <f t="shared" si="3"/>
        <v>94.873304594753648</v>
      </c>
      <c r="K116" s="47">
        <f t="shared" si="3"/>
        <v>53.513666032851489</v>
      </c>
    </row>
    <row r="117" spans="3:11" x14ac:dyDescent="0.2">
      <c r="C117" s="88" t="s">
        <v>141</v>
      </c>
      <c r="D117" s="116">
        <f t="shared" si="3"/>
        <v>96.024912868789997</v>
      </c>
      <c r="E117" s="116">
        <f t="shared" si="3"/>
        <v>86.261835522098067</v>
      </c>
      <c r="F117" s="116">
        <f t="shared" si="3"/>
        <v>89.700496997218707</v>
      </c>
      <c r="G117" s="116">
        <f t="shared" si="3"/>
        <v>94.034549505818916</v>
      </c>
      <c r="H117" s="116">
        <f t="shared" si="3"/>
        <v>93.576580479287784</v>
      </c>
      <c r="I117" s="116">
        <f t="shared" si="3"/>
        <v>91.366431941055708</v>
      </c>
      <c r="J117" s="116">
        <f t="shared" si="3"/>
        <v>97.351609350873915</v>
      </c>
      <c r="K117" s="116">
        <f t="shared" si="3"/>
        <v>32.194320030910319</v>
      </c>
    </row>
    <row r="118" spans="3:11" x14ac:dyDescent="0.2">
      <c r="C118" s="87" t="s">
        <v>142</v>
      </c>
      <c r="D118" s="47">
        <f t="shared" ref="D118:K127" si="4">+IFERROR(IF(D76&gt;0,+((D76/D34)*100)," "),"")</f>
        <v>95.348496543376726</v>
      </c>
      <c r="E118" s="47">
        <f t="shared" si="4"/>
        <v>95.711986980747227</v>
      </c>
      <c r="F118" s="47">
        <f t="shared" si="4"/>
        <v>80.550205393065468</v>
      </c>
      <c r="G118" s="47">
        <f t="shared" si="4"/>
        <v>94.236225089679365</v>
      </c>
      <c r="H118" s="47">
        <f t="shared" si="4"/>
        <v>91.27662897867873</v>
      </c>
      <c r="I118" s="47">
        <f t="shared" si="4"/>
        <v>91.944676141735144</v>
      </c>
      <c r="J118" s="47">
        <f t="shared" si="4"/>
        <v>86.001711596938975</v>
      </c>
      <c r="K118" s="47">
        <f t="shared" si="4"/>
        <v>53.861946012080544</v>
      </c>
    </row>
    <row r="119" spans="3:11" x14ac:dyDescent="0.2">
      <c r="C119" s="88" t="s">
        <v>143</v>
      </c>
      <c r="D119" s="116">
        <f t="shared" si="4"/>
        <v>98.32088142036865</v>
      </c>
      <c r="E119" s="116">
        <f t="shared" si="4"/>
        <v>99.587349136687379</v>
      </c>
      <c r="F119" s="116">
        <f t="shared" si="4"/>
        <v>99.528041619451173</v>
      </c>
      <c r="G119" s="116">
        <f t="shared" si="4"/>
        <v>99.292056014821654</v>
      </c>
      <c r="H119" s="116">
        <f t="shared" si="4"/>
        <v>98.664144706133953</v>
      </c>
      <c r="I119" s="116">
        <f t="shared" si="4"/>
        <v>96.494522512861607</v>
      </c>
      <c r="J119" s="116">
        <f t="shared" si="4"/>
        <v>98.941270914390515</v>
      </c>
      <c r="K119" s="116">
        <f t="shared" si="4"/>
        <v>24.747503031390494</v>
      </c>
    </row>
    <row r="120" spans="3:11" x14ac:dyDescent="0.2">
      <c r="C120" s="87" t="s">
        <v>144</v>
      </c>
      <c r="D120" s="47">
        <f t="shared" si="4"/>
        <v>99.320338438968108</v>
      </c>
      <c r="E120" s="47">
        <f t="shared" si="4"/>
        <v>98.980205427702174</v>
      </c>
      <c r="F120" s="47">
        <f t="shared" si="4"/>
        <v>97.577065008321313</v>
      </c>
      <c r="G120" s="47">
        <f t="shared" si="4"/>
        <v>98.972390702504129</v>
      </c>
      <c r="H120" s="47">
        <f t="shared" si="4"/>
        <v>91.123749907002832</v>
      </c>
      <c r="I120" s="47">
        <f t="shared" si="4"/>
        <v>98.317011897368346</v>
      </c>
      <c r="J120" s="47">
        <f t="shared" si="4"/>
        <v>98.67816832647847</v>
      </c>
      <c r="K120" s="47">
        <f t="shared" si="4"/>
        <v>26.906022649690549</v>
      </c>
    </row>
    <row r="121" spans="3:11" x14ac:dyDescent="0.2">
      <c r="C121" s="88" t="s">
        <v>145</v>
      </c>
      <c r="D121" s="116">
        <f t="shared" si="4"/>
        <v>95.625530433884137</v>
      </c>
      <c r="E121" s="116">
        <f t="shared" si="4"/>
        <v>96.573189295982303</v>
      </c>
      <c r="F121" s="116">
        <f t="shared" si="4"/>
        <v>94.002783431038665</v>
      </c>
      <c r="G121" s="116">
        <f t="shared" si="4"/>
        <v>97.426435750743096</v>
      </c>
      <c r="H121" s="116">
        <f t="shared" si="4"/>
        <v>94.90745498810351</v>
      </c>
      <c r="I121" s="116">
        <f t="shared" si="4"/>
        <v>63.788073416907899</v>
      </c>
      <c r="J121" s="116">
        <f t="shared" si="4"/>
        <v>95.232554365921871</v>
      </c>
      <c r="K121" s="116">
        <f t="shared" si="4"/>
        <v>41.435403288548962</v>
      </c>
    </row>
    <row r="122" spans="3:11" x14ac:dyDescent="0.2">
      <c r="C122" s="87" t="s">
        <v>146</v>
      </c>
      <c r="D122" s="47">
        <f t="shared" si="4"/>
        <v>96.490028431184285</v>
      </c>
      <c r="E122" s="47">
        <f t="shared" si="4"/>
        <v>93.398577620172588</v>
      </c>
      <c r="F122" s="47">
        <f t="shared" si="4"/>
        <v>91.432182055393952</v>
      </c>
      <c r="G122" s="47">
        <f t="shared" si="4"/>
        <v>97.559611997232551</v>
      </c>
      <c r="H122" s="47">
        <f t="shared" si="4"/>
        <v>94.103186778204702</v>
      </c>
      <c r="I122" s="47">
        <f t="shared" si="4"/>
        <v>95.570470111283825</v>
      </c>
      <c r="J122" s="47">
        <f t="shared" si="4"/>
        <v>95.84248807315096</v>
      </c>
      <c r="K122" s="47">
        <f t="shared" si="4"/>
        <v>39.212034263535728</v>
      </c>
    </row>
    <row r="123" spans="3:11" x14ac:dyDescent="0.2">
      <c r="C123" s="88" t="s">
        <v>162</v>
      </c>
      <c r="D123" s="116">
        <f t="shared" si="4"/>
        <v>99.930465484201164</v>
      </c>
      <c r="E123" s="116">
        <f t="shared" si="4"/>
        <v>97.732476453294467</v>
      </c>
      <c r="F123" s="116">
        <f t="shared" si="4"/>
        <v>99.784533864891074</v>
      </c>
      <c r="G123" s="116">
        <f t="shared" si="4"/>
        <v>99.936019364646285</v>
      </c>
      <c r="H123" s="116">
        <f t="shared" si="4"/>
        <v>99.144270520907043</v>
      </c>
      <c r="I123" s="116">
        <f t="shared" si="4"/>
        <v>98.821914919518889</v>
      </c>
      <c r="J123" s="116">
        <f t="shared" si="4"/>
        <v>99.089410826747283</v>
      </c>
      <c r="K123" s="116">
        <f t="shared" si="4"/>
        <v>36.061363676157541</v>
      </c>
    </row>
    <row r="124" spans="3:11" x14ac:dyDescent="0.2">
      <c r="C124" s="87" t="s">
        <v>148</v>
      </c>
      <c r="D124" s="47">
        <f t="shared" si="4"/>
        <v>94.586761911542808</v>
      </c>
      <c r="E124" s="47">
        <f t="shared" si="4"/>
        <v>97.716106039451617</v>
      </c>
      <c r="F124" s="47">
        <f t="shared" si="4"/>
        <v>97.403246691649031</v>
      </c>
      <c r="G124" s="47">
        <f t="shared" si="4"/>
        <v>98.634199068098042</v>
      </c>
      <c r="H124" s="47">
        <f t="shared" si="4"/>
        <v>92.055841780691225</v>
      </c>
      <c r="I124" s="47">
        <f t="shared" si="4"/>
        <v>98.574561937461809</v>
      </c>
      <c r="J124" s="47">
        <f t="shared" si="4"/>
        <v>99.468115947030086</v>
      </c>
      <c r="K124" s="47">
        <f t="shared" si="4"/>
        <v>39.610554076955239</v>
      </c>
    </row>
    <row r="125" spans="3:11" x14ac:dyDescent="0.2">
      <c r="C125" s="88" t="s">
        <v>149</v>
      </c>
      <c r="D125" s="116">
        <f t="shared" si="4"/>
        <v>93.687779318309481</v>
      </c>
      <c r="E125" s="116">
        <f t="shared" si="4"/>
        <v>98.695975805824219</v>
      </c>
      <c r="F125" s="116">
        <f t="shared" si="4"/>
        <v>80.32575953168579</v>
      </c>
      <c r="G125" s="116">
        <f t="shared" si="4"/>
        <v>87.685846951981858</v>
      </c>
      <c r="H125" s="116">
        <f t="shared" si="4"/>
        <v>87.066038706421196</v>
      </c>
      <c r="I125" s="116">
        <f t="shared" si="4"/>
        <v>94.152310230409867</v>
      </c>
      <c r="J125" s="116">
        <f t="shared" si="4"/>
        <v>90.443454969412358</v>
      </c>
      <c r="K125" s="116">
        <f t="shared" si="4"/>
        <v>96.4981146093033</v>
      </c>
    </row>
    <row r="126" spans="3:11" x14ac:dyDescent="0.2">
      <c r="C126" s="87" t="s">
        <v>163</v>
      </c>
      <c r="D126" s="47">
        <f t="shared" si="4"/>
        <v>99.469293871143336</v>
      </c>
      <c r="E126" s="47">
        <f t="shared" si="4"/>
        <v>99.343443286079065</v>
      </c>
      <c r="F126" s="47">
        <f t="shared" si="4"/>
        <v>98.304071526699317</v>
      </c>
      <c r="G126" s="47">
        <f t="shared" si="4"/>
        <v>84.861547426081756</v>
      </c>
      <c r="H126" s="47">
        <f t="shared" si="4"/>
        <v>98.130493284146098</v>
      </c>
      <c r="I126" s="47">
        <f t="shared" si="4"/>
        <v>90.876952921187382</v>
      </c>
      <c r="J126" s="47">
        <f t="shared" si="4"/>
        <v>99.724846297847051</v>
      </c>
      <c r="K126" s="47">
        <f t="shared" si="4"/>
        <v>16.403976163684934</v>
      </c>
    </row>
    <row r="127" spans="3:11" x14ac:dyDescent="0.2">
      <c r="C127" s="88" t="s">
        <v>150</v>
      </c>
      <c r="D127" s="116">
        <f t="shared" si="4"/>
        <v>93.053107929824961</v>
      </c>
      <c r="E127" s="116">
        <f t="shared" si="4"/>
        <v>89.441185137412376</v>
      </c>
      <c r="F127" s="116">
        <f t="shared" si="4"/>
        <v>93.706759217012007</v>
      </c>
      <c r="G127" s="116">
        <f t="shared" si="4"/>
        <v>92.334401332798848</v>
      </c>
      <c r="H127" s="116">
        <f t="shared" si="4"/>
        <v>90.144024859539087</v>
      </c>
      <c r="I127" s="116">
        <f t="shared" si="4"/>
        <v>96.162640661299307</v>
      </c>
      <c r="J127" s="116">
        <f t="shared" si="4"/>
        <v>96.282222626061156</v>
      </c>
      <c r="K127" s="116">
        <f t="shared" si="4"/>
        <v>60.595770835551065</v>
      </c>
    </row>
    <row r="128" spans="3:11" x14ac:dyDescent="0.2">
      <c r="C128" s="87" t="s">
        <v>151</v>
      </c>
      <c r="D128" s="47">
        <f t="shared" ref="D128:K129" si="5">+IFERROR(IF(D86&gt;0,+((D86/D44)*100)," "),"")</f>
        <v>99.860240774209842</v>
      </c>
      <c r="E128" s="47">
        <f t="shared" si="5"/>
        <v>98.707275887388036</v>
      </c>
      <c r="F128" s="47">
        <f t="shared" si="5"/>
        <v>99.463867880407506</v>
      </c>
      <c r="G128" s="47">
        <f t="shared" si="5"/>
        <v>99.83556514247509</v>
      </c>
      <c r="H128" s="47">
        <f t="shared" si="5"/>
        <v>99.468172500445846</v>
      </c>
      <c r="I128" s="47">
        <f t="shared" si="5"/>
        <v>99.610236266216205</v>
      </c>
      <c r="J128" s="47">
        <f t="shared" si="5"/>
        <v>99.959278109659351</v>
      </c>
      <c r="K128" s="47">
        <f t="shared" si="5"/>
        <v>29.263241383605571</v>
      </c>
    </row>
    <row r="129" spans="1:12" x14ac:dyDescent="0.2">
      <c r="C129" s="91" t="s">
        <v>179</v>
      </c>
      <c r="D129" s="64">
        <f t="shared" si="5"/>
        <v>99.433766820744054</v>
      </c>
      <c r="E129" s="64">
        <f t="shared" si="5"/>
        <v>89.754362983717684</v>
      </c>
      <c r="F129" s="64">
        <f t="shared" si="5"/>
        <v>97.807734941882202</v>
      </c>
      <c r="G129" s="64">
        <f t="shared" si="5"/>
        <v>96.51191943458177</v>
      </c>
      <c r="H129" s="64">
        <f t="shared" si="5"/>
        <v>98.057440920029109</v>
      </c>
      <c r="I129" s="64">
        <f t="shared" si="5"/>
        <v>96.209542161124446</v>
      </c>
      <c r="J129" s="64">
        <f t="shared" si="5"/>
        <v>98.741258569193946</v>
      </c>
      <c r="K129" s="64">
        <f t="shared" si="5"/>
        <v>34.347986682748882</v>
      </c>
    </row>
    <row r="130" spans="1:12" s="31" customFormat="1" x14ac:dyDescent="0.2">
      <c r="A130" s="5"/>
      <c r="B130" s="5"/>
      <c r="C130" s="72" t="str">
        <f>+'C1 Aprop Resumen 2000-2026'!B20</f>
        <v>* Información con corte a 30 de abril</v>
      </c>
      <c r="D130" s="47"/>
      <c r="E130" s="47"/>
      <c r="F130" s="47"/>
      <c r="G130" s="47"/>
      <c r="H130" s="47"/>
      <c r="I130" s="47"/>
    </row>
    <row r="131" spans="1:12" x14ac:dyDescent="0.2">
      <c r="C131" s="1" t="s">
        <v>52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customHeight="1" x14ac:dyDescent="0.2">
      <c r="D136" s="183" t="s">
        <v>190</v>
      </c>
      <c r="E136" s="178"/>
      <c r="F136" s="178"/>
      <c r="G136" s="178"/>
      <c r="H136" s="178"/>
      <c r="I136" s="178"/>
      <c r="J136" s="178"/>
      <c r="K136" s="178"/>
      <c r="L136" s="178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76" t="s">
        <v>120</v>
      </c>
      <c r="D138" s="153">
        <v>2019</v>
      </c>
      <c r="E138" s="153">
        <v>2020</v>
      </c>
      <c r="F138" s="153">
        <v>2021</v>
      </c>
      <c r="G138" s="153">
        <v>2022</v>
      </c>
      <c r="H138" s="153">
        <v>2023</v>
      </c>
      <c r="I138" s="153">
        <v>2024</v>
      </c>
      <c r="J138" s="153">
        <v>2025</v>
      </c>
      <c r="K138" s="153" t="s">
        <v>10</v>
      </c>
    </row>
    <row r="139" spans="1:12" ht="12" customHeight="1" thickBot="1" x14ac:dyDescent="0.25">
      <c r="C139" s="160"/>
      <c r="D139" s="154"/>
      <c r="E139" s="154"/>
      <c r="F139" s="154"/>
      <c r="G139" s="154"/>
      <c r="H139" s="154"/>
      <c r="I139" s="154"/>
      <c r="J139" s="154"/>
      <c r="K139" s="154"/>
    </row>
    <row r="140" spans="1:12" x14ac:dyDescent="0.2">
      <c r="C140" s="87" t="s">
        <v>123</v>
      </c>
      <c r="D140" s="42">
        <f>543.30313371418*Deflactores!$T$5</f>
        <v>843.16631123319962</v>
      </c>
      <c r="E140" s="42">
        <f>574.29721363944*Deflactores!$U$5</f>
        <v>877.14480138744648</v>
      </c>
      <c r="F140" s="42">
        <f>579.51466850717*Deflactores!$V$5</f>
        <v>838.01704976833719</v>
      </c>
      <c r="G140" s="42">
        <f>689.050639961859*Deflactores!$W$5</f>
        <v>880.84636279970732</v>
      </c>
      <c r="H140" s="42">
        <f>701.351023146479*Deflactores!$X$5</f>
        <v>820.43423358348548</v>
      </c>
      <c r="I140" s="42">
        <f>806.455748773269*Deflactores!$Y$5</f>
        <v>896.75362499284108</v>
      </c>
      <c r="J140" s="42">
        <f>759.88888224333*Deflactores!$Z$5</f>
        <v>803.96243741344324</v>
      </c>
      <c r="K140" s="42">
        <f>216.02862428363*Deflactores!$AA$5</f>
        <v>216.02862428362999</v>
      </c>
    </row>
    <row r="141" spans="1:12" x14ac:dyDescent="0.2">
      <c r="C141" s="88" t="s">
        <v>124</v>
      </c>
      <c r="D141" s="50">
        <f>275.63310062067*Deflactores!$T$5</f>
        <v>427.76220176628442</v>
      </c>
      <c r="E141" s="50">
        <f>306.708871162169*Deflactores!$U$5</f>
        <v>468.4474963310758</v>
      </c>
      <c r="F141" s="50">
        <f>333.17001052223*Deflactores!$V$5</f>
        <v>481.78616428873124</v>
      </c>
      <c r="G141" s="50">
        <f>337.91388946114*Deflactores!$W$5</f>
        <v>431.97147380608101</v>
      </c>
      <c r="H141" s="50">
        <f>408.279679338289*Deflactores!$X$5</f>
        <v>477.6019635686219</v>
      </c>
      <c r="I141" s="50">
        <f>488.78369689703*Deflactores!$Y$5</f>
        <v>543.51221712605684</v>
      </c>
      <c r="J141" s="50">
        <f>671.51859695035*Deflactores!$Z$5</f>
        <v>710.4666755734703</v>
      </c>
      <c r="K141" s="50">
        <f>196.662749066689*Deflactores!$AA$5</f>
        <v>196.662749066689</v>
      </c>
    </row>
    <row r="142" spans="1:12" x14ac:dyDescent="0.2">
      <c r="C142" s="87" t="s">
        <v>125</v>
      </c>
      <c r="D142" s="42">
        <f>22.32428966408*Deflactores!$T$5</f>
        <v>34.645647703674385</v>
      </c>
      <c r="E142" s="42">
        <f>21.9513317790499*Deflactores!$U$5</f>
        <v>33.527058979626503</v>
      </c>
      <c r="F142" s="42">
        <f>24.25331393745*Deflactores!$V$5</f>
        <v>35.071917412070952</v>
      </c>
      <c r="G142" s="42">
        <f>23.96646871316*Deflactores!$W$5</f>
        <v>30.637482313794109</v>
      </c>
      <c r="H142" s="42">
        <f>25.59483440175*Deflactores!$X$5</f>
        <v>29.940611267505517</v>
      </c>
      <c r="I142" s="42">
        <f>26.2082651191699*Deflactores!$Y$5</f>
        <v>29.142772912387802</v>
      </c>
      <c r="J142" s="42">
        <f>24.36302321479*Deflactores!$Z$5</f>
        <v>25.776078561247822</v>
      </c>
      <c r="K142" s="42">
        <f>5.67418517321*Deflactores!$AA$5</f>
        <v>5.6741851732099997</v>
      </c>
    </row>
    <row r="143" spans="1:12" x14ac:dyDescent="0.2">
      <c r="C143" s="88" t="s">
        <v>126</v>
      </c>
      <c r="D143" s="50">
        <f>407.717688347699*Deflactores!$T$5</f>
        <v>632.74772033527154</v>
      </c>
      <c r="E143" s="50">
        <f>496.61617786027*Deflactores!$U$5</f>
        <v>758.49975996666421</v>
      </c>
      <c r="F143" s="50">
        <f>408.637403480529*Deflactores!$V$5</f>
        <v>590.9170723355204</v>
      </c>
      <c r="G143" s="50">
        <f>402.01373598692*Deflactores!$W$5</f>
        <v>513.91337095224446</v>
      </c>
      <c r="H143" s="50">
        <f>473.66100851777*Deflactores!$X$5</f>
        <v>554.08446509173439</v>
      </c>
      <c r="I143" s="50">
        <f>537.065235623299*Deflactores!$Y$5</f>
        <v>597.19978143305605</v>
      </c>
      <c r="J143" s="50">
        <f>619.61760847686*Deflactores!$Z$5</f>
        <v>655.55542976851791</v>
      </c>
      <c r="K143" s="50">
        <f>229.47260490051*Deflactores!$AA$5</f>
        <v>229.47260490050999</v>
      </c>
    </row>
    <row r="144" spans="1:12" x14ac:dyDescent="0.2">
      <c r="C144" s="87" t="s">
        <v>127</v>
      </c>
      <c r="D144" s="42">
        <f>534.55512548138*Deflactores!$T$5</f>
        <v>829.59004896895863</v>
      </c>
      <c r="E144" s="42">
        <f>574.45739305315*Deflactores!$U$5</f>
        <v>877.38944917031597</v>
      </c>
      <c r="F144" s="42">
        <f>620.32288849422*Deflactores!$V$5</f>
        <v>897.02847083890128</v>
      </c>
      <c r="G144" s="42">
        <f>723.0786412986*Deflactores!$W$5</f>
        <v>924.34598310696231</v>
      </c>
      <c r="H144" s="42">
        <f>853.40507203029*Deflactores!$X$5</f>
        <v>998.30571725165839</v>
      </c>
      <c r="I144" s="42">
        <f>956.798178938159*Deflactores!$Y$5</f>
        <v>1063.929715492138</v>
      </c>
      <c r="J144" s="42">
        <f>1097.22904794437*Deflactores!$Z$5</f>
        <v>1160.8683327251435</v>
      </c>
      <c r="K144" s="42">
        <f>375.73363042957*Deflactores!$AA$5</f>
        <v>375.73363042956998</v>
      </c>
    </row>
    <row r="145" spans="3:11" x14ac:dyDescent="0.2">
      <c r="C145" s="88" t="s">
        <v>128</v>
      </c>
      <c r="D145" s="50">
        <f>227.6419605402*Deflactores!$T$5</f>
        <v>353.28349910006131</v>
      </c>
      <c r="E145" s="50">
        <f>227.532665681329*Deflactores!$U$5</f>
        <v>347.51882841888028</v>
      </c>
      <c r="F145" s="50">
        <f>212.41250972851*Deflactores!$V$5</f>
        <v>307.16272496624788</v>
      </c>
      <c r="G145" s="50">
        <f>178.24536058685*Deflactores!$W$5</f>
        <v>227.859562785603</v>
      </c>
      <c r="H145" s="50">
        <f>270.8815497843*Deflactores!$X$5</f>
        <v>316.87484491310624</v>
      </c>
      <c r="I145" s="50">
        <f>312.01767563881*Deflactores!$Y$5</f>
        <v>346.95391795093838</v>
      </c>
      <c r="J145" s="50">
        <f>306.34997114132*Deflactores!$Z$5</f>
        <v>324.1182694675166</v>
      </c>
      <c r="K145" s="50">
        <f>142.28094321325*Deflactores!$AA$5</f>
        <v>142.28094321325</v>
      </c>
    </row>
    <row r="146" spans="3:11" x14ac:dyDescent="0.2">
      <c r="C146" s="87" t="s">
        <v>129</v>
      </c>
      <c r="D146" s="42">
        <f>29581.9006106428*Deflactores!$T$5</f>
        <v>45908.923526041195</v>
      </c>
      <c r="E146" s="42">
        <f>31470.7520821835*Deflactores!$U$5</f>
        <v>48066.412180037565</v>
      </c>
      <c r="F146" s="42">
        <f>33334.9757936885*Deflactores!$V$5</f>
        <v>48204.609109700461</v>
      </c>
      <c r="G146" s="42">
        <f>36413.9199077453*Deflactores!$W$5</f>
        <v>46549.654039640329</v>
      </c>
      <c r="H146" s="42">
        <f>41654.5168566141*Deflactores!$X$5</f>
        <v>48727.085987880673</v>
      </c>
      <c r="I146" s="42">
        <f>46599.1003923985*Deflactores!$Y$5</f>
        <v>51816.745384794995</v>
      </c>
      <c r="J146" s="42">
        <f>51991.479890016*Deflactores!$Z$5</f>
        <v>55006.985723636935</v>
      </c>
      <c r="K146" s="42">
        <f>16407.2213269902*Deflactores!$AA$5</f>
        <v>16407.221326990199</v>
      </c>
    </row>
    <row r="147" spans="3:11" x14ac:dyDescent="0.2">
      <c r="C147" s="88" t="s">
        <v>130</v>
      </c>
      <c r="D147" s="50">
        <f>35.19635672401*Deflactores!$T$5</f>
        <v>54.622144483052871</v>
      </c>
      <c r="E147" s="50">
        <f>37.52834642101*Deflactores!$U$5</f>
        <v>57.318394005865443</v>
      </c>
      <c r="F147" s="50">
        <f>35.65260900663*Deflactores!$V$5</f>
        <v>51.556062063527328</v>
      </c>
      <c r="G147" s="50">
        <f>48.70019650441*Deflactores!$W$5</f>
        <v>62.255788574429111</v>
      </c>
      <c r="H147" s="50">
        <f>47.58309044185*Deflactores!$X$5</f>
        <v>55.662279015510215</v>
      </c>
      <c r="I147" s="50">
        <f>60.11913009778*Deflactores!$Y$5</f>
        <v>66.850596487914103</v>
      </c>
      <c r="J147" s="50">
        <f>44.59167876021*Deflactores!$Z$5</f>
        <v>47.177996128302183</v>
      </c>
      <c r="K147" s="50">
        <f>13.6639971899099*Deflactores!$AA$5</f>
        <v>13.6639971899099</v>
      </c>
    </row>
    <row r="148" spans="3:11" x14ac:dyDescent="0.2">
      <c r="C148" s="87" t="s">
        <v>131</v>
      </c>
      <c r="D148" s="42">
        <f>37361.7211422818*Deflactores!$T$5</f>
        <v>57982.630031053319</v>
      </c>
      <c r="E148" s="42">
        <f>40590.2652226719*Deflactores!$U$5</f>
        <v>61994.972779647207</v>
      </c>
      <c r="F148" s="42">
        <f>43191.1645587187*Deflactores!$V$5</f>
        <v>62457.318626281485</v>
      </c>
      <c r="G148" s="42">
        <f>44158.534078534*Deflactores!$W$5</f>
        <v>56449.964449342442</v>
      </c>
      <c r="H148" s="42">
        <f>51109.0164412556*Deflactores!$X$5</f>
        <v>59786.876113859718</v>
      </c>
      <c r="I148" s="42">
        <f>61816.1782700859*Deflactores!$Y$5</f>
        <v>68737.661094518626</v>
      </c>
      <c r="J148" s="42">
        <f>71889.181601156*Deflactores!$Z$5</f>
        <v>76058.754134023053</v>
      </c>
      <c r="K148" s="42">
        <f>25067.3314288839*Deflactores!$AA$5</f>
        <v>25067.331428883899</v>
      </c>
    </row>
    <row r="149" spans="3:11" x14ac:dyDescent="0.2">
      <c r="C149" s="88" t="s">
        <v>132</v>
      </c>
      <c r="D149" s="50">
        <f>22.64467599331*Deflactores!$T$5</f>
        <v>35.142863608798386</v>
      </c>
      <c r="E149" s="50">
        <f>23.19263236116*Deflactores!$U$5</f>
        <v>35.422942028853114</v>
      </c>
      <c r="F149" s="50">
        <f>29.97161569409*Deflactores!$V$5</f>
        <v>43.340964993090495</v>
      </c>
      <c r="G149" s="50">
        <f>31.98649557711*Deflactores!$W$5</f>
        <v>40.889865931139468</v>
      </c>
      <c r="H149" s="50">
        <f>34.77247861571*Deflactores!$X$5</f>
        <v>40.676538425637851</v>
      </c>
      <c r="I149" s="50">
        <f>39.0451397555*Deflactores!$Y$5</f>
        <v>43.416976898432026</v>
      </c>
      <c r="J149" s="50">
        <f>41.91778560985*Deflactores!$Z$5</f>
        <v>44.349017175221306</v>
      </c>
      <c r="K149" s="50">
        <f>13.5607696662199*Deflactores!$AA$5</f>
        <v>13.560769666219899</v>
      </c>
    </row>
    <row r="150" spans="3:11" x14ac:dyDescent="0.2">
      <c r="C150" s="87" t="s">
        <v>133</v>
      </c>
      <c r="D150" s="42">
        <f>3521.67172209533*Deflactores!$T$5</f>
        <v>5465.3742469586086</v>
      </c>
      <c r="E150" s="42">
        <f>3642.20515530958*Deflactores!$U$5</f>
        <v>5562.8710042324947</v>
      </c>
      <c r="F150" s="42">
        <f>3961.45757973852*Deflactores!$V$5</f>
        <v>5728.5331574205329</v>
      </c>
      <c r="G150" s="42">
        <f>4339.6961233515*Deflactores!$W$5</f>
        <v>5547.6409485981339</v>
      </c>
      <c r="H150" s="42">
        <f>4970.40285658413*Deflactores!$X$5</f>
        <v>5814.3333703971657</v>
      </c>
      <c r="I150" s="42">
        <f>5394.92810168649*Deflactores!$Y$5</f>
        <v>5998.9916856842492</v>
      </c>
      <c r="J150" s="42">
        <f>6097.59756708658*Deflactores!$Z$5</f>
        <v>6451.2582259776018</v>
      </c>
      <c r="K150" s="42">
        <f>1742.26693059268*Deflactores!$AA$5</f>
        <v>1742.26693059268</v>
      </c>
    </row>
    <row r="151" spans="3:11" x14ac:dyDescent="0.2">
      <c r="C151" s="88" t="s">
        <v>134</v>
      </c>
      <c r="D151" s="50">
        <f>7776.11401592784*Deflactores!$T$5</f>
        <v>12067.954266554851</v>
      </c>
      <c r="E151" s="50">
        <f>16131.5699648121*Deflactores!$U$5</f>
        <v>24638.327327383486</v>
      </c>
      <c r="F151" s="50">
        <f>17701.9070223138*Deflactores!$V$5</f>
        <v>25598.143937109475</v>
      </c>
      <c r="G151" s="50">
        <f>12839.7040200251*Deflactores!$W$5</f>
        <v>16413.607258372071</v>
      </c>
      <c r="H151" s="50">
        <f>32694.9352235835*Deflactores!$X$5</f>
        <v>38246.246511313868</v>
      </c>
      <c r="I151" s="50">
        <f>21580.6385206623*Deflactores!$Y$5</f>
        <v>23996.996552510071</v>
      </c>
      <c r="J151" s="50">
        <f>16208.9517183903*Deflactores!$Z$5</f>
        <v>17149.070918056939</v>
      </c>
      <c r="K151" s="50">
        <f>4278.71115406926*Deflactores!$AA$5</f>
        <v>4278.7111540692604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3.4089355341100349</v>
      </c>
      <c r="I152" s="42">
        <f>67.50728128318*Deflactores!$Y$5</f>
        <v>75.065990038745241</v>
      </c>
      <c r="J152" s="42">
        <f>103.55996841088*Deflactores!$Z$5</f>
        <v>109.56644657871105</v>
      </c>
      <c r="K152" s="42">
        <f>31.8559228432*Deflactores!$AA$5</f>
        <v>31.855922843199998</v>
      </c>
    </row>
    <row r="153" spans="3:11" x14ac:dyDescent="0.2">
      <c r="C153" s="88" t="s">
        <v>136</v>
      </c>
      <c r="D153" s="50">
        <f>819.900140468849*Deflactores!$T$5</f>
        <v>1272.4244240829023</v>
      </c>
      <c r="E153" s="50">
        <f>6777.82360945261*Deflactores!$U$5</f>
        <v>10352.013909447553</v>
      </c>
      <c r="F153" s="50">
        <f>8566.23732230856*Deflactores!$V$5</f>
        <v>12387.353277784412</v>
      </c>
      <c r="G153" s="50">
        <f>893.78689187128*Deflactores!$W$5</f>
        <v>1142.5704979628943</v>
      </c>
      <c r="H153" s="50">
        <f>1155.11700885353*Deflactores!$X$5</f>
        <v>1351.2456766746102</v>
      </c>
      <c r="I153" s="50">
        <f>1091.48163776226*Deflactores!$Y$5</f>
        <v>1213.6935185412285</v>
      </c>
      <c r="J153" s="50">
        <f>1109.20070513352*Deflactores!$Z$5</f>
        <v>1173.5343460312642</v>
      </c>
      <c r="K153" s="50">
        <f>162.19393958763*Deflactores!$AA$5</f>
        <v>162.19393958763001</v>
      </c>
    </row>
    <row r="154" spans="3:11" x14ac:dyDescent="0.2">
      <c r="C154" s="87" t="s">
        <v>137</v>
      </c>
      <c r="D154" s="42">
        <f>138.82213405099*Deflactores!$T$5</f>
        <v>215.44169253194761</v>
      </c>
      <c r="E154" s="42">
        <f>142.61878989853*Deflactores!$U$5</f>
        <v>217.82681017533838</v>
      </c>
      <c r="F154" s="42">
        <f>146.13498835788*Deflactores!$V$5</f>
        <v>211.32098714095918</v>
      </c>
      <c r="G154" s="42">
        <f>166.61930328963*Deflactores!$W$5</f>
        <v>212.99741813318082</v>
      </c>
      <c r="H154" s="42">
        <f>203.45946498994*Deflactores!$X$5</f>
        <v>238.00508549263878</v>
      </c>
      <c r="I154" s="42">
        <f>226.21028168501*Deflactores!$Y$5</f>
        <v>251.53877372720675</v>
      </c>
      <c r="J154" s="42">
        <f>248.35357939095*Deflactores!$Z$5</f>
        <v>262.75808699562509</v>
      </c>
      <c r="K154" s="42">
        <f>78.56487814739*Deflactores!$AA$5</f>
        <v>78.564878147390004</v>
      </c>
    </row>
    <row r="155" spans="3:11" x14ac:dyDescent="0.2">
      <c r="C155" s="88" t="s">
        <v>138</v>
      </c>
      <c r="D155" s="50">
        <f>86.51463718401*Deflactores!$T$5</f>
        <v>134.26432312922336</v>
      </c>
      <c r="E155" s="50">
        <f>90.77501368117*Deflactores!$U$5</f>
        <v>138.64394507806554</v>
      </c>
      <c r="F155" s="50">
        <f>103.43565574278*Deflactores!$V$5</f>
        <v>149.57489046775598</v>
      </c>
      <c r="G155" s="50">
        <f>99.5883479329599*Deflactores!$W$5</f>
        <v>127.30854449077235</v>
      </c>
      <c r="H155" s="50">
        <f>101.14452172284*Deflactores!$X$5</f>
        <v>118.31796835279634</v>
      </c>
      <c r="I155" s="50">
        <f>121.30639423118*Deflactores!$Y$5</f>
        <v>134.88892468941259</v>
      </c>
      <c r="J155" s="50">
        <f>135.22252019535*Deflactores!$Z$5</f>
        <v>143.0654263666803</v>
      </c>
      <c r="K155" s="50">
        <f>38.5321057157*Deflactores!$AA$5</f>
        <v>38.532105715699998</v>
      </c>
    </row>
    <row r="156" spans="3:11" x14ac:dyDescent="0.2">
      <c r="C156" s="87" t="s">
        <v>160</v>
      </c>
      <c r="D156" s="42">
        <f>1045.01139586186*Deflactores!$T$5</f>
        <v>1621.7804558238358</v>
      </c>
      <c r="E156" s="42">
        <f>1260.39943194177*Deflactores!$U$5</f>
        <v>1925.0534098769135</v>
      </c>
      <c r="F156" s="42">
        <f>1436.18682936032*Deflactores!$V$5</f>
        <v>2076.8224085803049</v>
      </c>
      <c r="G156" s="42">
        <f>1581.01322560998*Deflactores!$W$5</f>
        <v>2021.0847629339262</v>
      </c>
      <c r="H156" s="42">
        <f>1958.83320201961*Deflactores!$X$5</f>
        <v>2291.4257822094855</v>
      </c>
      <c r="I156" s="42">
        <f>2492.36837853637*Deflactores!$Y$5</f>
        <v>2771.4358558046438</v>
      </c>
      <c r="J156" s="42">
        <f>3120.73904303456*Deflactores!$Z$5</f>
        <v>3301.7419075305647</v>
      </c>
      <c r="K156" s="42">
        <f>877.51205602624*Deflactores!$AA$5</f>
        <v>877.51205602623997</v>
      </c>
    </row>
    <row r="157" spans="3:11" x14ac:dyDescent="0.2">
      <c r="C157" s="88" t="s">
        <v>161</v>
      </c>
      <c r="D157" s="50">
        <f>1674.96012706956*Deflactores!$T$5</f>
        <v>2599.4143309081237</v>
      </c>
      <c r="E157" s="50">
        <f>1863.24918015827*Deflactores!$U$5</f>
        <v>2845.8075248321379</v>
      </c>
      <c r="F157" s="50">
        <f>1863.02223958085*Deflactores!$V$5</f>
        <v>2694.0550182933425</v>
      </c>
      <c r="G157" s="50">
        <f>2109.71029496532*Deflactores!$W$5</f>
        <v>2696.9434931286964</v>
      </c>
      <c r="H157" s="50">
        <f>2465.02629853253*Deflactores!$X$5</f>
        <v>2883.5659965627378</v>
      </c>
      <c r="I157" s="50">
        <f>2978.18094457311*Deflactores!$Y$5</f>
        <v>3311.6442681362701</v>
      </c>
      <c r="J157" s="50">
        <f>3304.61684826966*Deflactores!$Z$5</f>
        <v>3496.2846254693004</v>
      </c>
      <c r="K157" s="50">
        <f>974.246690565609*Deflactores!$AA$5</f>
        <v>974.24669056560901</v>
      </c>
    </row>
    <row r="158" spans="3:11" x14ac:dyDescent="0.2">
      <c r="C158" s="87" t="s">
        <v>140</v>
      </c>
      <c r="D158" s="42">
        <f>173.28210162742*Deflactores!$T$5</f>
        <v>268.92101548008213</v>
      </c>
      <c r="E158" s="42">
        <f>195.1665968077*Deflactores!$U$5</f>
        <v>298.08496668387352</v>
      </c>
      <c r="F158" s="42">
        <f>205.55825146978*Deflactores!$V$5</f>
        <v>297.25100815133504</v>
      </c>
      <c r="G158" s="42">
        <f>275.51006429754*Deflactores!$W$5</f>
        <v>352.19768182006879</v>
      </c>
      <c r="H158" s="42">
        <f>268.10553047819*Deflactores!$X$5</f>
        <v>313.62748204250897</v>
      </c>
      <c r="I158" s="42">
        <f>271.75860477502*Deflactores!$Y$5</f>
        <v>302.18708754410676</v>
      </c>
      <c r="J158" s="42">
        <f>266.58950239352*Deflactores!$Z$5</f>
        <v>282.05169353234413</v>
      </c>
      <c r="K158" s="42">
        <f>135.57156004144*Deflactores!$AA$5</f>
        <v>135.57156004143999</v>
      </c>
    </row>
    <row r="159" spans="3:11" x14ac:dyDescent="0.2">
      <c r="C159" s="88" t="s">
        <v>141</v>
      </c>
      <c r="D159" s="50">
        <f>1586.53321145874*Deflactores!$T$5</f>
        <v>2462.1822929855739</v>
      </c>
      <c r="E159" s="50">
        <f>1768.62332274733*Deflactores!$U$5</f>
        <v>2701.2820475468761</v>
      </c>
      <c r="F159" s="50">
        <f>2182.18972686876*Deflactores!$V$5</f>
        <v>3155.5925955353209</v>
      </c>
      <c r="G159" s="50">
        <f>2514.63189315989*Deflactores!$W$5</f>
        <v>3214.5741233077415</v>
      </c>
      <c r="H159" s="50">
        <f>2953.33554057771*Deflactores!$X$5</f>
        <v>3454.7858358833378</v>
      </c>
      <c r="I159" s="50">
        <f>3378.78237534768*Deflactores!$Y$5</f>
        <v>3757.1005573013849</v>
      </c>
      <c r="J159" s="50">
        <f>3611.47387538099*Deflactores!$Z$5</f>
        <v>3820.9393601530878</v>
      </c>
      <c r="K159" s="50">
        <f>1041.99364218715*Deflactores!$AA$5</f>
        <v>1041.99364218715</v>
      </c>
    </row>
    <row r="160" spans="3:11" x14ac:dyDescent="0.2">
      <c r="C160" s="87" t="s">
        <v>142</v>
      </c>
      <c r="D160" s="42">
        <f>78.25645318036*Deflactores!$T$5</f>
        <v>121.44823186863866</v>
      </c>
      <c r="E160" s="42">
        <f>80.36728670704*Deflactores!$U$5</f>
        <v>122.74784913191748</v>
      </c>
      <c r="F160" s="42">
        <f>224.62844248447*Deflactores!$V$5</f>
        <v>324.82778244389368</v>
      </c>
      <c r="G160" s="42">
        <f>405.4041695299*Deflactores!$W$5</f>
        <v>518.24752417908621</v>
      </c>
      <c r="H160" s="42">
        <f>223.030621817629*Deflactores!$X$5</f>
        <v>260.89925192620473</v>
      </c>
      <c r="I160" s="42">
        <f>247.64718990541*Deflactores!$Y$5</f>
        <v>275.37594667131975</v>
      </c>
      <c r="J160" s="42">
        <f>237.50452147117*Deflactores!$Z$5</f>
        <v>251.27978371649786</v>
      </c>
      <c r="K160" s="42">
        <f>131.53685790988*Deflactores!$AA$5</f>
        <v>131.53685790988001</v>
      </c>
    </row>
    <row r="161" spans="1:11" x14ac:dyDescent="0.2">
      <c r="C161" s="88" t="s">
        <v>143</v>
      </c>
      <c r="D161" s="50">
        <f>571.35197721376*Deflactores!$T$5</f>
        <v>886.69604342197044</v>
      </c>
      <c r="E161" s="50">
        <f>1732.48362359133*Deflactores!$U$5</f>
        <v>2646.0845844815344</v>
      </c>
      <c r="F161" s="50">
        <f>3587.28302111029*Deflactores!$V$5</f>
        <v>5187.4516684433138</v>
      </c>
      <c r="G161" s="50">
        <f>919.236445593309*Deflactores!$W$5</f>
        <v>1175.1038787201719</v>
      </c>
      <c r="H161" s="50">
        <f>733.51044320256*Deflactores!$X$5</f>
        <v>858.05403918073171</v>
      </c>
      <c r="I161" s="50">
        <f>713.69842254485*Deflactores!$Y$5</f>
        <v>793.61037297125495</v>
      </c>
      <c r="J161" s="50">
        <f>1330.47563549567*Deflactores!$Z$5</f>
        <v>1407.6432223544191</v>
      </c>
      <c r="K161" s="50">
        <f>217.80820473186*Deflactores!$AA$5</f>
        <v>217.80820473186</v>
      </c>
    </row>
    <row r="162" spans="1:11" x14ac:dyDescent="0.2">
      <c r="C162" s="87" t="s">
        <v>144</v>
      </c>
      <c r="D162" s="42">
        <f>4147.32285530746*Deflactores!$T$5</f>
        <v>6436.3385675635836</v>
      </c>
      <c r="E162" s="42">
        <f>4314.73352545996*Deflactores!$U$5</f>
        <v>6590.0477859630382</v>
      </c>
      <c r="F162" s="42">
        <f>4675.53911346223*Deflactores!$V$5</f>
        <v>6761.1429129711614</v>
      </c>
      <c r="G162" s="42">
        <f>5178.99546720401*Deflactores!$W$5</f>
        <v>6620.5574099682108</v>
      </c>
      <c r="H162" s="42">
        <f>6266.11140587502*Deflactores!$X$5</f>
        <v>7330.0417895791852</v>
      </c>
      <c r="I162" s="42">
        <f>7662.25595568172*Deflactores!$Y$5</f>
        <v>8520.1895012002187</v>
      </c>
      <c r="J162" s="42">
        <f>8732.32619687421*Deflactores!$Z$5</f>
        <v>9238.8011162929142</v>
      </c>
      <c r="K162" s="42">
        <f>2381.57082808074*Deflactores!$AA$5</f>
        <v>2381.5708280807398</v>
      </c>
    </row>
    <row r="163" spans="1:11" x14ac:dyDescent="0.2">
      <c r="C163" s="88" t="s">
        <v>145</v>
      </c>
      <c r="D163" s="50">
        <f>1293.01509590961*Deflactores!$T$5</f>
        <v>2006.6638698250031</v>
      </c>
      <c r="E163" s="50">
        <f>490.8118590638*Deflactores!$U$5</f>
        <v>749.63461499119944</v>
      </c>
      <c r="F163" s="50">
        <f>1102.22837284093*Deflactores!$V$5</f>
        <v>1593.8960985379833</v>
      </c>
      <c r="G163" s="50">
        <f>2870.02529910241*Deflactores!$W$5</f>
        <v>3668.8904983782249</v>
      </c>
      <c r="H163" s="50">
        <f>2428.94230684778*Deflactores!$X$5</f>
        <v>2841.3552617302776</v>
      </c>
      <c r="I163" s="50">
        <f>725.70600988556*Deflactores!$Y$5</f>
        <v>806.9624353647331</v>
      </c>
      <c r="J163" s="50">
        <f>1990.5705291611*Deflactores!$Z$5</f>
        <v>2106.023619852444</v>
      </c>
      <c r="K163" s="50">
        <f>639.94803651816*Deflactores!$AA$5</f>
        <v>639.94803651816005</v>
      </c>
    </row>
    <row r="164" spans="1:11" x14ac:dyDescent="0.2">
      <c r="C164" s="87" t="s">
        <v>146</v>
      </c>
      <c r="D164" s="42">
        <f>656.833448264317*Deflactores!$T$5</f>
        <v>1019.3569690672158</v>
      </c>
      <c r="E164" s="42">
        <f>697.53786907511*Deflactores!$U$5</f>
        <v>1065.3746894447611</v>
      </c>
      <c r="F164" s="42">
        <f>796.423898614789*Deflactores!$V$5</f>
        <v>1151.6823337732394</v>
      </c>
      <c r="G164" s="42">
        <f>1069.73594034281*Deflactores!$W$5</f>
        <v>1367.4945752307065</v>
      </c>
      <c r="H164" s="42">
        <f>1099.16190887852*Deflactores!$X$5</f>
        <v>1285.7898948363954</v>
      </c>
      <c r="I164" s="42">
        <f>1082.61752766359*Deflactores!$Y$5</f>
        <v>1203.8369047401495</v>
      </c>
      <c r="J164" s="42">
        <f>1177.12360890228*Deflactores!$Z$5</f>
        <v>1245.3967782186123</v>
      </c>
      <c r="K164" s="42">
        <f>375.74455645104*Deflactores!$AA$5</f>
        <v>375.74455645104001</v>
      </c>
    </row>
    <row r="165" spans="1:11" x14ac:dyDescent="0.2">
      <c r="C165" s="88" t="s">
        <v>162</v>
      </c>
      <c r="D165" s="50">
        <f>28343.5967857638*Deflactores!$T$5</f>
        <v>43987.167505472273</v>
      </c>
      <c r="E165" s="50">
        <f>33399.2487409584*Deflactores!$U$5</f>
        <v>51011.874526994863</v>
      </c>
      <c r="F165" s="50">
        <f>42205.6864973238*Deflactores!$V$5</f>
        <v>61032.251302707162</v>
      </c>
      <c r="G165" s="50">
        <f>40740.2566322092*Deflactores!$W$5</f>
        <v>52080.217030194646</v>
      </c>
      <c r="H165" s="50">
        <f>48139.4022285744*Deflactores!$X$5</f>
        <v>56313.047631098838</v>
      </c>
      <c r="I165" s="50">
        <f>56316.7250304004*Deflactores!$Y$5</f>
        <v>62622.440717370439</v>
      </c>
      <c r="J165" s="50">
        <f>62785.9102580151*Deflactores!$Z$5</f>
        <v>66427.493052979975</v>
      </c>
      <c r="K165" s="50">
        <f>22949.6304849875*Deflactores!$AA$5</f>
        <v>22949.630484987501</v>
      </c>
    </row>
    <row r="166" spans="1:11" x14ac:dyDescent="0.2">
      <c r="C166" s="87" t="s">
        <v>148</v>
      </c>
      <c r="D166" s="42">
        <f>261.13458804366*Deflactores!$T$5</f>
        <v>405.26158174527643</v>
      </c>
      <c r="E166" s="42">
        <f>312.86440454456*Deflactores!$U$5</f>
        <v>477.84906398263155</v>
      </c>
      <c r="F166" s="42">
        <f>356.96159296429*Deflactores!$V$5</f>
        <v>516.19038701319641</v>
      </c>
      <c r="G166" s="42">
        <f>358.201944011099*Deflactores!$W$5</f>
        <v>457.90666350360834</v>
      </c>
      <c r="H166" s="42">
        <f>439.06493918917*Deflactores!$X$5</f>
        <v>513.61428869237238</v>
      </c>
      <c r="I166" s="42">
        <f>576.45136574244*Deflactores!$Y$5</f>
        <v>640.99592897432592</v>
      </c>
      <c r="J166" s="42">
        <f>642.43666857635*Deflactores!$Z$5</f>
        <v>679.69799535377831</v>
      </c>
      <c r="K166" s="42">
        <f>201.085727121669*Deflactores!$AA$5</f>
        <v>201.08572712166901</v>
      </c>
    </row>
    <row r="167" spans="1:11" x14ac:dyDescent="0.2">
      <c r="C167" s="88" t="s">
        <v>149</v>
      </c>
      <c r="D167" s="50">
        <f>63.18453991101*Deflactores!$T$5</f>
        <v>98.057736349741063</v>
      </c>
      <c r="E167" s="50">
        <f>53.53657371515*Deflactores!$U$5</f>
        <v>81.768335633649841</v>
      </c>
      <c r="F167" s="50">
        <f>65.62099625465*Deflactores!$V$5</f>
        <v>94.892358507229943</v>
      </c>
      <c r="G167" s="50">
        <f>93.64234653543*Deflactores!$W$5</f>
        <v>119.70748674484803</v>
      </c>
      <c r="H167" s="50">
        <f>94.08753600713*Deflactores!$X$5</f>
        <v>110.06276877940252</v>
      </c>
      <c r="I167" s="50">
        <f>113.05162368229*Deflactores!$Y$5</f>
        <v>125.70987745159272</v>
      </c>
      <c r="J167" s="50">
        <f>101.599217587*Deflactores!$Z$5</f>
        <v>107.491972207046</v>
      </c>
      <c r="K167" s="50">
        <f>29.00811434058*Deflactores!$AA$5</f>
        <v>29.008114340580001</v>
      </c>
    </row>
    <row r="168" spans="1:11" x14ac:dyDescent="0.2">
      <c r="C168" s="87" t="s">
        <v>163</v>
      </c>
      <c r="D168" s="42">
        <f>18168.8527729154*Deflactores!$T$5</f>
        <v>28196.716752120472</v>
      </c>
      <c r="E168" s="42">
        <f>22897.2988142007*Deflactores!$U$5</f>
        <v>34971.868474536161</v>
      </c>
      <c r="F168" s="42">
        <f>22240.3059732587*Deflactores!$V$5</f>
        <v>32160.972983938867</v>
      </c>
      <c r="G168" s="42">
        <f>18306.8853000158*Deflactores!$W$5</f>
        <v>23402.566365228169</v>
      </c>
      <c r="H168" s="42">
        <f>22208.3229306944*Deflactores!$X$5</f>
        <v>25979.100053317263</v>
      </c>
      <c r="I168" s="42">
        <f>27546.1053692311*Deflactores!$Y$5</f>
        <v>30630.409519515517</v>
      </c>
      <c r="J168" s="42">
        <f>38670.2381929154*Deflactores!$Z$5</f>
        <v>40913.112008104494</v>
      </c>
      <c r="K168" s="42">
        <f>8136.06957680566*Deflactores!$AA$5</f>
        <v>8136.0695768056603</v>
      </c>
    </row>
    <row r="169" spans="1:11" x14ac:dyDescent="0.2">
      <c r="C169" s="88" t="s">
        <v>150</v>
      </c>
      <c r="D169" s="50">
        <f>149.06642205071*Deflactores!$T$5</f>
        <v>231.34007041334323</v>
      </c>
      <c r="E169" s="50">
        <f>148.87979864401*Deflactores!$U$5</f>
        <v>227.38947414463817</v>
      </c>
      <c r="F169" s="50">
        <f>289.701558125449*Deflactores!$V$5</f>
        <v>418.9278688647646</v>
      </c>
      <c r="G169" s="50">
        <f>329.75570859785*Deflactores!$W$5</f>
        <v>421.54248132899841</v>
      </c>
      <c r="H169" s="50">
        <f>413.41502649011*Deflactores!$X$5</f>
        <v>483.6092473190435</v>
      </c>
      <c r="I169" s="50">
        <f>393.41674990836*Deflactores!$Y$5</f>
        <v>437.46714825937858</v>
      </c>
      <c r="J169" s="50">
        <f>452.243336363769*Deflactores!$Z$5</f>
        <v>478.4734498728676</v>
      </c>
      <c r="K169" s="50">
        <f>145.91361849189*Deflactores!$AA$5</f>
        <v>145.91361849188999</v>
      </c>
    </row>
    <row r="170" spans="1:11" x14ac:dyDescent="0.2">
      <c r="C170" s="87" t="s">
        <v>151</v>
      </c>
      <c r="D170" s="42">
        <f>2184.37924621438*Deflactores!$T$5</f>
        <v>3389.9951556949131</v>
      </c>
      <c r="E170" s="42">
        <f>2339.43149135068*Deflactores!$U$5</f>
        <v>3573.0979048918844</v>
      </c>
      <c r="F170" s="42">
        <f>2722.94042561438*Deflactores!$V$5</f>
        <v>3937.5543470649368</v>
      </c>
      <c r="G170" s="42">
        <f>2651.12126017479*Deflactores!$W$5</f>
        <v>3389.0550039910017</v>
      </c>
      <c r="H170" s="42">
        <f>2924.4423574912*Deflactores!$X$5</f>
        <v>3420.986845450529</v>
      </c>
      <c r="I170" s="42">
        <f>3756.2286585442*Deflactores!$Y$5</f>
        <v>4176.809044979007</v>
      </c>
      <c r="J170" s="42">
        <f>4332.14239693372*Deflactores!$Z$5</f>
        <v>4583.406655955876</v>
      </c>
      <c r="K170" s="42">
        <f>1367.10528305649*Deflactores!$AA$5</f>
        <v>1367.10528305649</v>
      </c>
    </row>
    <row r="171" spans="1:11" x14ac:dyDescent="0.2">
      <c r="C171" s="79" t="s">
        <v>179</v>
      </c>
      <c r="D171" s="44">
        <f t="shared" ref="D171:K171" si="6">+SUM(D140:D170)</f>
        <v>219989.31352629143</v>
      </c>
      <c r="E171" s="44">
        <f t="shared" si="6"/>
        <v>263714.30193942657</v>
      </c>
      <c r="F171" s="44">
        <f t="shared" si="6"/>
        <v>279385.24548739754</v>
      </c>
      <c r="G171" s="44">
        <f t="shared" si="6"/>
        <v>231062.55202546788</v>
      </c>
      <c r="H171" s="44">
        <f t="shared" si="6"/>
        <v>265919.06647123111</v>
      </c>
      <c r="I171" s="44">
        <f t="shared" si="6"/>
        <v>276189.51669408259</v>
      </c>
      <c r="J171" s="44">
        <f t="shared" si="6"/>
        <v>298467.10478607391</v>
      </c>
      <c r="K171" s="44">
        <f t="shared" si="6"/>
        <v>88604.500428068859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abril</v>
      </c>
      <c r="D172" s="121">
        <f>+D171-'C6 Ejec. Nac 19-26'!D79</f>
        <v>9.3132257461547852E-10</v>
      </c>
      <c r="E172" s="121">
        <f>+E171-'C6 Ejec. Nac 19-26'!E79</f>
        <v>1.2223608791828156E-9</v>
      </c>
      <c r="F172" s="121">
        <f>+F171-'C6 Ejec. Nac 19-26'!F79</f>
        <v>0</v>
      </c>
      <c r="G172" s="121">
        <f>+G171-'C6 Ejec. Nac 19-26'!G79</f>
        <v>0</v>
      </c>
      <c r="H172" s="121">
        <f>+H171-'C6 Ejec. Nac 19-26'!H79</f>
        <v>4.6566128730773926E-10</v>
      </c>
      <c r="I172" s="121">
        <f>+I171-'C6 Ejec. Nac 19-26'!I79</f>
        <v>0</v>
      </c>
      <c r="J172" s="121">
        <f>+J171-'C6 Ejec. Nac 19-26'!J79</f>
        <v>0</v>
      </c>
      <c r="K172" s="121">
        <f>+K171-'C6 Ejec. Nac 19-26'!K79</f>
        <v>0</v>
      </c>
    </row>
    <row r="173" spans="1:11" x14ac:dyDescent="0.2">
      <c r="C173" s="1" t="s">
        <v>52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customHeight="1" x14ac:dyDescent="0.2">
      <c r="D177" s="155" t="s">
        <v>191</v>
      </c>
      <c r="E177" s="178"/>
      <c r="F177" s="178"/>
      <c r="G177" s="178"/>
      <c r="H177" s="178"/>
      <c r="I177" s="178"/>
      <c r="J177" s="178"/>
      <c r="K177" s="178"/>
      <c r="L177" s="178"/>
    </row>
    <row r="178" spans="3:12" ht="3.75" customHeight="1" x14ac:dyDescent="0.2">
      <c r="D178" s="28"/>
      <c r="E178" s="28"/>
      <c r="F178" s="28"/>
    </row>
    <row r="179" spans="3:12" x14ac:dyDescent="0.2">
      <c r="D179" s="29"/>
      <c r="E179" s="29"/>
      <c r="F179" s="29"/>
    </row>
    <row r="180" spans="3:12" x14ac:dyDescent="0.2">
      <c r="C180" s="176" t="s">
        <v>120</v>
      </c>
      <c r="D180" s="153">
        <v>2019</v>
      </c>
      <c r="E180" s="153">
        <v>2020</v>
      </c>
      <c r="F180" s="153">
        <v>2021</v>
      </c>
      <c r="G180" s="153">
        <v>2022</v>
      </c>
      <c r="H180" s="153">
        <v>2023</v>
      </c>
      <c r="I180" s="153">
        <v>2024</v>
      </c>
      <c r="J180" s="153">
        <v>2025</v>
      </c>
      <c r="K180" s="153" t="s">
        <v>10</v>
      </c>
    </row>
    <row r="181" spans="3:12" ht="12" customHeight="1" thickBot="1" x14ac:dyDescent="0.25">
      <c r="C181" s="160"/>
      <c r="D181" s="154"/>
      <c r="E181" s="154"/>
      <c r="F181" s="154"/>
      <c r="G181" s="154"/>
      <c r="H181" s="154"/>
      <c r="I181" s="154"/>
      <c r="J181" s="154"/>
      <c r="K181" s="154"/>
    </row>
    <row r="182" spans="3:12" x14ac:dyDescent="0.2">
      <c r="C182" s="87" t="s">
        <v>123</v>
      </c>
      <c r="D182" s="47">
        <f t="shared" ref="D182:K191" si="7">+IFERROR(IF(D140&gt;0,+((D140/D14)*100)," "),"")</f>
        <v>74.725217264448858</v>
      </c>
      <c r="E182" s="47">
        <f t="shared" si="7"/>
        <v>80.52362746016091</v>
      </c>
      <c r="F182" s="47">
        <f t="shared" si="7"/>
        <v>92.710622108358905</v>
      </c>
      <c r="G182" s="47">
        <f t="shared" si="7"/>
        <v>91.717086564565449</v>
      </c>
      <c r="H182" s="47">
        <f t="shared" si="7"/>
        <v>75.980662378800901</v>
      </c>
      <c r="I182" s="47">
        <f t="shared" si="7"/>
        <v>76.999403589772896</v>
      </c>
      <c r="J182" s="47">
        <f t="shared" si="7"/>
        <v>91.281731680868333</v>
      </c>
      <c r="K182" s="47">
        <f t="shared" si="7"/>
        <v>24.437369980851468</v>
      </c>
    </row>
    <row r="183" spans="3:12" x14ac:dyDescent="0.2">
      <c r="C183" s="88" t="s">
        <v>124</v>
      </c>
      <c r="D183" s="116">
        <f t="shared" si="7"/>
        <v>95.198004377106642</v>
      </c>
      <c r="E183" s="116">
        <f t="shared" si="7"/>
        <v>96.375538249048205</v>
      </c>
      <c r="F183" s="116">
        <f t="shared" si="7"/>
        <v>92.6904145490373</v>
      </c>
      <c r="G183" s="116">
        <f t="shared" si="7"/>
        <v>91.261866401936771</v>
      </c>
      <c r="H183" s="116">
        <f t="shared" si="7"/>
        <v>94.53849398590728</v>
      </c>
      <c r="I183" s="116">
        <f t="shared" si="7"/>
        <v>95.883530322462235</v>
      </c>
      <c r="J183" s="116">
        <f t="shared" si="7"/>
        <v>97.489218306046638</v>
      </c>
      <c r="K183" s="116">
        <f t="shared" si="7"/>
        <v>33.856048261924229</v>
      </c>
    </row>
    <row r="184" spans="3:12" x14ac:dyDescent="0.2">
      <c r="C184" s="87" t="s">
        <v>125</v>
      </c>
      <c r="D184" s="47">
        <f t="shared" si="7"/>
        <v>95.122909680239729</v>
      </c>
      <c r="E184" s="47">
        <f t="shared" si="7"/>
        <v>90.81113475716441</v>
      </c>
      <c r="F184" s="47">
        <f t="shared" si="7"/>
        <v>94.850996911981227</v>
      </c>
      <c r="G184" s="47">
        <f t="shared" si="7"/>
        <v>86.826685511570204</v>
      </c>
      <c r="H184" s="47">
        <f t="shared" si="7"/>
        <v>94.01225793248021</v>
      </c>
      <c r="I184" s="47">
        <f t="shared" si="7"/>
        <v>94.226930002660907</v>
      </c>
      <c r="J184" s="47">
        <f t="shared" si="7"/>
        <v>90.147929508342244</v>
      </c>
      <c r="K184" s="47">
        <f t="shared" si="7"/>
        <v>18.134951898217103</v>
      </c>
    </row>
    <row r="185" spans="3:12" x14ac:dyDescent="0.2">
      <c r="C185" s="88" t="s">
        <v>126</v>
      </c>
      <c r="D185" s="116">
        <f t="shared" si="7"/>
        <v>90.570827895108721</v>
      </c>
      <c r="E185" s="116">
        <f t="shared" si="7"/>
        <v>96.294718568097721</v>
      </c>
      <c r="F185" s="116">
        <f t="shared" si="7"/>
        <v>94.182809857055418</v>
      </c>
      <c r="G185" s="116">
        <f t="shared" si="7"/>
        <v>98.268321515208186</v>
      </c>
      <c r="H185" s="116">
        <f t="shared" si="7"/>
        <v>96.242334681605769</v>
      </c>
      <c r="I185" s="116">
        <f t="shared" si="7"/>
        <v>69.843003456152502</v>
      </c>
      <c r="J185" s="116">
        <f t="shared" si="7"/>
        <v>89.462530226852138</v>
      </c>
      <c r="K185" s="116">
        <f t="shared" si="7"/>
        <v>23.367295877049067</v>
      </c>
    </row>
    <row r="186" spans="3:12" x14ac:dyDescent="0.2">
      <c r="C186" s="87" t="s">
        <v>127</v>
      </c>
      <c r="D186" s="47">
        <f t="shared" si="7"/>
        <v>95.907207545724816</v>
      </c>
      <c r="E186" s="47">
        <f t="shared" si="7"/>
        <v>94.588960814732332</v>
      </c>
      <c r="F186" s="47">
        <f t="shared" si="7"/>
        <v>93.898056337318522</v>
      </c>
      <c r="G186" s="47">
        <f t="shared" si="7"/>
        <v>94.817074610467614</v>
      </c>
      <c r="H186" s="47">
        <f t="shared" si="7"/>
        <v>94.075512625851971</v>
      </c>
      <c r="I186" s="47">
        <f t="shared" si="7"/>
        <v>86.306266862421992</v>
      </c>
      <c r="J186" s="47">
        <f t="shared" si="7"/>
        <v>80.284837329113145</v>
      </c>
      <c r="K186" s="47">
        <f t="shared" si="7"/>
        <v>33.169395997567911</v>
      </c>
    </row>
    <row r="187" spans="3:12" x14ac:dyDescent="0.2">
      <c r="C187" s="88" t="s">
        <v>128</v>
      </c>
      <c r="D187" s="116">
        <f t="shared" si="7"/>
        <v>97.507247263999744</v>
      </c>
      <c r="E187" s="116">
        <f t="shared" si="7"/>
        <v>97.17192744524742</v>
      </c>
      <c r="F187" s="116">
        <f t="shared" si="7"/>
        <v>89.41315078662268</v>
      </c>
      <c r="G187" s="116">
        <f t="shared" si="7"/>
        <v>93.535147386096114</v>
      </c>
      <c r="H187" s="116">
        <f t="shared" si="7"/>
        <v>91.663697377590253</v>
      </c>
      <c r="I187" s="116">
        <f t="shared" si="7"/>
        <v>93.196143149557983</v>
      </c>
      <c r="J187" s="116">
        <f t="shared" si="7"/>
        <v>90.729215464229895</v>
      </c>
      <c r="K187" s="116">
        <f t="shared" si="7"/>
        <v>34.670119596021962</v>
      </c>
    </row>
    <row r="188" spans="3:12" x14ac:dyDescent="0.2">
      <c r="C188" s="87" t="s">
        <v>129</v>
      </c>
      <c r="D188" s="47">
        <f t="shared" si="7"/>
        <v>97.625317570981977</v>
      </c>
      <c r="E188" s="47">
        <f t="shared" si="7"/>
        <v>97.811024549065735</v>
      </c>
      <c r="F188" s="47">
        <f t="shared" si="7"/>
        <v>96.785087245854868</v>
      </c>
      <c r="G188" s="47">
        <f t="shared" si="7"/>
        <v>96.787639416612393</v>
      </c>
      <c r="H188" s="47">
        <f t="shared" si="7"/>
        <v>96.013343960039947</v>
      </c>
      <c r="I188" s="47">
        <f t="shared" si="7"/>
        <v>93.277331799145031</v>
      </c>
      <c r="J188" s="47">
        <f t="shared" si="7"/>
        <v>94.377634166440117</v>
      </c>
      <c r="K188" s="47">
        <f t="shared" si="7"/>
        <v>27.787171594770342</v>
      </c>
    </row>
    <row r="189" spans="3:12" x14ac:dyDescent="0.2">
      <c r="C189" s="88" t="s">
        <v>130</v>
      </c>
      <c r="D189" s="116">
        <f t="shared" si="7"/>
        <v>93.531782249009296</v>
      </c>
      <c r="E189" s="116">
        <f t="shared" si="7"/>
        <v>94.783026652524143</v>
      </c>
      <c r="F189" s="116">
        <f t="shared" si="7"/>
        <v>89.394584068622109</v>
      </c>
      <c r="G189" s="116">
        <f t="shared" si="7"/>
        <v>92.17090053874665</v>
      </c>
      <c r="H189" s="116">
        <f t="shared" si="7"/>
        <v>83.374166406582532</v>
      </c>
      <c r="I189" s="116">
        <f t="shared" si="7"/>
        <v>93.023513732877689</v>
      </c>
      <c r="J189" s="116">
        <f t="shared" si="7"/>
        <v>89.901315579483807</v>
      </c>
      <c r="K189" s="116">
        <f t="shared" si="7"/>
        <v>25.212788299899046</v>
      </c>
    </row>
    <row r="190" spans="3:12" x14ac:dyDescent="0.2">
      <c r="C190" s="87" t="s">
        <v>131</v>
      </c>
      <c r="D190" s="47">
        <f t="shared" si="7"/>
        <v>99.941415984595395</v>
      </c>
      <c r="E190" s="47">
        <f t="shared" si="7"/>
        <v>99.97284091870408</v>
      </c>
      <c r="F190" s="47">
        <f t="shared" si="7"/>
        <v>99.94374109861694</v>
      </c>
      <c r="G190" s="47">
        <f t="shared" si="7"/>
        <v>99.905183390565867</v>
      </c>
      <c r="H190" s="47">
        <f t="shared" si="7"/>
        <v>99.000974709390832</v>
      </c>
      <c r="I190" s="47">
        <f t="shared" si="7"/>
        <v>99.681072497155839</v>
      </c>
      <c r="J190" s="47">
        <f t="shared" si="7"/>
        <v>97.937538563214758</v>
      </c>
      <c r="K190" s="47">
        <f t="shared" si="7"/>
        <v>30.802443775301729</v>
      </c>
    </row>
    <row r="191" spans="3:12" x14ac:dyDescent="0.2">
      <c r="C191" s="88" t="s">
        <v>132</v>
      </c>
      <c r="D191" s="116">
        <f t="shared" si="7"/>
        <v>88.115008340052128</v>
      </c>
      <c r="E191" s="116">
        <f t="shared" si="7"/>
        <v>89.317087689615263</v>
      </c>
      <c r="F191" s="116">
        <f t="shared" si="7"/>
        <v>93.64864841685818</v>
      </c>
      <c r="G191" s="116">
        <f t="shared" si="7"/>
        <v>91.869165296094678</v>
      </c>
      <c r="H191" s="116">
        <f t="shared" si="7"/>
        <v>97.05976652593688</v>
      </c>
      <c r="I191" s="116">
        <f t="shared" si="7"/>
        <v>94.059761103604117</v>
      </c>
      <c r="J191" s="116">
        <f t="shared" si="7"/>
        <v>91.024887214099437</v>
      </c>
      <c r="K191" s="116">
        <f t="shared" si="7"/>
        <v>25.920886786086879</v>
      </c>
    </row>
    <row r="192" spans="3:12" x14ac:dyDescent="0.2">
      <c r="C192" s="87" t="s">
        <v>133</v>
      </c>
      <c r="D192" s="47">
        <f t="shared" ref="D192:K201" si="8">+IFERROR(IF(D150&gt;0,+((D150/D24)*100)," "),"")</f>
        <v>95.488715314069196</v>
      </c>
      <c r="E192" s="47">
        <f t="shared" si="8"/>
        <v>95.456534498567933</v>
      </c>
      <c r="F192" s="47">
        <f t="shared" si="8"/>
        <v>92.500377457084511</v>
      </c>
      <c r="G192" s="47">
        <f t="shared" si="8"/>
        <v>95.2372786423458</v>
      </c>
      <c r="H192" s="47">
        <f t="shared" si="8"/>
        <v>95.490630411552971</v>
      </c>
      <c r="I192" s="47">
        <f t="shared" si="8"/>
        <v>93.878753581829912</v>
      </c>
      <c r="J192" s="47">
        <f t="shared" si="8"/>
        <v>93.862217935357833</v>
      </c>
      <c r="K192" s="47">
        <f t="shared" si="8"/>
        <v>25.746640146310895</v>
      </c>
    </row>
    <row r="193" spans="3:11" x14ac:dyDescent="0.2">
      <c r="C193" s="88" t="s">
        <v>134</v>
      </c>
      <c r="D193" s="116">
        <f t="shared" si="8"/>
        <v>91.59860887464859</v>
      </c>
      <c r="E193" s="116">
        <f t="shared" si="8"/>
        <v>41.661137688113172</v>
      </c>
      <c r="F193" s="116">
        <f t="shared" si="8"/>
        <v>81.884065242019304</v>
      </c>
      <c r="G193" s="116">
        <f t="shared" si="8"/>
        <v>83.561656694231502</v>
      </c>
      <c r="H193" s="116">
        <f t="shared" si="8"/>
        <v>89.527101648691016</v>
      </c>
      <c r="I193" s="116">
        <f t="shared" si="8"/>
        <v>74.160604691793338</v>
      </c>
      <c r="J193" s="116">
        <f t="shared" si="8"/>
        <v>74.434129149722409</v>
      </c>
      <c r="K193" s="116">
        <f t="shared" si="8"/>
        <v>15.095705305199919</v>
      </c>
    </row>
    <row r="194" spans="3:11" x14ac:dyDescent="0.2">
      <c r="C194" s="87" t="s">
        <v>135</v>
      </c>
      <c r="D194" s="47" t="str">
        <f t="shared" si="8"/>
        <v xml:space="preserve"> </v>
      </c>
      <c r="E194" s="47" t="str">
        <f t="shared" si="8"/>
        <v xml:space="preserve"> </v>
      </c>
      <c r="F194" s="47" t="str">
        <f t="shared" si="8"/>
        <v xml:space="preserve"> </v>
      </c>
      <c r="G194" s="47" t="str">
        <f t="shared" si="8"/>
        <v xml:space="preserve"> </v>
      </c>
      <c r="H194" s="47">
        <f t="shared" si="8"/>
        <v>0.58282805051800002</v>
      </c>
      <c r="I194" s="47">
        <f t="shared" si="8"/>
        <v>4.8861210663084451</v>
      </c>
      <c r="J194" s="47">
        <f t="shared" si="8"/>
        <v>92.242077906476439</v>
      </c>
      <c r="K194" s="47">
        <f t="shared" si="8"/>
        <v>9.3170246131676837</v>
      </c>
    </row>
    <row r="195" spans="3:11" x14ac:dyDescent="0.2">
      <c r="C195" s="88" t="s">
        <v>136</v>
      </c>
      <c r="D195" s="116">
        <f t="shared" si="8"/>
        <v>97.077028644735336</v>
      </c>
      <c r="E195" s="116">
        <f t="shared" si="8"/>
        <v>98.472348115831878</v>
      </c>
      <c r="F195" s="116">
        <f t="shared" si="8"/>
        <v>97.889854753450649</v>
      </c>
      <c r="G195" s="116">
        <f t="shared" si="8"/>
        <v>96.395365110959773</v>
      </c>
      <c r="H195" s="116">
        <f t="shared" si="8"/>
        <v>93.968053512038594</v>
      </c>
      <c r="I195" s="116">
        <f t="shared" si="8"/>
        <v>49.519498186881769</v>
      </c>
      <c r="J195" s="116">
        <f t="shared" si="8"/>
        <v>54.51579732202795</v>
      </c>
      <c r="K195" s="116">
        <f t="shared" si="8"/>
        <v>8.4186454676964235</v>
      </c>
    </row>
    <row r="196" spans="3:11" x14ac:dyDescent="0.2">
      <c r="C196" s="87" t="s">
        <v>137</v>
      </c>
      <c r="D196" s="47">
        <f t="shared" si="8"/>
        <v>89.828832057574999</v>
      </c>
      <c r="E196" s="47">
        <f t="shared" si="8"/>
        <v>88.067276695213735</v>
      </c>
      <c r="F196" s="47">
        <f t="shared" si="8"/>
        <v>80.761988951222435</v>
      </c>
      <c r="G196" s="47">
        <f t="shared" si="8"/>
        <v>88.926707098704711</v>
      </c>
      <c r="H196" s="47">
        <f t="shared" si="8"/>
        <v>92.386249183769451</v>
      </c>
      <c r="I196" s="47">
        <f t="shared" si="8"/>
        <v>94.311035220271307</v>
      </c>
      <c r="J196" s="47">
        <f t="shared" si="8"/>
        <v>94.273897845035108</v>
      </c>
      <c r="K196" s="47">
        <f t="shared" si="8"/>
        <v>26.693289989393914</v>
      </c>
    </row>
    <row r="197" spans="3:11" x14ac:dyDescent="0.2">
      <c r="C197" s="88" t="s">
        <v>138</v>
      </c>
      <c r="D197" s="116">
        <f t="shared" si="8"/>
        <v>95.715796722991129</v>
      </c>
      <c r="E197" s="116">
        <f t="shared" si="8"/>
        <v>98.028113822928461</v>
      </c>
      <c r="F197" s="116">
        <f t="shared" si="8"/>
        <v>94.611263222058611</v>
      </c>
      <c r="G197" s="116">
        <f t="shared" si="8"/>
        <v>95.93883466240213</v>
      </c>
      <c r="H197" s="116">
        <f t="shared" si="8"/>
        <v>88.10958910991863</v>
      </c>
      <c r="I197" s="116">
        <f t="shared" si="8"/>
        <v>94.73583467881322</v>
      </c>
      <c r="J197" s="116">
        <f t="shared" si="8"/>
        <v>96.140341651529283</v>
      </c>
      <c r="K197" s="116">
        <f t="shared" si="8"/>
        <v>24.939312863612997</v>
      </c>
    </row>
    <row r="198" spans="3:11" x14ac:dyDescent="0.2">
      <c r="C198" s="87" t="s">
        <v>160</v>
      </c>
      <c r="D198" s="47">
        <f t="shared" si="8"/>
        <v>88.106363701449851</v>
      </c>
      <c r="E198" s="47">
        <f t="shared" si="8"/>
        <v>86.290605827033218</v>
      </c>
      <c r="F198" s="47">
        <f t="shared" si="8"/>
        <v>81.944172946829681</v>
      </c>
      <c r="G198" s="47">
        <f t="shared" si="8"/>
        <v>70.901304377829405</v>
      </c>
      <c r="H198" s="47">
        <f t="shared" si="8"/>
        <v>72.109248743917789</v>
      </c>
      <c r="I198" s="47">
        <f t="shared" si="8"/>
        <v>74.901499358616718</v>
      </c>
      <c r="J198" s="47">
        <f t="shared" si="8"/>
        <v>82.335650395643185</v>
      </c>
      <c r="K198" s="47">
        <f t="shared" si="8"/>
        <v>24.083827959998679</v>
      </c>
    </row>
    <row r="199" spans="3:11" x14ac:dyDescent="0.2">
      <c r="C199" s="88" t="s">
        <v>161</v>
      </c>
      <c r="D199" s="116">
        <f t="shared" si="8"/>
        <v>84.492389211268105</v>
      </c>
      <c r="E199" s="116">
        <f t="shared" si="8"/>
        <v>88.640912641892328</v>
      </c>
      <c r="F199" s="116">
        <f t="shared" si="8"/>
        <v>74.541139458995886</v>
      </c>
      <c r="G199" s="116">
        <f t="shared" si="8"/>
        <v>77.408067333616671</v>
      </c>
      <c r="H199" s="116">
        <f t="shared" si="8"/>
        <v>82.951432673890253</v>
      </c>
      <c r="I199" s="116">
        <f t="shared" si="8"/>
        <v>87.599823726793602</v>
      </c>
      <c r="J199" s="116">
        <f t="shared" si="8"/>
        <v>87.78182431252327</v>
      </c>
      <c r="K199" s="116">
        <f t="shared" si="8"/>
        <v>23.679009395943631</v>
      </c>
    </row>
    <row r="200" spans="3:11" x14ac:dyDescent="0.2">
      <c r="C200" s="87" t="s">
        <v>140</v>
      </c>
      <c r="D200" s="47">
        <f t="shared" si="8"/>
        <v>92.216303273072015</v>
      </c>
      <c r="E200" s="47">
        <f t="shared" si="8"/>
        <v>89.603559157303224</v>
      </c>
      <c r="F200" s="47">
        <f t="shared" si="8"/>
        <v>90.272392870577733</v>
      </c>
      <c r="G200" s="47">
        <f t="shared" si="8"/>
        <v>93.65285831092605</v>
      </c>
      <c r="H200" s="47">
        <f t="shared" si="8"/>
        <v>89.243833460311805</v>
      </c>
      <c r="I200" s="47">
        <f t="shared" si="8"/>
        <v>84.734354393415018</v>
      </c>
      <c r="J200" s="47">
        <f t="shared" si="8"/>
        <v>88.001627227734176</v>
      </c>
      <c r="K200" s="47">
        <f t="shared" si="8"/>
        <v>40.547233290716306</v>
      </c>
    </row>
    <row r="201" spans="3:11" x14ac:dyDescent="0.2">
      <c r="C201" s="88" t="s">
        <v>141</v>
      </c>
      <c r="D201" s="116">
        <f t="shared" si="8"/>
        <v>92.350290286283425</v>
      </c>
      <c r="E201" s="116">
        <f t="shared" si="8"/>
        <v>83.365421390650113</v>
      </c>
      <c r="F201" s="116">
        <f t="shared" si="8"/>
        <v>87.67197469914835</v>
      </c>
      <c r="G201" s="116">
        <f t="shared" si="8"/>
        <v>92.239343560044034</v>
      </c>
      <c r="H201" s="116">
        <f t="shared" si="8"/>
        <v>86.740429594551927</v>
      </c>
      <c r="I201" s="116">
        <f t="shared" si="8"/>
        <v>90.063282696676154</v>
      </c>
      <c r="J201" s="116">
        <f t="shared" si="8"/>
        <v>93.548471190694258</v>
      </c>
      <c r="K201" s="116">
        <f t="shared" si="8"/>
        <v>25.292472944783039</v>
      </c>
    </row>
    <row r="202" spans="3:11" x14ac:dyDescent="0.2">
      <c r="C202" s="87" t="s">
        <v>142</v>
      </c>
      <c r="D202" s="47">
        <f t="shared" ref="D202:K211" si="9">+IFERROR(IF(D160&gt;0,+((D160/D34)*100)," "),"")</f>
        <v>94.420351456559516</v>
      </c>
      <c r="E202" s="47">
        <f t="shared" si="9"/>
        <v>94.212680015837719</v>
      </c>
      <c r="F202" s="47">
        <f t="shared" si="9"/>
        <v>80.47519050118936</v>
      </c>
      <c r="G202" s="47">
        <f t="shared" si="9"/>
        <v>93.540175891113435</v>
      </c>
      <c r="H202" s="47">
        <f t="shared" si="9"/>
        <v>90.380315085443883</v>
      </c>
      <c r="I202" s="47">
        <f t="shared" si="9"/>
        <v>90.531202398137879</v>
      </c>
      <c r="J202" s="47">
        <f t="shared" si="9"/>
        <v>85.018783941246937</v>
      </c>
      <c r="K202" s="47">
        <f t="shared" si="9"/>
        <v>47.485344897434373</v>
      </c>
    </row>
    <row r="203" spans="3:11" x14ac:dyDescent="0.2">
      <c r="C203" s="88" t="s">
        <v>143</v>
      </c>
      <c r="D203" s="116">
        <f t="shared" si="9"/>
        <v>43.309879343349181</v>
      </c>
      <c r="E203" s="116">
        <f t="shared" si="9"/>
        <v>37.48554878268834</v>
      </c>
      <c r="F203" s="116">
        <f t="shared" si="9"/>
        <v>56.352553108583059</v>
      </c>
      <c r="G203" s="116">
        <f t="shared" si="9"/>
        <v>19.36942302708476</v>
      </c>
      <c r="H203" s="116">
        <f t="shared" si="9"/>
        <v>22.313979381968519</v>
      </c>
      <c r="I203" s="116">
        <f t="shared" si="9"/>
        <v>33.774696654023202</v>
      </c>
      <c r="J203" s="116">
        <f t="shared" si="9"/>
        <v>37.086238859915944</v>
      </c>
      <c r="K203" s="116">
        <f t="shared" si="9"/>
        <v>2.3595655260844635</v>
      </c>
    </row>
    <row r="204" spans="3:11" x14ac:dyDescent="0.2">
      <c r="C204" s="87" t="s">
        <v>144</v>
      </c>
      <c r="D204" s="47">
        <f t="shared" si="9"/>
        <v>95.68540732532017</v>
      </c>
      <c r="E204" s="47">
        <f t="shared" si="9"/>
        <v>93.808135668950854</v>
      </c>
      <c r="F204" s="47">
        <f t="shared" si="9"/>
        <v>94.312895963805843</v>
      </c>
      <c r="G204" s="47">
        <f t="shared" si="9"/>
        <v>94.93669770178586</v>
      </c>
      <c r="H204" s="47">
        <f t="shared" si="9"/>
        <v>87.317600501419591</v>
      </c>
      <c r="I204" s="47">
        <f t="shared" si="9"/>
        <v>93.526775975854477</v>
      </c>
      <c r="J204" s="47">
        <f t="shared" si="9"/>
        <v>92.649004564731229</v>
      </c>
      <c r="K204" s="47">
        <f t="shared" si="9"/>
        <v>25.176543153715325</v>
      </c>
    </row>
    <row r="205" spans="3:11" x14ac:dyDescent="0.2">
      <c r="C205" s="88" t="s">
        <v>145</v>
      </c>
      <c r="D205" s="116">
        <f t="shared" si="9"/>
        <v>92.205727776210864</v>
      </c>
      <c r="E205" s="116">
        <f t="shared" si="9"/>
        <v>93.249037338169643</v>
      </c>
      <c r="F205" s="116">
        <f t="shared" si="9"/>
        <v>85.553407739243653</v>
      </c>
      <c r="G205" s="116">
        <f t="shared" si="9"/>
        <v>93.581883720472419</v>
      </c>
      <c r="H205" s="116">
        <f t="shared" si="9"/>
        <v>79.799421801172628</v>
      </c>
      <c r="I205" s="116">
        <f t="shared" si="9"/>
        <v>58.15687453415179</v>
      </c>
      <c r="J205" s="116">
        <f t="shared" si="9"/>
        <v>72.661795906684333</v>
      </c>
      <c r="K205" s="116">
        <f t="shared" si="9"/>
        <v>9.8840988803670822</v>
      </c>
    </row>
    <row r="206" spans="3:11" x14ac:dyDescent="0.2">
      <c r="C206" s="87" t="s">
        <v>146</v>
      </c>
      <c r="D206" s="47">
        <f t="shared" si="9"/>
        <v>94.395285495042316</v>
      </c>
      <c r="E206" s="47">
        <f t="shared" si="9"/>
        <v>90.505361720241567</v>
      </c>
      <c r="F206" s="47">
        <f t="shared" si="9"/>
        <v>90.839212319687775</v>
      </c>
      <c r="G206" s="47">
        <f t="shared" si="9"/>
        <v>94.87297514582778</v>
      </c>
      <c r="H206" s="47">
        <f t="shared" si="9"/>
        <v>92.783605372259004</v>
      </c>
      <c r="I206" s="47">
        <f t="shared" si="9"/>
        <v>91.334215730151129</v>
      </c>
      <c r="J206" s="47">
        <f t="shared" si="9"/>
        <v>91.887921649333066</v>
      </c>
      <c r="K206" s="47">
        <f t="shared" si="9"/>
        <v>29.610717074869296</v>
      </c>
    </row>
    <row r="207" spans="3:11" x14ac:dyDescent="0.2">
      <c r="C207" s="88" t="s">
        <v>162</v>
      </c>
      <c r="D207" s="116">
        <f t="shared" si="9"/>
        <v>99.61117724903103</v>
      </c>
      <c r="E207" s="116">
        <f t="shared" si="9"/>
        <v>97.484190137437949</v>
      </c>
      <c r="F207" s="116">
        <f t="shared" si="9"/>
        <v>99.464259321187427</v>
      </c>
      <c r="G207" s="116">
        <f t="shared" si="9"/>
        <v>99.895956166317987</v>
      </c>
      <c r="H207" s="116">
        <f t="shared" si="9"/>
        <v>94.074436572229544</v>
      </c>
      <c r="I207" s="116">
        <f t="shared" si="9"/>
        <v>95.813526515114944</v>
      </c>
      <c r="J207" s="116">
        <f t="shared" si="9"/>
        <v>97.925997980149717</v>
      </c>
      <c r="K207" s="116">
        <f t="shared" si="9"/>
        <v>30.624285884139486</v>
      </c>
    </row>
    <row r="208" spans="3:11" x14ac:dyDescent="0.2">
      <c r="C208" s="87" t="s">
        <v>148</v>
      </c>
      <c r="D208" s="47">
        <f t="shared" si="9"/>
        <v>93.532884578094311</v>
      </c>
      <c r="E208" s="47">
        <f t="shared" si="9"/>
        <v>96.25071351802336</v>
      </c>
      <c r="F208" s="47">
        <f t="shared" si="9"/>
        <v>96.946058776895228</v>
      </c>
      <c r="G208" s="47">
        <f t="shared" si="9"/>
        <v>98.138786431149171</v>
      </c>
      <c r="H208" s="47">
        <f t="shared" si="9"/>
        <v>89.563425353192017</v>
      </c>
      <c r="I208" s="47">
        <f t="shared" si="9"/>
        <v>95.88318994093396</v>
      </c>
      <c r="J208" s="47">
        <f t="shared" si="9"/>
        <v>91.337649622033013</v>
      </c>
      <c r="K208" s="47">
        <f t="shared" si="9"/>
        <v>29.783577502420073</v>
      </c>
    </row>
    <row r="209" spans="1:12" x14ac:dyDescent="0.2">
      <c r="C209" s="88" t="s">
        <v>149</v>
      </c>
      <c r="D209" s="116">
        <f t="shared" si="9"/>
        <v>91.917491754497931</v>
      </c>
      <c r="E209" s="116">
        <f t="shared" si="9"/>
        <v>98.374462350665425</v>
      </c>
      <c r="F209" s="116">
        <f t="shared" si="9"/>
        <v>80.131535169235917</v>
      </c>
      <c r="G209" s="116">
        <f t="shared" si="9"/>
        <v>87.685846951981858</v>
      </c>
      <c r="H209" s="116">
        <f t="shared" si="9"/>
        <v>86.956893440752168</v>
      </c>
      <c r="I209" s="116">
        <f t="shared" si="9"/>
        <v>94.142217812476076</v>
      </c>
      <c r="J209" s="116">
        <f t="shared" si="9"/>
        <v>79.376326638443331</v>
      </c>
      <c r="K209" s="116">
        <f t="shared" si="9"/>
        <v>27.421161360713985</v>
      </c>
    </row>
    <row r="210" spans="1:12" x14ac:dyDescent="0.2">
      <c r="C210" s="87" t="s">
        <v>163</v>
      </c>
      <c r="D210" s="47">
        <f t="shared" si="9"/>
        <v>79.776734757412058</v>
      </c>
      <c r="E210" s="47">
        <f t="shared" si="9"/>
        <v>86.25433571223094</v>
      </c>
      <c r="F210" s="47">
        <f t="shared" si="9"/>
        <v>94.051546478178381</v>
      </c>
      <c r="G210" s="47">
        <f t="shared" si="9"/>
        <v>60.699174561992564</v>
      </c>
      <c r="H210" s="47">
        <f t="shared" si="9"/>
        <v>75.340395786684795</v>
      </c>
      <c r="I210" s="47">
        <f t="shared" si="9"/>
        <v>80.106172322246167</v>
      </c>
      <c r="J210" s="47">
        <f t="shared" si="9"/>
        <v>85.832419365393136</v>
      </c>
      <c r="K210" s="47">
        <f t="shared" si="9"/>
        <v>16.313918538890505</v>
      </c>
    </row>
    <row r="211" spans="1:12" x14ac:dyDescent="0.2">
      <c r="C211" s="88" t="s">
        <v>150</v>
      </c>
      <c r="D211" s="116">
        <f t="shared" si="9"/>
        <v>83.878900094524298</v>
      </c>
      <c r="E211" s="116">
        <f t="shared" si="9"/>
        <v>85.829758353569034</v>
      </c>
      <c r="F211" s="116">
        <f t="shared" si="9"/>
        <v>90.508820546960749</v>
      </c>
      <c r="G211" s="116">
        <f t="shared" si="9"/>
        <v>86.230583030534163</v>
      </c>
      <c r="H211" s="116">
        <f t="shared" si="9"/>
        <v>81.809120836510843</v>
      </c>
      <c r="I211" s="116">
        <f t="shared" si="9"/>
        <v>72.091516033076402</v>
      </c>
      <c r="J211" s="116">
        <f t="shared" si="9"/>
        <v>94.080644068601558</v>
      </c>
      <c r="K211" s="116">
        <f t="shared" si="9"/>
        <v>27.077934153263815</v>
      </c>
    </row>
    <row r="212" spans="1:12" x14ac:dyDescent="0.2">
      <c r="C212" s="87" t="s">
        <v>151</v>
      </c>
      <c r="D212" s="47">
        <f t="shared" ref="D212:K213" si="10">+IFERROR(IF(D170&gt;0,+((D170/D44)*100)," "),"")</f>
        <v>99.56793011914543</v>
      </c>
      <c r="E212" s="47">
        <f t="shared" si="10"/>
        <v>98.639315522602161</v>
      </c>
      <c r="F212" s="47">
        <f t="shared" si="10"/>
        <v>99.258780807990931</v>
      </c>
      <c r="G212" s="47">
        <f t="shared" si="10"/>
        <v>99.698220975307194</v>
      </c>
      <c r="H212" s="47">
        <f t="shared" si="10"/>
        <v>99.404395731704881</v>
      </c>
      <c r="I212" s="47">
        <f t="shared" si="10"/>
        <v>99.522863946330332</v>
      </c>
      <c r="J212" s="47">
        <f t="shared" si="10"/>
        <v>99.767844425377646</v>
      </c>
      <c r="K212" s="47">
        <f t="shared" si="10"/>
        <v>29.095880172175153</v>
      </c>
    </row>
    <row r="213" spans="1:12" x14ac:dyDescent="0.2">
      <c r="C213" s="91" t="s">
        <v>179</v>
      </c>
      <c r="D213" s="64">
        <f t="shared" si="10"/>
        <v>94.404928151170893</v>
      </c>
      <c r="E213" s="64">
        <f t="shared" si="10"/>
        <v>84.157490334955526</v>
      </c>
      <c r="F213" s="64">
        <f t="shared" si="10"/>
        <v>94.087989696853711</v>
      </c>
      <c r="G213" s="64">
        <f t="shared" si="10"/>
        <v>89.117465327572603</v>
      </c>
      <c r="H213" s="64">
        <f t="shared" si="10"/>
        <v>90.5684816498663</v>
      </c>
      <c r="I213" s="64">
        <f t="shared" si="10"/>
        <v>89.766984100902135</v>
      </c>
      <c r="J213" s="64">
        <f t="shared" si="10"/>
        <v>91.827964977156725</v>
      </c>
      <c r="K213" s="64">
        <f t="shared" si="10"/>
        <v>25.162032801382956</v>
      </c>
    </row>
    <row r="214" spans="1:12" s="31" customFormat="1" x14ac:dyDescent="0.2">
      <c r="A214" s="5"/>
      <c r="B214" s="5"/>
      <c r="C214" s="72" t="str">
        <f>+'C1 Aprop Resumen 2000-2026'!B20</f>
        <v>* Información con corte a 30 de abril</v>
      </c>
      <c r="D214" s="47"/>
      <c r="E214" s="47"/>
      <c r="F214" s="47"/>
      <c r="G214" s="47"/>
      <c r="H214" s="47"/>
      <c r="I214" s="47"/>
    </row>
    <row r="215" spans="1:12" x14ac:dyDescent="0.2">
      <c r="C215" s="1" t="s">
        <v>52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customHeight="1" x14ac:dyDescent="0.2">
      <c r="D219" s="183" t="s">
        <v>192</v>
      </c>
      <c r="E219" s="178"/>
      <c r="F219" s="178"/>
      <c r="G219" s="178"/>
      <c r="H219" s="178"/>
      <c r="I219" s="178"/>
      <c r="J219" s="178"/>
      <c r="K219" s="178"/>
      <c r="L219" s="178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76" t="s">
        <v>120</v>
      </c>
      <c r="D221" s="153">
        <v>2019</v>
      </c>
      <c r="E221" s="153">
        <v>2020</v>
      </c>
      <c r="F221" s="153">
        <v>2021</v>
      </c>
      <c r="G221" s="153">
        <v>2022</v>
      </c>
      <c r="H221" s="153">
        <v>2023</v>
      </c>
      <c r="I221" s="153">
        <v>2024</v>
      </c>
      <c r="J221" s="153">
        <v>2025</v>
      </c>
      <c r="K221" s="153" t="s">
        <v>10</v>
      </c>
    </row>
    <row r="222" spans="1:12" ht="15.75" customHeight="1" thickBot="1" x14ac:dyDescent="0.25">
      <c r="C222" s="160"/>
      <c r="D222" s="154"/>
      <c r="E222" s="154"/>
      <c r="F222" s="154"/>
      <c r="G222" s="154"/>
      <c r="H222" s="154"/>
      <c r="I222" s="154"/>
      <c r="J222" s="154"/>
      <c r="K222" s="154"/>
    </row>
    <row r="223" spans="1:12" x14ac:dyDescent="0.2">
      <c r="C223" s="87" t="s">
        <v>123</v>
      </c>
      <c r="D223" s="42">
        <f>543.02381428038*Deflactores!$T$5</f>
        <v>842.73282811477372</v>
      </c>
      <c r="E223" s="42">
        <f>573.90733094228*Deflactores!$U$5</f>
        <v>876.54931951352694</v>
      </c>
      <c r="F223" s="42">
        <f>578.71635256596*Deflactores!$V$5</f>
        <v>836.86263141416657</v>
      </c>
      <c r="G223" s="42">
        <f>688.24175574509*Deflactores!$W$5</f>
        <v>879.81232744882732</v>
      </c>
      <c r="H223" s="42">
        <f>700.118345710039*Deflactores!$X$5</f>
        <v>818.99225840351903</v>
      </c>
      <c r="I223" s="42">
        <f>801.9228516142*Deflactores!$Y$5</f>
        <v>891.71318481332958</v>
      </c>
      <c r="J223" s="42">
        <f>759.43086650291*Deflactores!$Z$5</f>
        <v>803.47785676007879</v>
      </c>
      <c r="K223" s="42">
        <f>215.44932438363*Deflactores!$AA$5</f>
        <v>215.44932438363</v>
      </c>
    </row>
    <row r="224" spans="1:12" x14ac:dyDescent="0.2">
      <c r="C224" s="88" t="s">
        <v>124</v>
      </c>
      <c r="D224" s="50">
        <f>273.20362468812*Deflactores!$T$5</f>
        <v>423.99183466702948</v>
      </c>
      <c r="E224" s="50">
        <f>302.731953769969*Deflactores!$U$5</f>
        <v>462.37340728228997</v>
      </c>
      <c r="F224" s="50">
        <f>332.2837689024*Deflactores!$V$5</f>
        <v>480.50459951049191</v>
      </c>
      <c r="G224" s="50">
        <f>335.898079173469*Deflactores!$W$5</f>
        <v>429.39456717975884</v>
      </c>
      <c r="H224" s="50">
        <f>405.77709283487*Deflactores!$X$5</f>
        <v>474.6744599760591</v>
      </c>
      <c r="I224" s="50">
        <f>484.63381586385*Deflactores!$Y$5</f>
        <v>538.89767892547491</v>
      </c>
      <c r="J224" s="50">
        <f>669.63559896893*Deflactores!$Z$5</f>
        <v>708.47446370912803</v>
      </c>
      <c r="K224" s="50">
        <f>195.992189740279*Deflactores!$AA$5</f>
        <v>195.992189740279</v>
      </c>
    </row>
    <row r="225" spans="3:11" x14ac:dyDescent="0.2">
      <c r="C225" s="87" t="s">
        <v>125</v>
      </c>
      <c r="D225" s="42">
        <f>22.25149053408*Deflactores!$T$5</f>
        <v>34.532668834063486</v>
      </c>
      <c r="E225" s="42">
        <f>21.95107669705*Deflactores!$U$5</f>
        <v>33.526669383708523</v>
      </c>
      <c r="F225" s="42">
        <f>24.25307473745*Deflactores!$V$5</f>
        <v>35.071571512839753</v>
      </c>
      <c r="G225" s="42">
        <f>23.96039671316*Deflactores!$W$5</f>
        <v>30.629720186013174</v>
      </c>
      <c r="H225" s="42">
        <f>25.56892056175*Deflactores!$X$5</f>
        <v>29.910297486306163</v>
      </c>
      <c r="I225" s="42">
        <f>25.32357174979*Deflactores!$Y$5</f>
        <v>28.159021494897928</v>
      </c>
      <c r="J225" s="42">
        <f>23.99464129079*Deflactores!$Z$5</f>
        <v>25.386330485655822</v>
      </c>
      <c r="K225" s="42">
        <f>5.67418517321*Deflactores!$AA$5</f>
        <v>5.6741851732099997</v>
      </c>
    </row>
    <row r="226" spans="3:11" x14ac:dyDescent="0.2">
      <c r="C226" s="88" t="s">
        <v>126</v>
      </c>
      <c r="D226" s="50">
        <f>407.595871002729*Deflactores!$T$5</f>
        <v>632.55866881867087</v>
      </c>
      <c r="E226" s="50">
        <f>496.58345123833*Deflactores!$U$5</f>
        <v>758.44977541925584</v>
      </c>
      <c r="F226" s="50">
        <f>408.45891409809*Deflactores!$V$5</f>
        <v>590.65896472614486</v>
      </c>
      <c r="G226" s="50">
        <f>402.01373598692*Deflactores!$W$5</f>
        <v>513.91337095224446</v>
      </c>
      <c r="H226" s="50">
        <f>473.59726467977*Deflactores!$X$5</f>
        <v>554.00989811293312</v>
      </c>
      <c r="I226" s="50">
        <f>536.78853533416*Deflactores!$Y$5</f>
        <v>596.89209934671771</v>
      </c>
      <c r="J226" s="50">
        <f>619.484416939449*Deflactores!$Z$5</f>
        <v>655.41451312193715</v>
      </c>
      <c r="K226" s="50">
        <f>229.47260490051*Deflactores!$AA$5</f>
        <v>229.47260490050999</v>
      </c>
    </row>
    <row r="227" spans="3:11" x14ac:dyDescent="0.2">
      <c r="C227" s="87" t="s">
        <v>127</v>
      </c>
      <c r="D227" s="42">
        <f>534.54812548138*Deflactores!$T$5</f>
        <v>829.57918548628686</v>
      </c>
      <c r="E227" s="42">
        <f>574.04592685615*Deflactores!$U$5</f>
        <v>876.76100204037425</v>
      </c>
      <c r="F227" s="42">
        <f>619.06556045522*Deflactores!$V$5</f>
        <v>895.21029022830839</v>
      </c>
      <c r="G227" s="42">
        <f>722.3133069686*Deflactores!$W$5</f>
        <v>923.36761965758853</v>
      </c>
      <c r="H227" s="42">
        <f>853.21862736429*Deflactores!$X$5</f>
        <v>998.08761592777478</v>
      </c>
      <c r="I227" s="42">
        <f>956.774522803159*Deflactores!$Y$5</f>
        <v>1063.903410608272</v>
      </c>
      <c r="J227" s="42">
        <f>1096.79041804132*Deflactores!$Z$5</f>
        <v>1160.4042622877166</v>
      </c>
      <c r="K227" s="42">
        <f>375.10895354457*Deflactores!$AA$5</f>
        <v>375.10895354457</v>
      </c>
    </row>
    <row r="228" spans="3:11" x14ac:dyDescent="0.2">
      <c r="C228" s="88" t="s">
        <v>128</v>
      </c>
      <c r="D228" s="50">
        <f>227.118611884309*Deflactores!$T$5</f>
        <v>352.47130066369334</v>
      </c>
      <c r="E228" s="50">
        <f>225.727638707829*Deflactores!$U$5</f>
        <v>344.76194576549574</v>
      </c>
      <c r="F228" s="50">
        <f>197.036787482599*Deflactores!$V$5</f>
        <v>284.92840011685661</v>
      </c>
      <c r="G228" s="50">
        <f>178.20416570913*Deflactores!$W$5</f>
        <v>227.80690140470992</v>
      </c>
      <c r="H228" s="50">
        <f>270.56885585278*Deflactores!$X$5</f>
        <v>316.50905831326378</v>
      </c>
      <c r="I228" s="50">
        <f>300.46375677697*Deflactores!$Y$5</f>
        <v>334.10632074800606</v>
      </c>
      <c r="J228" s="50">
        <f>306.28600848734*Deflactores!$Z$5</f>
        <v>324.0505969796057</v>
      </c>
      <c r="K228" s="50">
        <f>141.99357576381*Deflactores!$AA$5</f>
        <v>141.99357576380999</v>
      </c>
    </row>
    <row r="229" spans="3:11" x14ac:dyDescent="0.2">
      <c r="C229" s="87" t="s">
        <v>129</v>
      </c>
      <c r="D229" s="42">
        <f>29514.9401043617*Deflactores!$T$5</f>
        <v>45805.005768944204</v>
      </c>
      <c r="E229" s="42">
        <f>31409.7792232463*Deflactores!$U$5</f>
        <v>47973.286138377764</v>
      </c>
      <c r="F229" s="42">
        <f>33266.4461325916*Deflactores!$V$5</f>
        <v>48105.51062689245</v>
      </c>
      <c r="G229" s="42">
        <f>36300.5069287367*Deflactores!$W$5</f>
        <v>46404.672808566313</v>
      </c>
      <c r="H229" s="42">
        <f>41510.2082578213*Deflactores!$X$5</f>
        <v>48558.275063332621</v>
      </c>
      <c r="I229" s="42">
        <f>46451.8398199497*Deflactores!$Y$5</f>
        <v>51652.996223898248</v>
      </c>
      <c r="J229" s="42">
        <f>51917.9186460419*Deflactores!$Z$5</f>
        <v>54929.157927512337</v>
      </c>
      <c r="K229" s="42">
        <f>16304.4897517174*Deflactores!$AA$5</f>
        <v>16304.489751717399</v>
      </c>
    </row>
    <row r="230" spans="3:11" x14ac:dyDescent="0.2">
      <c r="C230" s="88" t="s">
        <v>130</v>
      </c>
      <c r="D230" s="50">
        <f>35.19635672401*Deflactores!$T$5</f>
        <v>54.622144483052871</v>
      </c>
      <c r="E230" s="50">
        <f>37.52763321301*Deflactores!$U$5</f>
        <v>57.317304697621125</v>
      </c>
      <c r="F230" s="50">
        <f>35.65260900663*Deflactores!$V$5</f>
        <v>51.556062063527328</v>
      </c>
      <c r="G230" s="50">
        <f>48.6718256948099*Deflactores!$W$5</f>
        <v>62.219520812676045</v>
      </c>
      <c r="H230" s="50">
        <f>47.58309044185*Deflactores!$X$5</f>
        <v>55.662279015510215</v>
      </c>
      <c r="I230" s="50">
        <f>60.11913009778*Deflactores!$Y$5</f>
        <v>66.850596487914103</v>
      </c>
      <c r="J230" s="50">
        <f>44.59167876021*Deflactores!$Z$5</f>
        <v>47.177996128302183</v>
      </c>
      <c r="K230" s="50">
        <f>13.6639971899099*Deflactores!$AA$5</f>
        <v>13.6639971899099</v>
      </c>
    </row>
    <row r="231" spans="3:11" x14ac:dyDescent="0.2">
      <c r="C231" s="87" t="s">
        <v>131</v>
      </c>
      <c r="D231" s="42">
        <f>37361.7204136128*Deflactores!$T$5</f>
        <v>57982.628900212876</v>
      </c>
      <c r="E231" s="42">
        <f>40589.7107278951*Deflactores!$U$5</f>
        <v>61994.125879820225</v>
      </c>
      <c r="F231" s="42">
        <f>43190.8427739365*Deflactores!$V$5</f>
        <v>62456.85330392039</v>
      </c>
      <c r="G231" s="42">
        <f>44157.9556841809*Deflactores!$W$5</f>
        <v>56449.225060199402</v>
      </c>
      <c r="H231" s="42">
        <f>51103.8900502773*Deflactores!$X$5</f>
        <v>59780.879306962001</v>
      </c>
      <c r="I231" s="42">
        <f>61803.528248381*Deflactores!$Y$5</f>
        <v>68723.594665161087</v>
      </c>
      <c r="J231" s="42">
        <f>71874.203741382*Deflactores!$Z$5</f>
        <v>76042.907558382169</v>
      </c>
      <c r="K231" s="42">
        <f>24312.7793408589*Deflactores!$AA$5</f>
        <v>24312.779340858899</v>
      </c>
    </row>
    <row r="232" spans="3:11" x14ac:dyDescent="0.2">
      <c r="C232" s="88" t="s">
        <v>132</v>
      </c>
      <c r="D232" s="50">
        <f>22.44254516431*Deflactores!$T$5</f>
        <v>34.829171500473286</v>
      </c>
      <c r="E232" s="50">
        <f>23.14621624126*Deflactores!$U$5</f>
        <v>35.35204901857216</v>
      </c>
      <c r="F232" s="50">
        <f>29.9345987850299*Deflactores!$V$5</f>
        <v>43.287436061714175</v>
      </c>
      <c r="G232" s="50">
        <f>31.83422796036*Deflactores!$W$5</f>
        <v>40.695214959777132</v>
      </c>
      <c r="H232" s="50">
        <f>34.64410383365*Deflactores!$X$5</f>
        <v>40.526366739199965</v>
      </c>
      <c r="I232" s="50">
        <f>38.9439444095*Deflactores!$Y$5</f>
        <v>43.304450831755773</v>
      </c>
      <c r="J232" s="50">
        <f>41.86871894285*Deflactores!$Z$5</f>
        <v>44.297104641535306</v>
      </c>
      <c r="K232" s="50">
        <f>13.5607696662199*Deflactores!$AA$5</f>
        <v>13.560769666219899</v>
      </c>
    </row>
    <row r="233" spans="3:11" x14ac:dyDescent="0.2">
      <c r="C233" s="87" t="s">
        <v>133</v>
      </c>
      <c r="D233" s="42">
        <f>3520.08104222168*Deflactores!$T$5</f>
        <v>5462.9056293523572</v>
      </c>
      <c r="E233" s="42">
        <f>3641.55223334158*Deflactores!$U$5</f>
        <v>5561.8737730143366</v>
      </c>
      <c r="F233" s="42">
        <f>3956.58486274052*Deflactores!$V$5</f>
        <v>5721.4868820716465</v>
      </c>
      <c r="G233" s="42">
        <f>4334.3365460785*Deflactores!$W$5</f>
        <v>5540.7895448358104</v>
      </c>
      <c r="H233" s="42">
        <f>4963.60928468713*Deflactores!$X$5</f>
        <v>5806.3863099828177</v>
      </c>
      <c r="I233" s="42">
        <f>5385.85522312093*Deflactores!$Y$5</f>
        <v>5988.902927863176</v>
      </c>
      <c r="J233" s="42">
        <f>6087.8641653111*Deflactores!$Z$5</f>
        <v>6440.9602868991442</v>
      </c>
      <c r="K233" s="42">
        <f>1741.92729569144*Deflactores!$AA$5</f>
        <v>1741.9272956914399</v>
      </c>
    </row>
    <row r="234" spans="3:11" x14ac:dyDescent="0.2">
      <c r="C234" s="88" t="s">
        <v>134</v>
      </c>
      <c r="D234" s="50">
        <f>7755.31104425492*Deflactores!$T$5</f>
        <v>12035.669591941923</v>
      </c>
      <c r="E234" s="50">
        <f>16131.394278164*Deflactores!$U$5</f>
        <v>24638.058994843479</v>
      </c>
      <c r="F234" s="50">
        <f>17660.0754668316*Deflactores!$V$5</f>
        <v>25537.652704328921</v>
      </c>
      <c r="G234" s="50">
        <f>12838.0795146601*Deflactores!$W$5</f>
        <v>16411.530575528865</v>
      </c>
      <c r="H234" s="50">
        <f>32685.3952169124*Deflactores!$X$5</f>
        <v>38235.08669575322</v>
      </c>
      <c r="I234" s="50">
        <f>21569.510934969*Deflactores!$Y$5</f>
        <v>23984.623024485667</v>
      </c>
      <c r="J234" s="50">
        <f>16204.079209475*Deflactores!$Z$5</f>
        <v>17143.91580362455</v>
      </c>
      <c r="K234" s="50">
        <f>4278.5052639895*Deflactores!$AA$5</f>
        <v>4278.5052639895002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2.4890546188881464</v>
      </c>
      <c r="I235" s="42">
        <f>66.79394174573*Deflactores!$Y$5</f>
        <v>74.272778734799459</v>
      </c>
      <c r="J235" s="42">
        <f>103.4797454119*Deflactores!$Z$5</f>
        <v>109.4815706457902</v>
      </c>
      <c r="K235" s="42">
        <f>31.8557711332*Deflactores!$AA$5</f>
        <v>31.855771133200001</v>
      </c>
    </row>
    <row r="236" spans="3:11" x14ac:dyDescent="0.2">
      <c r="C236" s="88" t="s">
        <v>136</v>
      </c>
      <c r="D236" s="50">
        <f>819.86160529885*Deflactores!$T$5</f>
        <v>1272.3646203469682</v>
      </c>
      <c r="E236" s="50">
        <f>6777.80608878861*Deflactores!$U$5</f>
        <v>10351.987149506916</v>
      </c>
      <c r="F236" s="50">
        <f>8565.83834604156*Deflactores!$V$5</f>
        <v>12386.77633136292</v>
      </c>
      <c r="G236" s="50">
        <f>891.87539829558*Deflactores!$W$5</f>
        <v>1140.1269443747813</v>
      </c>
      <c r="H236" s="50">
        <f>1146.64449478443*Deflactores!$X$5</f>
        <v>1341.3346045332701</v>
      </c>
      <c r="I236" s="50">
        <f>1088.61545742351*Deflactores!$Y$5</f>
        <v>1210.5064154514841</v>
      </c>
      <c r="J236" s="50">
        <f>1108.92199015125*Deflactores!$Z$5</f>
        <v>1173.2394655800224</v>
      </c>
      <c r="K236" s="50">
        <f>162.026458197229*Deflactores!$AA$5</f>
        <v>162.026458197229</v>
      </c>
    </row>
    <row r="237" spans="3:11" x14ac:dyDescent="0.2">
      <c r="C237" s="87" t="s">
        <v>137</v>
      </c>
      <c r="D237" s="42">
        <f>138.80745074279*Deflactores!$T$5</f>
        <v>215.41890512277686</v>
      </c>
      <c r="E237" s="42">
        <f>142.60560799962*Deflactores!$U$5</f>
        <v>217.8066769867616</v>
      </c>
      <c r="F237" s="42">
        <f>146.11112293388*Deflactores!$V$5</f>
        <v>211.28647613839308</v>
      </c>
      <c r="G237" s="42">
        <f>166.55224488763*Deflactores!$W$5</f>
        <v>212.91169417318252</v>
      </c>
      <c r="H237" s="42">
        <f>202.93134764895*Deflactores!$X$5</f>
        <v>237.38729849069873</v>
      </c>
      <c r="I237" s="42">
        <f>225.93222187271*Deflactores!$Y$5</f>
        <v>251.22957989354117</v>
      </c>
      <c r="J237" s="42">
        <f>248.320785337949*Deflactores!$Z$5</f>
        <v>262.72339088755007</v>
      </c>
      <c r="K237" s="42">
        <f>78.53833271939*Deflactores!$AA$5</f>
        <v>78.538332719389999</v>
      </c>
    </row>
    <row r="238" spans="3:11" x14ac:dyDescent="0.2">
      <c r="C238" s="88" t="s">
        <v>138</v>
      </c>
      <c r="D238" s="50">
        <f>86.1550347765099*Deflactores!$T$5</f>
        <v>133.70624676885041</v>
      </c>
      <c r="E238" s="50">
        <f>90.77501368117*Deflactores!$U$5</f>
        <v>138.64394507806554</v>
      </c>
      <c r="F238" s="50">
        <f>103.43565574278*Deflactores!$V$5</f>
        <v>149.57489046775598</v>
      </c>
      <c r="G238" s="50">
        <f>97.92361061966*Deflactores!$W$5</f>
        <v>125.18043122536946</v>
      </c>
      <c r="H238" s="50">
        <f>101.14452172284*Deflactores!$X$5</f>
        <v>118.31796835279634</v>
      </c>
      <c r="I238" s="50">
        <f>121.15914611053*Deflactores!$Y$5</f>
        <v>134.72518937452753</v>
      </c>
      <c r="J238" s="50">
        <f>135.22252019535*Deflactores!$Z$5</f>
        <v>143.0654263666803</v>
      </c>
      <c r="K238" s="50">
        <f>38.5321057157*Deflactores!$AA$5</f>
        <v>38.532105715699998</v>
      </c>
    </row>
    <row r="239" spans="3:11" x14ac:dyDescent="0.2">
      <c r="C239" s="87" t="s">
        <v>160</v>
      </c>
      <c r="D239" s="42">
        <f>1041.62321457086*Deflactores!$T$5</f>
        <v>1616.5222488604566</v>
      </c>
      <c r="E239" s="42">
        <f>1259.10179664692*Deflactores!$U$5</f>
        <v>1923.0714847936254</v>
      </c>
      <c r="F239" s="42">
        <f>1414.50821090615*Deflactores!$V$5</f>
        <v>2045.4736733932984</v>
      </c>
      <c r="G239" s="42">
        <f>1571.53993947265*Deflactores!$W$5</f>
        <v>2008.9746085361451</v>
      </c>
      <c r="H239" s="42">
        <f>1953.77696586819*Deflactores!$X$5</f>
        <v>2285.511041808742</v>
      </c>
      <c r="I239" s="42">
        <f>2486.1018910568*Deflactores!$Y$5</f>
        <v>2764.4677172901315</v>
      </c>
      <c r="J239" s="42">
        <f>3086.9264336193*Deflactores!$Z$5</f>
        <v>3265.9681667692198</v>
      </c>
      <c r="K239" s="42">
        <f>864.05403068524*Deflactores!$AA$5</f>
        <v>864.05403068524004</v>
      </c>
    </row>
    <row r="240" spans="3:11" x14ac:dyDescent="0.2">
      <c r="C240" s="88" t="s">
        <v>161</v>
      </c>
      <c r="D240" s="50">
        <f>1674.81882704189*Deflactores!$T$5</f>
        <v>2599.1950437078217</v>
      </c>
      <c r="E240" s="50">
        <f>1862.46619374027*Deflactores!$U$5</f>
        <v>2844.6116414989187</v>
      </c>
      <c r="F240" s="50">
        <f>1862.81914666019*Deflactores!$V$5</f>
        <v>2693.7613323187688</v>
      </c>
      <c r="G240" s="50">
        <f>2098.01764157386*Deflactores!$W$5</f>
        <v>2681.9962155063795</v>
      </c>
      <c r="H240" s="50">
        <f>2461.43018830802*Deflactores!$X$5</f>
        <v>2879.3592985776245</v>
      </c>
      <c r="I240" s="50">
        <f>2974.38249550476*Deflactores!$Y$5</f>
        <v>3307.4205113131893</v>
      </c>
      <c r="J240" s="50">
        <f>3304.02150133778*Deflactores!$Z$5</f>
        <v>3495.6547484153716</v>
      </c>
      <c r="K240" s="50">
        <f>974.228872855109*Deflactores!$AA$5</f>
        <v>974.22887285510899</v>
      </c>
    </row>
    <row r="241" spans="1:11" x14ac:dyDescent="0.2">
      <c r="C241" s="87" t="s">
        <v>140</v>
      </c>
      <c r="D241" s="42">
        <f>169.309340192769*Deflactores!$T$5</f>
        <v>262.75558333658489</v>
      </c>
      <c r="E241" s="42">
        <f>194.591300737639*Deflactores!$U$5</f>
        <v>297.20629629312799</v>
      </c>
      <c r="F241" s="42">
        <f>204.8845824458*Deflactores!$V$5</f>
        <v>296.27683759332257</v>
      </c>
      <c r="G241" s="42">
        <f>275.09148683978*Deflactores!$W$5</f>
        <v>351.6625942519936</v>
      </c>
      <c r="H241" s="42">
        <f>266.4704148511*Deflactores!$X$5</f>
        <v>311.71473822085807</v>
      </c>
      <c r="I241" s="42">
        <f>270.57342965147*Deflactores!$Y$5</f>
        <v>300.86920979332939</v>
      </c>
      <c r="J241" s="42">
        <f>265.82032903053*Deflactores!$Z$5</f>
        <v>281.23790811430075</v>
      </c>
      <c r="K241" s="42">
        <f>135.18323439544*Deflactores!$AA$5</f>
        <v>135.18323439544</v>
      </c>
    </row>
    <row r="242" spans="1:11" x14ac:dyDescent="0.2">
      <c r="C242" s="88" t="s">
        <v>141</v>
      </c>
      <c r="D242" s="50">
        <f>1584.79290225124*Deflactores!$T$5</f>
        <v>2459.4814617113984</v>
      </c>
      <c r="E242" s="50">
        <f>1750.98694379723*Deflactores!$U$5</f>
        <v>2674.345371303325</v>
      </c>
      <c r="F242" s="50">
        <f>2155.1801494663*Deflactores!$V$5</f>
        <v>3116.5349364279073</v>
      </c>
      <c r="G242" s="50">
        <f>2483.0236027618*Deflactores!$W$5</f>
        <v>3174.1677351313724</v>
      </c>
      <c r="H242" s="50">
        <f>2942.38224379191*Deflactores!$X$5</f>
        <v>3441.9727660265999</v>
      </c>
      <c r="I242" s="50">
        <f>3371.05082261323*Deflactores!$Y$5</f>
        <v>3748.5033119447885</v>
      </c>
      <c r="J242" s="50">
        <f>3598.75622591072*Deflactores!$Z$5</f>
        <v>3807.4840870135417</v>
      </c>
      <c r="K242" s="50">
        <f>1040.54015663615*Deflactores!$AA$5</f>
        <v>1040.54015663615</v>
      </c>
    </row>
    <row r="243" spans="1:11" x14ac:dyDescent="0.2">
      <c r="C243" s="87" t="s">
        <v>142</v>
      </c>
      <c r="D243" s="42">
        <f>78.25621735736*Deflactores!$T$5</f>
        <v>121.44786588877093</v>
      </c>
      <c r="E243" s="42">
        <f>79.4729415690399*Deflactores!$U$5</f>
        <v>121.38188361822193</v>
      </c>
      <c r="F243" s="42">
        <f>224.56627628847*Deflactores!$V$5</f>
        <v>324.73788595809555</v>
      </c>
      <c r="G243" s="42">
        <f>405.2790715029*Deflactores!$W$5</f>
        <v>518.08760539273624</v>
      </c>
      <c r="H243" s="42">
        <f>222.29599933127*Deflactores!$X$5</f>
        <v>260.03989702875947</v>
      </c>
      <c r="I243" s="42">
        <f>246.29604005652*Deflactores!$Y$5</f>
        <v>273.8735102056566</v>
      </c>
      <c r="J243" s="42">
        <f>237.280160702169*Deflactores!$Z$5</f>
        <v>251.04241002289484</v>
      </c>
      <c r="K243" s="42">
        <f>130.55029244288*Deflactores!$AA$5</f>
        <v>130.55029244287999</v>
      </c>
    </row>
    <row r="244" spans="1:11" x14ac:dyDescent="0.2">
      <c r="C244" s="88" t="s">
        <v>143</v>
      </c>
      <c r="D244" s="50">
        <f>567.97958582633*Deflactores!$T$5</f>
        <v>881.46234122199394</v>
      </c>
      <c r="E244" s="50">
        <f>1729.4800182068*Deflactores!$U$5</f>
        <v>2641.4970698882394</v>
      </c>
      <c r="F244" s="50">
        <f>3585.52211482809*Deflactores!$V$5</f>
        <v>5184.9052799432102</v>
      </c>
      <c r="G244" s="50">
        <f>914.481658240059*Deflactores!$W$5</f>
        <v>1169.0256068151809</v>
      </c>
      <c r="H244" s="50">
        <f>726.76705567876*Deflactores!$X$5</f>
        <v>850.16568400299946</v>
      </c>
      <c r="I244" s="50">
        <f>712.29303404206*Deflactores!$Y$5</f>
        <v>792.04762481511955</v>
      </c>
      <c r="J244" s="50">
        <f>1328.96235205607*Deflactores!$Z$5</f>
        <v>1406.0421684753221</v>
      </c>
      <c r="K244" s="50">
        <f>217.6229485716*Deflactores!$AA$5</f>
        <v>217.62294857160001</v>
      </c>
    </row>
    <row r="245" spans="1:11" x14ac:dyDescent="0.2">
      <c r="C245" s="87" t="s">
        <v>144</v>
      </c>
      <c r="D245" s="42">
        <f>4146.96161893015*Deflactores!$T$5</f>
        <v>6435.777955402823</v>
      </c>
      <c r="E245" s="42">
        <f>4303.76763789497*Deflactores!$U$5</f>
        <v>6573.2991912601756</v>
      </c>
      <c r="F245" s="42">
        <f>4651.07505393403*Deflactores!$V$5</f>
        <v>6725.7662433106843</v>
      </c>
      <c r="G245" s="42">
        <f>5148.81283218463*Deflactores!$W$5</f>
        <v>6581.9735051945299</v>
      </c>
      <c r="H245" s="42">
        <f>6254.43319146432*Deflactores!$X$5</f>
        <v>7316.3807174862377</v>
      </c>
      <c r="I245" s="42">
        <f>7643.24711338602*Deflactores!$Y$5</f>
        <v>8499.0522617899787</v>
      </c>
      <c r="J245" s="42">
        <f>8727.96979723988*Deflactores!$Z$5</f>
        <v>9234.1920454797946</v>
      </c>
      <c r="K245" s="42">
        <f>2380.66517537243*Deflactores!$AA$5</f>
        <v>2380.66517537243</v>
      </c>
    </row>
    <row r="246" spans="1:11" x14ac:dyDescent="0.2">
      <c r="C246" s="88" t="s">
        <v>145</v>
      </c>
      <c r="D246" s="50">
        <f>1287.83655648011*Deflactores!$T$5</f>
        <v>1998.6271593453537</v>
      </c>
      <c r="E246" s="50">
        <f>490.6920827208*Deflactores!$U$5</f>
        <v>749.45167627219394</v>
      </c>
      <c r="F246" s="50">
        <f>1099.57400858292*Deflactores!$V$5</f>
        <v>1590.057709925253</v>
      </c>
      <c r="G246" s="50">
        <f>2869.98121737141*Deflactores!$W$5</f>
        <v>3668.8341465948215</v>
      </c>
      <c r="H246" s="50">
        <f>2418.80339096578*Deflactores!$X$5</f>
        <v>2829.4948474633998</v>
      </c>
      <c r="I246" s="50">
        <f>725.02362097556*Deflactores!$Y$5</f>
        <v>806.20364019261331</v>
      </c>
      <c r="J246" s="50">
        <f>1988.76825603714*Deflactores!$Z$5</f>
        <v>2104.1168148872944</v>
      </c>
      <c r="K246" s="50">
        <f>639.46743717616*Deflactores!$AA$5</f>
        <v>639.46743717616005</v>
      </c>
    </row>
    <row r="247" spans="1:11" x14ac:dyDescent="0.2">
      <c r="C247" s="87" t="s">
        <v>146</v>
      </c>
      <c r="D247" s="42">
        <f>652.834399596117*Deflactores!$T$5</f>
        <v>1013.150741079983</v>
      </c>
      <c r="E247" s="42">
        <f>696.99038734988*Deflactores!$U$5</f>
        <v>1064.5385009038193</v>
      </c>
      <c r="F247" s="42">
        <f>796.054412517849*Deflactores!$V$5</f>
        <v>1151.1480321140843</v>
      </c>
      <c r="G247" s="42">
        <f>1069.72694034281*Deflactores!$W$5</f>
        <v>1367.4830701005965</v>
      </c>
      <c r="H247" s="42">
        <f>1098.84329694931*Deflactores!$X$5</f>
        <v>1285.4171854151139</v>
      </c>
      <c r="I247" s="42">
        <f>1080.01866595528*Deflactores!$Y$5</f>
        <v>1200.9470516250503</v>
      </c>
      <c r="J247" s="42">
        <f>1176.02797004011*Deflactores!$Z$5</f>
        <v>1244.2375923024365</v>
      </c>
      <c r="K247" s="42">
        <f>365.40744086109*Deflactores!$AA$5</f>
        <v>365.40744086108998</v>
      </c>
    </row>
    <row r="248" spans="1:11" x14ac:dyDescent="0.2">
      <c r="C248" s="88" t="s">
        <v>162</v>
      </c>
      <c r="D248" s="50">
        <f>28341.6754276778*Deflactores!$T$5</f>
        <v>43984.18569971891</v>
      </c>
      <c r="E248" s="50">
        <f>33399.0700136068*Deflactores!$U$5</f>
        <v>51011.601550278974</v>
      </c>
      <c r="F248" s="50">
        <f>42198.0584531454*Deflactores!$V$5</f>
        <v>61021.22063959323</v>
      </c>
      <c r="G248" s="50">
        <f>40740.220013897*Deflactores!$W$5</f>
        <v>52080.170219256172</v>
      </c>
      <c r="H248" s="50">
        <f>48138.2387114923*Deflactores!$X$5</f>
        <v>56311.686559090653</v>
      </c>
      <c r="I248" s="50">
        <f>56315.7278521713*Deflactores!$Y$5</f>
        <v>62621.33188629934</v>
      </c>
      <c r="J248" s="50">
        <f>62785.0842960598*Deflactores!$Z$5</f>
        <v>66426.619185231277</v>
      </c>
      <c r="K248" s="50">
        <f>22947.7757895895*Deflactores!$AA$5</f>
        <v>22947.775789589501</v>
      </c>
    </row>
    <row r="249" spans="1:11" x14ac:dyDescent="0.2">
      <c r="C249" s="87" t="s">
        <v>148</v>
      </c>
      <c r="D249" s="42">
        <f>259.78888794685*Deflactores!$T$5</f>
        <v>403.17315464768791</v>
      </c>
      <c r="E249" s="42">
        <f>312.25130553392*Deflactores!$U$5</f>
        <v>476.91265580034099</v>
      </c>
      <c r="F249" s="42">
        <f>356.32473052329*Deflactores!$V$5</f>
        <v>515.26944124095235</v>
      </c>
      <c r="G249" s="42">
        <f>357.949919800099*Deflactores!$W$5</f>
        <v>457.58448891044765</v>
      </c>
      <c r="H249" s="42">
        <f>437.92387793794*Deflactores!$X$5</f>
        <v>512.27948531684615</v>
      </c>
      <c r="I249" s="42">
        <f>573.84912724069*Deflactores!$Y$5</f>
        <v>638.10232097030348</v>
      </c>
      <c r="J249" s="42">
        <f>640.88192650466*Deflactores!$Z$5</f>
        <v>678.05307824193028</v>
      </c>
      <c r="K249" s="42">
        <f>201.01527105767*Deflactores!$AA$5</f>
        <v>201.01527105766999</v>
      </c>
    </row>
    <row r="250" spans="1:11" x14ac:dyDescent="0.2">
      <c r="C250" s="88" t="s">
        <v>149</v>
      </c>
      <c r="D250" s="50">
        <f>63.06941549048*Deflactores!$T$5</f>
        <v>97.879071757237156</v>
      </c>
      <c r="E250" s="50">
        <f>53.49254585887*Deflactores!$U$5</f>
        <v>81.701090304341164</v>
      </c>
      <c r="F250" s="50">
        <f>65.41212541591*Deflactores!$V$5</f>
        <v>94.590317275876075</v>
      </c>
      <c r="G250" s="50">
        <f>92.25661037743*Deflactores!$W$5</f>
        <v>117.93603398973281</v>
      </c>
      <c r="H250" s="50">
        <f>92.48053646739*Deflactores!$X$5</f>
        <v>108.18291490845401</v>
      </c>
      <c r="I250" s="50">
        <f>112.836237690289*Deflactores!$Y$5</f>
        <v>125.47037495019275</v>
      </c>
      <c r="J250" s="50">
        <f>98.57549336688*Deflactores!$Z$5</f>
        <v>104.29287198215904</v>
      </c>
      <c r="K250" s="50">
        <f>28.98124929158*Deflactores!$AA$5</f>
        <v>28.981249291579999</v>
      </c>
    </row>
    <row r="251" spans="1:11" x14ac:dyDescent="0.2">
      <c r="C251" s="87" t="s">
        <v>163</v>
      </c>
      <c r="D251" s="42">
        <f>18168.7878332584*Deflactores!$T$5</f>
        <v>28196.615970572111</v>
      </c>
      <c r="E251" s="42">
        <f>22897.2988142007*Deflactores!$U$5</f>
        <v>34971.868474536161</v>
      </c>
      <c r="F251" s="42">
        <f>22240.3032253927*Deflactores!$V$5</f>
        <v>32160.969010340472</v>
      </c>
      <c r="G251" s="42">
        <f>18304.6048790854*Deflactores!$W$5</f>
        <v>23399.6511941715</v>
      </c>
      <c r="H251" s="42">
        <f>22204.3720395238*Deflactores!$X$5</f>
        <v>25974.478335714313</v>
      </c>
      <c r="I251" s="42">
        <f>27544.2476624817*Deflactores!$Y$5</f>
        <v>30628.34380758497</v>
      </c>
      <c r="J251" s="42">
        <f>38669.9668552806*Deflactores!$Z$5</f>
        <v>40912.824932886877</v>
      </c>
      <c r="K251" s="42">
        <f>8132.41204642581*Deflactores!$AA$5</f>
        <v>8132.4120464258103</v>
      </c>
    </row>
    <row r="252" spans="1:11" x14ac:dyDescent="0.2">
      <c r="C252" s="88" t="s">
        <v>150</v>
      </c>
      <c r="D252" s="50">
        <f>147.78395671095*Deflactores!$T$5</f>
        <v>229.34977898539293</v>
      </c>
      <c r="E252" s="50">
        <f>147.04389850981*Deflactores!$U$5</f>
        <v>224.58543780189686</v>
      </c>
      <c r="F252" s="50">
        <f>289.38977432158*Deflactores!$V$5</f>
        <v>418.47700858860122</v>
      </c>
      <c r="G252" s="50">
        <f>327.63152807985*Deflactores!$W$5</f>
        <v>418.82703985823235</v>
      </c>
      <c r="H252" s="50">
        <f>406.40736745863*Deflactores!$X$5</f>
        <v>475.41174966528172</v>
      </c>
      <c r="I252" s="50">
        <f>386.930936752799*Deflactores!$Y$5</f>
        <v>430.25512643781826</v>
      </c>
      <c r="J252" s="50">
        <f>449.876488610739*Deflactores!$Z$5</f>
        <v>475.96932495016188</v>
      </c>
      <c r="K252" s="50">
        <f>144.699984369239*Deflactores!$AA$5</f>
        <v>144.69998436923899</v>
      </c>
    </row>
    <row r="253" spans="1:11" x14ac:dyDescent="0.2">
      <c r="C253" s="87" t="s">
        <v>151</v>
      </c>
      <c r="D253" s="42">
        <f>2184.34873721739*Deflactores!$T$5</f>
        <v>3389.9478079863225</v>
      </c>
      <c r="E253" s="42">
        <f>2334.07401490468*Deflactores!$U$5</f>
        <v>3564.9152383186229</v>
      </c>
      <c r="F253" s="42">
        <f>2718.89761447776*Deflactores!$V$5</f>
        <v>3931.7081712119452</v>
      </c>
      <c r="G253" s="42">
        <f>2645.99908813304*Deflactores!$W$5</f>
        <v>3382.5070866813835</v>
      </c>
      <c r="H253" s="42">
        <f>2922.82673025365*Deflactores!$X$5</f>
        <v>3419.0968989748699</v>
      </c>
      <c r="I253" s="42">
        <f>3756.1458252721*Deflactores!$Y$5</f>
        <v>4176.7169369654694</v>
      </c>
      <c r="J253" s="42">
        <f>4331.82240967672*Deflactores!$Z$5</f>
        <v>4583.0681094379697</v>
      </c>
      <c r="K253" s="42">
        <f>1367.10457754549*Deflactores!$AA$5</f>
        <v>1367.10457754549</v>
      </c>
    </row>
    <row r="254" spans="1:11" x14ac:dyDescent="0.2">
      <c r="C254" s="79" t="s">
        <v>179</v>
      </c>
      <c r="D254" s="44">
        <f t="shared" ref="D254:K254" si="11">+SUM(D223:D253)</f>
        <v>219802.58934948087</v>
      </c>
      <c r="E254" s="44">
        <f t="shared" si="11"/>
        <v>263541.86159362044</v>
      </c>
      <c r="F254" s="44">
        <f t="shared" si="11"/>
        <v>279058.11769005226</v>
      </c>
      <c r="G254" s="44">
        <f t="shared" si="11"/>
        <v>230771.15745189655</v>
      </c>
      <c r="H254" s="44">
        <f t="shared" si="11"/>
        <v>265629.72065570159</v>
      </c>
      <c r="I254" s="44">
        <f t="shared" si="11"/>
        <v>275898.28286029678</v>
      </c>
      <c r="J254" s="44">
        <f t="shared" si="11"/>
        <v>298284.93799822289</v>
      </c>
      <c r="K254" s="44">
        <f t="shared" si="11"/>
        <v>87709.278427660276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abril</v>
      </c>
      <c r="D255" s="121">
        <f>+D254-'C6 Ejec. Nac 19-26'!D112</f>
        <v>2.6193447411060333E-10</v>
      </c>
      <c r="E255" s="121">
        <f>+E254-'C6 Ejec. Nac 19-26'!E112</f>
        <v>1.3969838619232178E-9</v>
      </c>
      <c r="F255" s="121">
        <f>+F254-'C6 Ejec. Nac 19-26'!F112</f>
        <v>0</v>
      </c>
      <c r="G255" s="121">
        <f>+G254-'C6 Ejec. Nac 19-26'!G112</f>
        <v>0</v>
      </c>
      <c r="H255" s="121">
        <f>+H254-'C6 Ejec. Nac 19-26'!H112</f>
        <v>9.3132257461547852E-10</v>
      </c>
      <c r="I255" s="121">
        <f>+I254-'C6 Ejec. Nac 19-26'!I112</f>
        <v>0</v>
      </c>
      <c r="J255" s="121">
        <f>+J254-'C6 Ejec. Nac 19-26'!J112</f>
        <v>0</v>
      </c>
      <c r="K255" s="121">
        <f>+K254-'C6 Ejec. Nac 19-26'!K112</f>
        <v>0</v>
      </c>
    </row>
    <row r="256" spans="1:11" x14ac:dyDescent="0.2">
      <c r="C256" s="1" t="s">
        <v>52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customHeight="1" x14ac:dyDescent="0.2">
      <c r="D260" s="155" t="s">
        <v>193</v>
      </c>
      <c r="E260" s="178"/>
      <c r="F260" s="178"/>
      <c r="G260" s="178"/>
      <c r="H260" s="178"/>
      <c r="I260" s="178"/>
      <c r="J260" s="178"/>
      <c r="K260" s="178"/>
      <c r="L260" s="178"/>
    </row>
    <row r="261" spans="2:12" ht="1.5" customHeight="1" x14ac:dyDescent="0.2">
      <c r="D261" s="28"/>
      <c r="E261" s="28"/>
      <c r="F261" s="28"/>
    </row>
    <row r="262" spans="2:12" x14ac:dyDescent="0.2">
      <c r="E262" s="29"/>
      <c r="F262" s="29"/>
    </row>
    <row r="263" spans="2:12" ht="13.5" customHeight="1" x14ac:dyDescent="0.2">
      <c r="C263" s="176" t="s">
        <v>120</v>
      </c>
      <c r="D263" s="153">
        <v>2019</v>
      </c>
      <c r="E263" s="153">
        <v>2020</v>
      </c>
      <c r="F263" s="153">
        <v>2021</v>
      </c>
      <c r="G263" s="153">
        <v>2022</v>
      </c>
      <c r="H263" s="153">
        <v>2023</v>
      </c>
      <c r="I263" s="153">
        <v>2024</v>
      </c>
      <c r="J263" s="153">
        <v>2025</v>
      </c>
      <c r="K263" s="153" t="s">
        <v>10</v>
      </c>
    </row>
    <row r="264" spans="2:12" ht="12" customHeight="1" thickBot="1" x14ac:dyDescent="0.25">
      <c r="C264" s="160"/>
      <c r="D264" s="154"/>
      <c r="E264" s="154"/>
      <c r="F264" s="154"/>
      <c r="G264" s="154"/>
      <c r="H264" s="154"/>
      <c r="I264" s="154"/>
      <c r="J264" s="154"/>
      <c r="K264" s="154"/>
    </row>
    <row r="265" spans="2:12" x14ac:dyDescent="0.2">
      <c r="C265" s="87" t="s">
        <v>123</v>
      </c>
      <c r="D265" s="47">
        <f t="shared" ref="D265:K274" si="12">+IFERROR(IF(D223&gt;0,+((D223/D14)*100)," "),"")</f>
        <v>74.686800027216663</v>
      </c>
      <c r="E265" s="47">
        <f t="shared" si="12"/>
        <v>80.468961046475357</v>
      </c>
      <c r="F265" s="47">
        <f t="shared" si="12"/>
        <v>92.582907709447753</v>
      </c>
      <c r="G265" s="47">
        <f t="shared" si="12"/>
        <v>91.60941885565191</v>
      </c>
      <c r="H265" s="47">
        <f t="shared" si="12"/>
        <v>75.847120621493801</v>
      </c>
      <c r="I265" s="47">
        <f t="shared" si="12"/>
        <v>76.56660814090543</v>
      </c>
      <c r="J265" s="47">
        <f t="shared" si="12"/>
        <v>91.226712492011131</v>
      </c>
      <c r="K265" s="47">
        <f t="shared" si="12"/>
        <v>24.37183900766162</v>
      </c>
    </row>
    <row r="266" spans="2:12" x14ac:dyDescent="0.2">
      <c r="C266" s="88" t="s">
        <v>124</v>
      </c>
      <c r="D266" s="116">
        <f t="shared" si="12"/>
        <v>94.358913353785525</v>
      </c>
      <c r="E266" s="116">
        <f t="shared" si="12"/>
        <v>95.125892117871842</v>
      </c>
      <c r="F266" s="116">
        <f t="shared" si="12"/>
        <v>92.443855433455767</v>
      </c>
      <c r="G266" s="116">
        <f t="shared" si="12"/>
        <v>90.717447794407946</v>
      </c>
      <c r="H266" s="116">
        <f t="shared" si="12"/>
        <v>93.959011902728079</v>
      </c>
      <c r="I266" s="116">
        <f t="shared" si="12"/>
        <v>95.069458072496531</v>
      </c>
      <c r="J266" s="116">
        <f t="shared" si="12"/>
        <v>97.215849851153251</v>
      </c>
      <c r="K266" s="116">
        <f t="shared" si="12"/>
        <v>33.740609578059789</v>
      </c>
    </row>
    <row r="267" spans="2:12" x14ac:dyDescent="0.2">
      <c r="C267" s="87" t="s">
        <v>125</v>
      </c>
      <c r="D267" s="47">
        <f t="shared" si="12"/>
        <v>94.812715484948839</v>
      </c>
      <c r="E267" s="47">
        <f t="shared" si="12"/>
        <v>90.810079500649664</v>
      </c>
      <c r="F267" s="47">
        <f t="shared" si="12"/>
        <v>94.850061437409792</v>
      </c>
      <c r="G267" s="47">
        <f t="shared" si="12"/>
        <v>86.804687626077097</v>
      </c>
      <c r="H267" s="47">
        <f t="shared" si="12"/>
        <v>93.917073936684005</v>
      </c>
      <c r="I267" s="47">
        <f t="shared" si="12"/>
        <v>91.046179967840629</v>
      </c>
      <c r="J267" s="47">
        <f t="shared" si="12"/>
        <v>88.784844663570624</v>
      </c>
      <c r="K267" s="47">
        <f t="shared" si="12"/>
        <v>18.134951898217103</v>
      </c>
    </row>
    <row r="268" spans="2:12" x14ac:dyDescent="0.2">
      <c r="C268" s="88" t="s">
        <v>126</v>
      </c>
      <c r="D268" s="116">
        <f t="shared" si="12"/>
        <v>90.543767264429121</v>
      </c>
      <c r="E268" s="116">
        <f t="shared" si="12"/>
        <v>96.28837282063742</v>
      </c>
      <c r="F268" s="116">
        <f t="shared" si="12"/>
        <v>94.14167159750167</v>
      </c>
      <c r="G268" s="116">
        <f t="shared" si="12"/>
        <v>98.268321515208186</v>
      </c>
      <c r="H268" s="116">
        <f t="shared" si="12"/>
        <v>96.229382684966041</v>
      </c>
      <c r="I268" s="116">
        <f t="shared" si="12"/>
        <v>69.807019784209473</v>
      </c>
      <c r="J268" s="116">
        <f t="shared" si="12"/>
        <v>89.443299572689668</v>
      </c>
      <c r="K268" s="116">
        <f t="shared" si="12"/>
        <v>23.367295877049067</v>
      </c>
    </row>
    <row r="269" spans="2:12" x14ac:dyDescent="0.2">
      <c r="C269" s="87" t="s">
        <v>127</v>
      </c>
      <c r="D269" s="47">
        <f t="shared" si="12"/>
        <v>95.905951640728645</v>
      </c>
      <c r="E269" s="47">
        <f t="shared" si="12"/>
        <v>94.521209645619919</v>
      </c>
      <c r="F269" s="47">
        <f t="shared" si="12"/>
        <v>93.707735036540626</v>
      </c>
      <c r="G269" s="47">
        <f t="shared" si="12"/>
        <v>94.716716560699695</v>
      </c>
      <c r="H269" s="47">
        <f t="shared" si="12"/>
        <v>94.054959809721439</v>
      </c>
      <c r="I269" s="47">
        <f t="shared" si="12"/>
        <v>86.304133003113733</v>
      </c>
      <c r="J269" s="47">
        <f t="shared" si="12"/>
        <v>80.252742544090779</v>
      </c>
      <c r="K269" s="47">
        <f t="shared" si="12"/>
        <v>33.114250135470336</v>
      </c>
    </row>
    <row r="270" spans="2:12" x14ac:dyDescent="0.2">
      <c r="C270" s="88" t="s">
        <v>128</v>
      </c>
      <c r="D270" s="116">
        <f t="shared" si="12"/>
        <v>97.283078193086141</v>
      </c>
      <c r="E270" s="116">
        <f t="shared" si="12"/>
        <v>96.401058130371496</v>
      </c>
      <c r="F270" s="116">
        <f t="shared" si="12"/>
        <v>82.94087769223654</v>
      </c>
      <c r="G270" s="116">
        <f t="shared" si="12"/>
        <v>93.513530167300573</v>
      </c>
      <c r="H270" s="116">
        <f t="shared" si="12"/>
        <v>91.557884774504231</v>
      </c>
      <c r="I270" s="116">
        <f t="shared" si="12"/>
        <v>89.745118543397879</v>
      </c>
      <c r="J270" s="116">
        <f t="shared" si="12"/>
        <v>90.710272157680848</v>
      </c>
      <c r="K270" s="116">
        <f t="shared" si="12"/>
        <v>34.600095714994154</v>
      </c>
    </row>
    <row r="271" spans="2:12" x14ac:dyDescent="0.2">
      <c r="C271" s="87" t="s">
        <v>129</v>
      </c>
      <c r="D271" s="47">
        <f t="shared" si="12"/>
        <v>97.404336479318971</v>
      </c>
      <c r="E271" s="47">
        <f t="shared" si="12"/>
        <v>97.621521044771995</v>
      </c>
      <c r="F271" s="47">
        <f t="shared" si="12"/>
        <v>96.586117573003094</v>
      </c>
      <c r="G271" s="47">
        <f t="shared" si="12"/>
        <v>96.486189461615552</v>
      </c>
      <c r="H271" s="47">
        <f t="shared" si="12"/>
        <v>95.680713739409157</v>
      </c>
      <c r="I271" s="47">
        <f t="shared" si="12"/>
        <v>92.982560587650141</v>
      </c>
      <c r="J271" s="47">
        <f t="shared" si="12"/>
        <v>94.244101976410093</v>
      </c>
      <c r="K271" s="47">
        <f t="shared" si="12"/>
        <v>27.613186015285873</v>
      </c>
    </row>
    <row r="272" spans="2:12" x14ac:dyDescent="0.2">
      <c r="C272" s="88" t="s">
        <v>130</v>
      </c>
      <c r="D272" s="116">
        <f t="shared" si="12"/>
        <v>93.531782249009296</v>
      </c>
      <c r="E272" s="116">
        <f t="shared" si="12"/>
        <v>94.781225347129165</v>
      </c>
      <c r="F272" s="116">
        <f t="shared" si="12"/>
        <v>89.394584068622109</v>
      </c>
      <c r="G272" s="116">
        <f t="shared" si="12"/>
        <v>92.117205415162957</v>
      </c>
      <c r="H272" s="116">
        <f t="shared" si="12"/>
        <v>83.374166406582532</v>
      </c>
      <c r="I272" s="116">
        <f t="shared" si="12"/>
        <v>93.023513732877689</v>
      </c>
      <c r="J272" s="116">
        <f t="shared" si="12"/>
        <v>89.901315579483807</v>
      </c>
      <c r="K272" s="116">
        <f t="shared" si="12"/>
        <v>25.212788299899046</v>
      </c>
    </row>
    <row r="273" spans="3:11" x14ac:dyDescent="0.2">
      <c r="C273" s="87" t="s">
        <v>131</v>
      </c>
      <c r="D273" s="47">
        <f t="shared" si="12"/>
        <v>99.941414035428977</v>
      </c>
      <c r="E273" s="47">
        <f t="shared" si="12"/>
        <v>99.971475211488141</v>
      </c>
      <c r="F273" s="47">
        <f t="shared" si="12"/>
        <v>99.942996493203083</v>
      </c>
      <c r="G273" s="47">
        <f t="shared" si="12"/>
        <v>99.903874819184949</v>
      </c>
      <c r="H273" s="47">
        <f t="shared" si="12"/>
        <v>98.991044608228037</v>
      </c>
      <c r="I273" s="47">
        <f t="shared" si="12"/>
        <v>99.660673828620446</v>
      </c>
      <c r="J273" s="47">
        <f t="shared" si="12"/>
        <v>97.917133619292201</v>
      </c>
      <c r="K273" s="47">
        <f t="shared" si="12"/>
        <v>29.875258991677502</v>
      </c>
    </row>
    <row r="274" spans="3:11" x14ac:dyDescent="0.2">
      <c r="C274" s="88" t="s">
        <v>132</v>
      </c>
      <c r="D274" s="116">
        <f t="shared" si="12"/>
        <v>87.328476455543026</v>
      </c>
      <c r="E274" s="116">
        <f t="shared" si="12"/>
        <v>89.138334687939476</v>
      </c>
      <c r="F274" s="116">
        <f t="shared" si="12"/>
        <v>93.532986200398767</v>
      </c>
      <c r="G274" s="116">
        <f t="shared" si="12"/>
        <v>91.43183389732593</v>
      </c>
      <c r="H274" s="116">
        <f t="shared" si="12"/>
        <v>96.701436407676852</v>
      </c>
      <c r="I274" s="116">
        <f t="shared" si="12"/>
        <v>93.81598146472561</v>
      </c>
      <c r="J274" s="116">
        <f t="shared" si="12"/>
        <v>90.918338460040317</v>
      </c>
      <c r="K274" s="116">
        <f t="shared" si="12"/>
        <v>25.920886786086879</v>
      </c>
    </row>
    <row r="275" spans="3:11" x14ac:dyDescent="0.2">
      <c r="C275" s="87" t="s">
        <v>133</v>
      </c>
      <c r="D275" s="47">
        <f t="shared" ref="D275:K284" si="13">+IFERROR(IF(D233&gt;0,+((D233/D24)*100)," "),"")</f>
        <v>95.445584667717966</v>
      </c>
      <c r="E275" s="47">
        <f t="shared" si="13"/>
        <v>95.439422428899817</v>
      </c>
      <c r="F275" s="47">
        <f t="shared" si="13"/>
        <v>92.38659909331713</v>
      </c>
      <c r="G275" s="47">
        <f t="shared" si="13"/>
        <v>95.119659449746734</v>
      </c>
      <c r="H275" s="47">
        <f t="shared" si="13"/>
        <v>95.360113332372663</v>
      </c>
      <c r="I275" s="47">
        <f t="shared" si="13"/>
        <v>93.720873714836358</v>
      </c>
      <c r="J275" s="47">
        <f t="shared" si="13"/>
        <v>93.712388651176497</v>
      </c>
      <c r="K275" s="47">
        <f t="shared" si="13"/>
        <v>25.741621134912691</v>
      </c>
    </row>
    <row r="276" spans="3:11" x14ac:dyDescent="0.2">
      <c r="C276" s="88" t="s">
        <v>134</v>
      </c>
      <c r="D276" s="116">
        <f t="shared" si="13"/>
        <v>91.353560607378441</v>
      </c>
      <c r="E276" s="116">
        <f t="shared" si="13"/>
        <v>41.6606839625519</v>
      </c>
      <c r="F276" s="116">
        <f t="shared" si="13"/>
        <v>81.690564179452323</v>
      </c>
      <c r="G276" s="116">
        <f t="shared" si="13"/>
        <v>83.551084304136197</v>
      </c>
      <c r="H276" s="116">
        <f t="shared" si="13"/>
        <v>89.500978668445541</v>
      </c>
      <c r="I276" s="116">
        <f t="shared" si="13"/>
        <v>74.122365393035565</v>
      </c>
      <c r="J276" s="116">
        <f t="shared" si="13"/>
        <v>74.411753800336101</v>
      </c>
      <c r="K276" s="116">
        <f t="shared" si="13"/>
        <v>15.094978905156212</v>
      </c>
    </row>
    <row r="277" spans="3:11" x14ac:dyDescent="0.2">
      <c r="C277" s="87" t="s">
        <v>135</v>
      </c>
      <c r="D277" s="47" t="str">
        <f t="shared" si="13"/>
        <v xml:space="preserve"> </v>
      </c>
      <c r="E277" s="47" t="str">
        <f t="shared" si="13"/>
        <v xml:space="preserve"> </v>
      </c>
      <c r="F277" s="47" t="str">
        <f t="shared" si="13"/>
        <v xml:space="preserve"> </v>
      </c>
      <c r="G277" s="47" t="str">
        <f t="shared" si="13"/>
        <v xml:space="preserve"> </v>
      </c>
      <c r="H277" s="47">
        <f t="shared" si="13"/>
        <v>0.42555537840000002</v>
      </c>
      <c r="I277" s="47">
        <f t="shared" si="13"/>
        <v>4.8344901418346184</v>
      </c>
      <c r="J277" s="47">
        <f t="shared" si="13"/>
        <v>92.170622340823456</v>
      </c>
      <c r="K277" s="47">
        <f t="shared" si="13"/>
        <v>9.3169802419588823</v>
      </c>
    </row>
    <row r="278" spans="3:11" x14ac:dyDescent="0.2">
      <c r="C278" s="88" t="s">
        <v>136</v>
      </c>
      <c r="D278" s="116">
        <f t="shared" si="13"/>
        <v>97.072466040562972</v>
      </c>
      <c r="E278" s="116">
        <f t="shared" si="13"/>
        <v>98.472093564957731</v>
      </c>
      <c r="F278" s="116">
        <f t="shared" si="13"/>
        <v>97.885295490456073</v>
      </c>
      <c r="G278" s="116">
        <f t="shared" si="13"/>
        <v>96.189209568947874</v>
      </c>
      <c r="H278" s="116">
        <f t="shared" si="13"/>
        <v>93.278819738036006</v>
      </c>
      <c r="I278" s="116">
        <f t="shared" si="13"/>
        <v>49.389462273149867</v>
      </c>
      <c r="J278" s="116">
        <f t="shared" si="13"/>
        <v>54.502098836791021</v>
      </c>
      <c r="K278" s="116">
        <f t="shared" si="13"/>
        <v>8.4099523781037568</v>
      </c>
    </row>
    <row r="279" spans="3:11" x14ac:dyDescent="0.2">
      <c r="C279" s="87" t="s">
        <v>137</v>
      </c>
      <c r="D279" s="47">
        <f t="shared" si="13"/>
        <v>89.819330803071423</v>
      </c>
      <c r="E279" s="47">
        <f t="shared" si="13"/>
        <v>88.059136856560627</v>
      </c>
      <c r="F279" s="47">
        <f t="shared" si="13"/>
        <v>80.748799645012738</v>
      </c>
      <c r="G279" s="47">
        <f t="shared" si="13"/>
        <v>88.890917230691642</v>
      </c>
      <c r="H279" s="47">
        <f t="shared" si="13"/>
        <v>92.146443283044306</v>
      </c>
      <c r="I279" s="47">
        <f t="shared" si="13"/>
        <v>94.195107206054502</v>
      </c>
      <c r="J279" s="47">
        <f t="shared" si="13"/>
        <v>94.261449370525028</v>
      </c>
      <c r="K279" s="47">
        <f t="shared" si="13"/>
        <v>26.684270885384521</v>
      </c>
    </row>
    <row r="280" spans="3:11" x14ac:dyDescent="0.2">
      <c r="C280" s="88" t="s">
        <v>138</v>
      </c>
      <c r="D280" s="116">
        <f t="shared" si="13"/>
        <v>95.317949236626845</v>
      </c>
      <c r="E280" s="116">
        <f t="shared" si="13"/>
        <v>98.028113822928461</v>
      </c>
      <c r="F280" s="116">
        <f t="shared" si="13"/>
        <v>94.611263222058611</v>
      </c>
      <c r="G280" s="116">
        <f t="shared" si="13"/>
        <v>94.335103290489769</v>
      </c>
      <c r="H280" s="116">
        <f t="shared" si="13"/>
        <v>88.10958910991863</v>
      </c>
      <c r="I280" s="116">
        <f t="shared" si="13"/>
        <v>94.620839309417619</v>
      </c>
      <c r="J280" s="116">
        <f t="shared" si="13"/>
        <v>96.140341651529283</v>
      </c>
      <c r="K280" s="116">
        <f t="shared" si="13"/>
        <v>24.939312863612997</v>
      </c>
    </row>
    <row r="281" spans="3:11" x14ac:dyDescent="0.2">
      <c r="C281" s="87" t="s">
        <v>160</v>
      </c>
      <c r="D281" s="47">
        <f t="shared" si="13"/>
        <v>87.820701426097273</v>
      </c>
      <c r="E281" s="47">
        <f t="shared" si="13"/>
        <v>86.201765945883295</v>
      </c>
      <c r="F281" s="47">
        <f t="shared" si="13"/>
        <v>80.707261130385803</v>
      </c>
      <c r="G281" s="47">
        <f t="shared" si="13"/>
        <v>70.476470269549267</v>
      </c>
      <c r="H281" s="47">
        <f t="shared" si="13"/>
        <v>71.923116821110469</v>
      </c>
      <c r="I281" s="47">
        <f t="shared" si="13"/>
        <v>74.713176752707454</v>
      </c>
      <c r="J281" s="47">
        <f t="shared" si="13"/>
        <v>81.443559403929839</v>
      </c>
      <c r="K281" s="47">
        <f t="shared" si="13"/>
        <v>23.71446463926927</v>
      </c>
    </row>
    <row r="282" spans="3:11" x14ac:dyDescent="0.2">
      <c r="C282" s="88" t="s">
        <v>161</v>
      </c>
      <c r="D282" s="116">
        <f t="shared" si="13"/>
        <v>84.485261413572815</v>
      </c>
      <c r="E282" s="116">
        <f t="shared" si="13"/>
        <v>88.603663393956609</v>
      </c>
      <c r="F282" s="116">
        <f t="shared" si="13"/>
        <v>74.533013534677636</v>
      </c>
      <c r="G282" s="116">
        <f t="shared" si="13"/>
        <v>76.979048381016995</v>
      </c>
      <c r="H282" s="116">
        <f t="shared" si="13"/>
        <v>82.83041875393576</v>
      </c>
      <c r="I282" s="116">
        <f t="shared" si="13"/>
        <v>87.488096644049008</v>
      </c>
      <c r="J282" s="116">
        <f t="shared" si="13"/>
        <v>87.766009880115874</v>
      </c>
      <c r="K282" s="116">
        <f t="shared" si="13"/>
        <v>23.678576337521744</v>
      </c>
    </row>
    <row r="283" spans="3:11" x14ac:dyDescent="0.2">
      <c r="C283" s="87" t="s">
        <v>140</v>
      </c>
      <c r="D283" s="47">
        <f t="shared" si="13"/>
        <v>90.102101229995185</v>
      </c>
      <c r="E283" s="47">
        <f t="shared" si="13"/>
        <v>89.339433142453117</v>
      </c>
      <c r="F283" s="47">
        <f t="shared" si="13"/>
        <v>89.976546246262572</v>
      </c>
      <c r="G283" s="47">
        <f t="shared" si="13"/>
        <v>93.51057321711761</v>
      </c>
      <c r="H283" s="47">
        <f t="shared" si="13"/>
        <v>88.699555293232947</v>
      </c>
      <c r="I283" s="47">
        <f t="shared" si="13"/>
        <v>84.364816696456785</v>
      </c>
      <c r="J283" s="47">
        <f t="shared" si="13"/>
        <v>87.747721852782718</v>
      </c>
      <c r="K283" s="47">
        <f t="shared" si="13"/>
        <v>40.431091449785086</v>
      </c>
    </row>
    <row r="284" spans="3:11" x14ac:dyDescent="0.2">
      <c r="C284" s="88" t="s">
        <v>141</v>
      </c>
      <c r="D284" s="116">
        <f t="shared" si="13"/>
        <v>92.24898887050486</v>
      </c>
      <c r="E284" s="116">
        <f t="shared" si="13"/>
        <v>82.534117096473793</v>
      </c>
      <c r="F284" s="116">
        <f t="shared" si="13"/>
        <v>86.586833953819578</v>
      </c>
      <c r="G284" s="116">
        <f t="shared" si="13"/>
        <v>91.079918212220505</v>
      </c>
      <c r="H284" s="116">
        <f t="shared" si="13"/>
        <v>86.418727689833347</v>
      </c>
      <c r="I284" s="116">
        <f t="shared" si="13"/>
        <v>89.857193951604074</v>
      </c>
      <c r="J284" s="116">
        <f t="shared" si="13"/>
        <v>93.21904428463435</v>
      </c>
      <c r="K284" s="116">
        <f t="shared" si="13"/>
        <v>25.257192265049582</v>
      </c>
    </row>
    <row r="285" spans="3:11" x14ac:dyDescent="0.2">
      <c r="C285" s="87" t="s">
        <v>142</v>
      </c>
      <c r="D285" s="47">
        <f t="shared" ref="D285:K294" si="14">+IFERROR(IF(D243&gt;0,+((D243/D34)*100)," "),"")</f>
        <v>94.420066924234874</v>
      </c>
      <c r="E285" s="47">
        <f t="shared" si="14"/>
        <v>93.164260245026398</v>
      </c>
      <c r="F285" s="47">
        <f t="shared" si="14"/>
        <v>80.452918893860797</v>
      </c>
      <c r="G285" s="47">
        <f t="shared" si="14"/>
        <v>93.511311630879561</v>
      </c>
      <c r="H285" s="47">
        <f t="shared" si="14"/>
        <v>90.082618691805735</v>
      </c>
      <c r="I285" s="47">
        <f t="shared" si="14"/>
        <v>90.03726899034595</v>
      </c>
      <c r="J285" s="47">
        <f t="shared" si="14"/>
        <v>84.938470187106887</v>
      </c>
      <c r="K285" s="47">
        <f t="shared" si="14"/>
        <v>47.129190719747605</v>
      </c>
    </row>
    <row r="286" spans="3:11" x14ac:dyDescent="0.2">
      <c r="C286" s="88" t="s">
        <v>143</v>
      </c>
      <c r="D286" s="116">
        <f t="shared" si="14"/>
        <v>43.054243815840529</v>
      </c>
      <c r="E286" s="116">
        <f t="shared" si="14"/>
        <v>37.420560118649867</v>
      </c>
      <c r="F286" s="116">
        <f t="shared" si="14"/>
        <v>56.32489106903865</v>
      </c>
      <c r="G286" s="116">
        <f t="shared" si="14"/>
        <v>19.269233910247159</v>
      </c>
      <c r="H286" s="116">
        <f t="shared" si="14"/>
        <v>22.108840093816429</v>
      </c>
      <c r="I286" s="116">
        <f t="shared" si="14"/>
        <v>33.708188772173706</v>
      </c>
      <c r="J286" s="116">
        <f t="shared" si="14"/>
        <v>37.044056959243363</v>
      </c>
      <c r="K286" s="116">
        <f t="shared" si="14"/>
        <v>2.3575586042158299</v>
      </c>
    </row>
    <row r="287" spans="3:11" x14ac:dyDescent="0.2">
      <c r="C287" s="87" t="s">
        <v>144</v>
      </c>
      <c r="D287" s="47">
        <f t="shared" si="14"/>
        <v>95.677073021213772</v>
      </c>
      <c r="E287" s="47">
        <f t="shared" si="14"/>
        <v>93.569722459338479</v>
      </c>
      <c r="F287" s="47">
        <f t="shared" si="14"/>
        <v>93.819417833232151</v>
      </c>
      <c r="G287" s="47">
        <f t="shared" si="14"/>
        <v>94.383416720015617</v>
      </c>
      <c r="H287" s="47">
        <f t="shared" si="14"/>
        <v>87.154865817269638</v>
      </c>
      <c r="I287" s="47">
        <f t="shared" si="14"/>
        <v>93.294750871859904</v>
      </c>
      <c r="J287" s="47">
        <f t="shared" si="14"/>
        <v>92.602783651711391</v>
      </c>
      <c r="K287" s="47">
        <f t="shared" si="14"/>
        <v>25.166969134658579</v>
      </c>
    </row>
    <row r="288" spans="3:11" x14ac:dyDescent="0.2">
      <c r="C288" s="88" t="s">
        <v>145</v>
      </c>
      <c r="D288" s="116">
        <f t="shared" si="14"/>
        <v>91.836442840230319</v>
      </c>
      <c r="E288" s="116">
        <f t="shared" si="14"/>
        <v>93.226281105869262</v>
      </c>
      <c r="F288" s="116">
        <f t="shared" si="14"/>
        <v>85.347379738831435</v>
      </c>
      <c r="G288" s="116">
        <f t="shared" si="14"/>
        <v>93.580446363308397</v>
      </c>
      <c r="H288" s="116">
        <f t="shared" si="14"/>
        <v>79.466322236480082</v>
      </c>
      <c r="I288" s="116">
        <f t="shared" si="14"/>
        <v>58.102189020070647</v>
      </c>
      <c r="J288" s="116">
        <f t="shared" si="14"/>
        <v>72.596007530948427</v>
      </c>
      <c r="K288" s="116">
        <f t="shared" si="14"/>
        <v>9.8766759473364374</v>
      </c>
    </row>
    <row r="289" spans="1:11" x14ac:dyDescent="0.2">
      <c r="C289" s="87" t="s">
        <v>146</v>
      </c>
      <c r="D289" s="47">
        <f t="shared" si="14"/>
        <v>93.820571552351325</v>
      </c>
      <c r="E289" s="47">
        <f t="shared" si="14"/>
        <v>90.434326105153247</v>
      </c>
      <c r="F289" s="47">
        <f t="shared" si="14"/>
        <v>90.797069151875405</v>
      </c>
      <c r="G289" s="47">
        <f t="shared" si="14"/>
        <v>94.872176951858492</v>
      </c>
      <c r="H289" s="47">
        <f t="shared" si="14"/>
        <v>92.756710368649493</v>
      </c>
      <c r="I289" s="47">
        <f t="shared" si="14"/>
        <v>91.114964711343148</v>
      </c>
      <c r="J289" s="47">
        <f t="shared" si="14"/>
        <v>91.802394541422174</v>
      </c>
      <c r="K289" s="47">
        <f t="shared" si="14"/>
        <v>28.796096078106793</v>
      </c>
    </row>
    <row r="290" spans="1:11" x14ac:dyDescent="0.2">
      <c r="C290" s="88" t="s">
        <v>162</v>
      </c>
      <c r="D290" s="116">
        <f t="shared" si="14"/>
        <v>99.604424798299036</v>
      </c>
      <c r="E290" s="116">
        <f t="shared" si="14"/>
        <v>97.483668476269415</v>
      </c>
      <c r="F290" s="116">
        <f t="shared" si="14"/>
        <v>99.446282649623924</v>
      </c>
      <c r="G290" s="116">
        <f t="shared" si="14"/>
        <v>99.895866377455249</v>
      </c>
      <c r="H290" s="116">
        <f t="shared" si="14"/>
        <v>94.072162817075267</v>
      </c>
      <c r="I290" s="116">
        <f t="shared" si="14"/>
        <v>95.811829982466037</v>
      </c>
      <c r="J290" s="116">
        <f t="shared" si="14"/>
        <v>97.924709742893413</v>
      </c>
      <c r="K290" s="116">
        <f t="shared" si="14"/>
        <v>30.621810954439265</v>
      </c>
    </row>
    <row r="291" spans="1:11" x14ac:dyDescent="0.2">
      <c r="C291" s="87" t="s">
        <v>148</v>
      </c>
      <c r="D291" s="47">
        <f t="shared" si="14"/>
        <v>93.050883274572556</v>
      </c>
      <c r="E291" s="47">
        <f t="shared" si="14"/>
        <v>96.062097566914474</v>
      </c>
      <c r="F291" s="47">
        <f t="shared" si="14"/>
        <v>96.773095340898465</v>
      </c>
      <c r="G291" s="47">
        <f t="shared" si="14"/>
        <v>98.069737810301817</v>
      </c>
      <c r="H291" s="47">
        <f t="shared" si="14"/>
        <v>89.330663989037802</v>
      </c>
      <c r="I291" s="47">
        <f t="shared" si="14"/>
        <v>95.450350427727926</v>
      </c>
      <c r="J291" s="47">
        <f t="shared" si="14"/>
        <v>91.116606064679189</v>
      </c>
      <c r="K291" s="47">
        <f t="shared" si="14"/>
        <v>29.773141984829305</v>
      </c>
    </row>
    <row r="292" spans="1:11" x14ac:dyDescent="0.2">
      <c r="C292" s="88" t="s">
        <v>149</v>
      </c>
      <c r="D292" s="116">
        <f t="shared" si="14"/>
        <v>91.75001490035433</v>
      </c>
      <c r="E292" s="116">
        <f t="shared" si="14"/>
        <v>98.293560335660828</v>
      </c>
      <c r="F292" s="116">
        <f t="shared" si="14"/>
        <v>79.87647746033781</v>
      </c>
      <c r="G292" s="116">
        <f t="shared" si="14"/>
        <v>86.388256137977194</v>
      </c>
      <c r="H292" s="116">
        <f t="shared" si="14"/>
        <v>85.47168409563848</v>
      </c>
      <c r="I292" s="116">
        <f t="shared" si="14"/>
        <v>93.962858026988158</v>
      </c>
      <c r="J292" s="116">
        <f t="shared" si="14"/>
        <v>77.013984417103927</v>
      </c>
      <c r="K292" s="116">
        <f t="shared" si="14"/>
        <v>27.395766023569923</v>
      </c>
    </row>
    <row r="293" spans="1:11" x14ac:dyDescent="0.2">
      <c r="C293" s="87" t="s">
        <v>163</v>
      </c>
      <c r="D293" s="47">
        <f t="shared" si="14"/>
        <v>79.776449617020631</v>
      </c>
      <c r="E293" s="47">
        <f t="shared" si="14"/>
        <v>86.25433571223094</v>
      </c>
      <c r="F293" s="47">
        <f t="shared" si="14"/>
        <v>94.051534857787601</v>
      </c>
      <c r="G293" s="47">
        <f t="shared" si="14"/>
        <v>60.691613490523508</v>
      </c>
      <c r="H293" s="47">
        <f t="shared" si="14"/>
        <v>75.326992626732931</v>
      </c>
      <c r="I293" s="47">
        <f t="shared" si="14"/>
        <v>80.100769969536159</v>
      </c>
      <c r="J293" s="47">
        <f t="shared" si="14"/>
        <v>85.831817104668914</v>
      </c>
      <c r="K293" s="47">
        <f t="shared" si="14"/>
        <v>16.306584696412006</v>
      </c>
    </row>
    <row r="294" spans="1:11" x14ac:dyDescent="0.2">
      <c r="C294" s="88" t="s">
        <v>150</v>
      </c>
      <c r="D294" s="116">
        <f t="shared" si="14"/>
        <v>83.157263520515542</v>
      </c>
      <c r="E294" s="116">
        <f t="shared" si="14"/>
        <v>84.771355089225196</v>
      </c>
      <c r="F294" s="116">
        <f t="shared" si="14"/>
        <v>90.411412771398815</v>
      </c>
      <c r="G294" s="116">
        <f t="shared" si="14"/>
        <v>85.675113269879859</v>
      </c>
      <c r="H294" s="116">
        <f t="shared" si="14"/>
        <v>80.422401951726599</v>
      </c>
      <c r="I294" s="116">
        <f t="shared" si="14"/>
        <v>70.903025448472235</v>
      </c>
      <c r="J294" s="116">
        <f t="shared" si="14"/>
        <v>93.58826630841655</v>
      </c>
      <c r="K294" s="116">
        <f t="shared" si="14"/>
        <v>26.852713881167524</v>
      </c>
    </row>
    <row r="295" spans="1:11" x14ac:dyDescent="0.2">
      <c r="C295" s="87" t="s">
        <v>151</v>
      </c>
      <c r="D295" s="47">
        <f t="shared" ref="D295:K296" si="15">+IFERROR(IF(D253&gt;0,+((D253/D44)*100)," "),"")</f>
        <v>99.566539464255456</v>
      </c>
      <c r="E295" s="47">
        <f t="shared" si="15"/>
        <v>98.413423970951371</v>
      </c>
      <c r="F295" s="47">
        <f t="shared" si="15"/>
        <v>99.111409054763044</v>
      </c>
      <c r="G295" s="47">
        <f t="shared" si="15"/>
        <v>99.505596274293609</v>
      </c>
      <c r="H295" s="47">
        <f t="shared" si="15"/>
        <v>99.349479125513312</v>
      </c>
      <c r="I295" s="47">
        <f t="shared" si="15"/>
        <v>99.520669243819157</v>
      </c>
      <c r="J295" s="47">
        <f t="shared" si="15"/>
        <v>99.760475221886765</v>
      </c>
      <c r="K295" s="47">
        <f t="shared" si="15"/>
        <v>29.095865156898881</v>
      </c>
    </row>
    <row r="296" spans="1:11" x14ac:dyDescent="0.2">
      <c r="C296" s="91" t="s">
        <v>179</v>
      </c>
      <c r="D296" s="64">
        <f t="shared" si="15"/>
        <v>94.324798429352469</v>
      </c>
      <c r="E296" s="64">
        <f t="shared" si="15"/>
        <v>84.102460529484944</v>
      </c>
      <c r="F296" s="64">
        <f t="shared" si="15"/>
        <v>93.977823546982478</v>
      </c>
      <c r="G296" s="64">
        <f t="shared" si="15"/>
        <v>89.005078679112046</v>
      </c>
      <c r="H296" s="64">
        <f t="shared" si="15"/>
        <v>90.469934330443138</v>
      </c>
      <c r="I296" s="64">
        <f t="shared" si="15"/>
        <v>89.672327420083747</v>
      </c>
      <c r="J296" s="64">
        <f t="shared" si="15"/>
        <v>91.771918581602435</v>
      </c>
      <c r="K296" s="64">
        <f t="shared" si="15"/>
        <v>24.907806376878845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abril</v>
      </c>
      <c r="D297" s="47"/>
      <c r="E297" s="47"/>
      <c r="F297" s="47"/>
      <c r="G297" s="47"/>
      <c r="H297" s="47"/>
      <c r="I297" s="47"/>
    </row>
    <row r="298" spans="1:11" x14ac:dyDescent="0.2">
      <c r="C298" s="1" t="s">
        <v>52</v>
      </c>
      <c r="D298" s="11"/>
    </row>
  </sheetData>
  <mergeCells count="82">
    <mergeCell ref="C96:C97"/>
    <mergeCell ref="G54:G55"/>
    <mergeCell ref="D138:D139"/>
    <mergeCell ref="J96:J97"/>
    <mergeCell ref="G96:G97"/>
    <mergeCell ref="F54:F55"/>
    <mergeCell ref="I12:I13"/>
    <mergeCell ref="K12:K13"/>
    <mergeCell ref="I263:I264"/>
    <mergeCell ref="J54:J55"/>
    <mergeCell ref="H7:H8"/>
    <mergeCell ref="J7:J8"/>
    <mergeCell ref="K263:K264"/>
    <mergeCell ref="K7:K8"/>
    <mergeCell ref="J12:J13"/>
    <mergeCell ref="H263:H264"/>
    <mergeCell ref="H54:H55"/>
    <mergeCell ref="J263:J264"/>
    <mergeCell ref="J221:J222"/>
    <mergeCell ref="D6:K6"/>
    <mergeCell ref="K180:K181"/>
    <mergeCell ref="D93:L93"/>
    <mergeCell ref="C12:C13"/>
    <mergeCell ref="K96:K97"/>
    <mergeCell ref="A6:C7"/>
    <mergeCell ref="E7:E8"/>
    <mergeCell ref="E96:E97"/>
    <mergeCell ref="D136:L136"/>
    <mergeCell ref="D96:D97"/>
    <mergeCell ref="F12:F13"/>
    <mergeCell ref="E138:E139"/>
    <mergeCell ref="C180:C181"/>
    <mergeCell ref="E180:E181"/>
    <mergeCell ref="A8:C8"/>
    <mergeCell ref="G263:G264"/>
    <mergeCell ref="C263:C264"/>
    <mergeCell ref="G12:G13"/>
    <mergeCell ref="E263:E264"/>
    <mergeCell ref="K221:K222"/>
    <mergeCell ref="D263:D264"/>
    <mergeCell ref="F263:F264"/>
    <mergeCell ref="K138:K139"/>
    <mergeCell ref="C221:C222"/>
    <mergeCell ref="F138:F139"/>
    <mergeCell ref="H138:H139"/>
    <mergeCell ref="G180:G181"/>
    <mergeCell ref="I180:I181"/>
    <mergeCell ref="I221:I222"/>
    <mergeCell ref="D219:L219"/>
    <mergeCell ref="G138:G139"/>
    <mergeCell ref="F7:F8"/>
    <mergeCell ref="H221:H222"/>
    <mergeCell ref="G7:G8"/>
    <mergeCell ref="I7:I8"/>
    <mergeCell ref="C54:C55"/>
    <mergeCell ref="D12:D13"/>
    <mergeCell ref="C138:C139"/>
    <mergeCell ref="E54:E55"/>
    <mergeCell ref="I96:I97"/>
    <mergeCell ref="D180:D181"/>
    <mergeCell ref="F180:F181"/>
    <mergeCell ref="F96:F97"/>
    <mergeCell ref="E221:E222"/>
    <mergeCell ref="D7:D8"/>
    <mergeCell ref="F221:F222"/>
    <mergeCell ref="I138:I139"/>
    <mergeCell ref="D2:K4"/>
    <mergeCell ref="D177:L177"/>
    <mergeCell ref="G221:G222"/>
    <mergeCell ref="D260:L260"/>
    <mergeCell ref="D51:L51"/>
    <mergeCell ref="D54:D55"/>
    <mergeCell ref="D10:L10"/>
    <mergeCell ref="J138:J139"/>
    <mergeCell ref="E12:E13"/>
    <mergeCell ref="H12:H13"/>
    <mergeCell ref="H96:H97"/>
    <mergeCell ref="D221:D222"/>
    <mergeCell ref="I54:I55"/>
    <mergeCell ref="K54:K55"/>
    <mergeCell ref="H180:H181"/>
    <mergeCell ref="J180:J18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A5"/>
  <sheetViews>
    <sheetView workbookViewId="0">
      <selection activeCell="F13" sqref="F13"/>
    </sheetView>
  </sheetViews>
  <sheetFormatPr baseColWidth="10" defaultRowHeight="15" x14ac:dyDescent="0.25"/>
  <sheetData>
    <row r="1" spans="1:27" x14ac:dyDescent="0.25">
      <c r="A1" t="s">
        <v>0</v>
      </c>
    </row>
    <row r="4" spans="1:27" s="145" customFormat="1" ht="11.25" customHeight="1" x14ac:dyDescent="0.25">
      <c r="A4" s="145" t="s">
        <v>1</v>
      </c>
      <c r="B4" s="145" t="s">
        <v>2</v>
      </c>
      <c r="C4" s="145" t="s">
        <v>3</v>
      </c>
      <c r="D4" s="145" t="s">
        <v>4</v>
      </c>
      <c r="E4" s="145">
        <v>2004</v>
      </c>
      <c r="F4" s="145" t="s">
        <v>5</v>
      </c>
      <c r="G4" s="145" t="s">
        <v>6</v>
      </c>
      <c r="H4" s="145" t="s">
        <v>7</v>
      </c>
      <c r="I4" s="145" t="s">
        <v>8</v>
      </c>
      <c r="J4" s="145" t="s">
        <v>9</v>
      </c>
      <c r="K4" s="145">
        <v>2010</v>
      </c>
      <c r="L4" s="145">
        <v>2011</v>
      </c>
      <c r="M4" s="145">
        <v>2012</v>
      </c>
      <c r="N4" s="145">
        <v>2013</v>
      </c>
      <c r="O4" s="145">
        <v>2014</v>
      </c>
      <c r="P4" s="145">
        <v>2015</v>
      </c>
      <c r="Q4" s="145">
        <v>2016</v>
      </c>
      <c r="R4" s="145">
        <v>2017</v>
      </c>
      <c r="S4" s="145">
        <v>2018</v>
      </c>
      <c r="T4" s="145">
        <v>2019</v>
      </c>
      <c r="U4" s="145">
        <v>2020</v>
      </c>
      <c r="V4" s="145">
        <v>2021</v>
      </c>
      <c r="W4" s="145">
        <v>2022</v>
      </c>
      <c r="X4" s="145">
        <v>2023</v>
      </c>
      <c r="Y4" s="145">
        <v>2024</v>
      </c>
      <c r="Z4" s="145">
        <v>2025</v>
      </c>
      <c r="AA4" s="145" t="s">
        <v>10</v>
      </c>
    </row>
    <row r="5" spans="1:27" x14ac:dyDescent="0.25">
      <c r="A5" s="146">
        <v>3.7237129742840311</v>
      </c>
      <c r="B5" s="146">
        <v>3.4591469029985049</v>
      </c>
      <c r="C5" s="146">
        <v>3.2330941218034961</v>
      </c>
      <c r="D5" s="146">
        <v>3.0360153793664839</v>
      </c>
      <c r="E5" s="146">
        <v>2.8778219983597459</v>
      </c>
      <c r="F5" s="146">
        <v>2.7445686504100588</v>
      </c>
      <c r="G5" s="146">
        <v>2.6269358210165841</v>
      </c>
      <c r="H5" s="146">
        <v>2.485405375572284</v>
      </c>
      <c r="I5" s="146">
        <v>2.308260864389136</v>
      </c>
      <c r="J5" s="146">
        <v>2.2629607353520012</v>
      </c>
      <c r="K5" s="146">
        <v>2.1934030504442572</v>
      </c>
      <c r="L5" s="146">
        <v>2.1145986171093329</v>
      </c>
      <c r="M5" s="146">
        <v>2.0642313716412861</v>
      </c>
      <c r="N5" s="146">
        <v>2.0249473922319852</v>
      </c>
      <c r="O5" s="146">
        <v>1.9534510826085141</v>
      </c>
      <c r="P5" s="146">
        <v>1.8295879765931571</v>
      </c>
      <c r="Q5" s="146">
        <v>1.7301068336578309</v>
      </c>
      <c r="R5" s="146">
        <v>1.6621258849628511</v>
      </c>
      <c r="S5" s="146">
        <v>1.6108992876166419</v>
      </c>
      <c r="T5" s="146">
        <v>1.5519260959697889</v>
      </c>
      <c r="U5" s="146">
        <v>1.527335986585759</v>
      </c>
      <c r="V5" s="146">
        <v>1.4460670200584731</v>
      </c>
      <c r="W5" s="146">
        <v>1.2783477900092579</v>
      </c>
      <c r="X5" s="146">
        <v>1.169791169481385</v>
      </c>
      <c r="Y5" s="146">
        <v>1.111968792282686</v>
      </c>
      <c r="Z5" s="146">
        <v>1.0580000000000001</v>
      </c>
      <c r="AA5" s="146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102" customFormat="1" ht="16.5" customHeight="1" x14ac:dyDescent="0.25">
      <c r="A3" s="99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6.5" customHeight="1" x14ac:dyDescent="0.25">
      <c r="A4" s="99"/>
      <c r="B4" s="98"/>
      <c r="C4" s="98"/>
      <c r="D4" s="161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02" customFormat="1" ht="18" customHeight="1" x14ac:dyDescent="0.25">
      <c r="A5" s="165" t="s">
        <v>29</v>
      </c>
      <c r="B5" s="175"/>
      <c r="C5" s="175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ht="16.5" customHeight="1" x14ac:dyDescent="0.2">
      <c r="A7" s="162" t="s">
        <v>227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</row>
    <row r="8" spans="1:22" ht="16.5" customHeight="1" x14ac:dyDescent="0.2"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6.5" customHeight="1" x14ac:dyDescent="0.2">
      <c r="D9" s="155" t="s">
        <v>194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13.80085625*Deflactores!$A$5</f>
        <v>51.390427474353864</v>
      </c>
      <c r="E13" s="56">
        <f>7.1054318*Deflactores!$B$5</f>
        <v>24.578732405437091</v>
      </c>
      <c r="F13" s="56">
        <f>11.319492*Deflactores!$C$5</f>
        <v>36.5969830470017</v>
      </c>
      <c r="G13" s="56">
        <f>11.181996*Deflactores!$D$5</f>
        <v>33.948711828014503</v>
      </c>
      <c r="H13" s="56">
        <f>5.591634*Deflactores!$E$5</f>
        <v>16.091727331976301</v>
      </c>
      <c r="I13" s="56">
        <f>5.6691*Deflactores!$F$5</f>
        <v>15.559234136039665</v>
      </c>
      <c r="J13" s="56">
        <f>12.163799604*Deflactores!$G$5</f>
        <v>31.95352089941494</v>
      </c>
      <c r="K13" s="56">
        <f>5.2309*Deflactores!$H$5</f>
        <v>13.00090697908106</v>
      </c>
      <c r="L13" s="56">
        <f>7.578*Deflactores!$I$5</f>
        <v>17.492000830340874</v>
      </c>
      <c r="M13" s="56">
        <f>7.8522*Deflactores!$J$5</f>
        <v>17.769220286130984</v>
      </c>
      <c r="N13" s="56">
        <f>7.7421*Deflactores!$K$5</f>
        <v>16.981545756844483</v>
      </c>
      <c r="O13" s="56">
        <f>7.9401*Deflactores!$L$5</f>
        <v>16.790124479709814</v>
      </c>
      <c r="P13" s="56">
        <f>8.474842*Deflactores!$M$5</f>
        <v>17.49403472610318</v>
      </c>
      <c r="Q13" s="56">
        <f>16.220087*Deflactores!$N$5</f>
        <v>32.844822872425922</v>
      </c>
      <c r="R13" s="56">
        <f>16.632597*Deflactores!$O$5</f>
        <v>32.490964616241122</v>
      </c>
      <c r="S13" s="56">
        <f>15.256177246*Deflactores!$P$5</f>
        <v>27.912518458055704</v>
      </c>
      <c r="T13" s="56">
        <f>13.793099778*Deflactores!$Q$5</f>
        <v>23.863536183242111</v>
      </c>
      <c r="U13" s="56">
        <f>9.758045*Deflactores!$R$5</f>
        <v>16.219099181132322</v>
      </c>
      <c r="V13" s="56">
        <f>10.095*Deflactores!$S$5</f>
        <v>16.262028308490002</v>
      </c>
    </row>
    <row r="14" spans="1:22" x14ac:dyDescent="0.2">
      <c r="C14" s="88" t="s">
        <v>124</v>
      </c>
      <c r="D14" s="57">
        <f>0*Deflactores!$A$5</f>
        <v>0</v>
      </c>
      <c r="E14" s="57">
        <f>0*Deflactores!$B$5</f>
        <v>0</v>
      </c>
      <c r="F14" s="57">
        <f>0*Deflactores!$C$5</f>
        <v>0</v>
      </c>
      <c r="G14" s="57">
        <f>0*Deflactores!$D$5</f>
        <v>0</v>
      </c>
      <c r="H14" s="57">
        <f>0*Deflactores!$E$5</f>
        <v>0</v>
      </c>
      <c r="I14" s="57">
        <f>0*Deflactores!$F$5</f>
        <v>0</v>
      </c>
      <c r="J14" s="57">
        <f>0*Deflactores!$G$5</f>
        <v>0</v>
      </c>
      <c r="K14" s="57">
        <f>0*Deflactores!$H$5</f>
        <v>0</v>
      </c>
      <c r="L14" s="57">
        <f>0*Deflactores!$I$5</f>
        <v>0</v>
      </c>
      <c r="M14" s="57">
        <f>0*Deflactores!$J$5</f>
        <v>0</v>
      </c>
      <c r="N14" s="57">
        <f>0*Deflactores!$K$5</f>
        <v>0</v>
      </c>
      <c r="O14" s="57">
        <f>0*Deflactores!$L$5</f>
        <v>0</v>
      </c>
      <c r="P14" s="57">
        <f>7.388*Deflactores!$M$5</f>
        <v>15.250541373685822</v>
      </c>
      <c r="Q14" s="57">
        <f>21.11089*Deflactores!$N$5</f>
        <v>42.748441653196295</v>
      </c>
      <c r="R14" s="57">
        <f>27.486847*Deflactores!$O$5</f>
        <v>53.694211029644592</v>
      </c>
      <c r="S14" s="57">
        <f>29.810494*Deflactores!$P$5</f>
        <v>54.540921398702444</v>
      </c>
      <c r="T14" s="57">
        <f>26.905379796*Deflactores!$Q$5</f>
        <v>46.549181447218935</v>
      </c>
      <c r="U14" s="57">
        <f>24.719986*Deflactores!$R$5</f>
        <v>41.087728606519285</v>
      </c>
      <c r="V14" s="57">
        <f>30.531285*Deflactores!$S$5</f>
        <v>49.182825256520665</v>
      </c>
    </row>
    <row r="15" spans="1:22" x14ac:dyDescent="0.2">
      <c r="C15" s="87" t="s">
        <v>125</v>
      </c>
      <c r="D15" s="56">
        <f>1.51613034*Deflactores!$A$5</f>
        <v>5.6456342177636589</v>
      </c>
      <c r="E15" s="56">
        <f>2.304689762*Deflactores!$B$5</f>
        <v>7.9722604525946617</v>
      </c>
      <c r="F15" s="56">
        <f>1.736618927*Deflactores!$C$5</f>
        <v>5.6146524446963948</v>
      </c>
      <c r="G15" s="56">
        <f>1.754974804*Deflactores!$D$5</f>
        <v>5.3281304953446806</v>
      </c>
      <c r="H15" s="56">
        <f>1.89635611*Deflactores!$E$5</f>
        <v>5.4573753300819137</v>
      </c>
      <c r="I15" s="56">
        <f>1.911463098*Deflactores!$F$5</f>
        <v>5.2461416951864903</v>
      </c>
      <c r="J15" s="56">
        <f>2.331265821*Deflactores!$G$5</f>
        <v>6.1240856934965366</v>
      </c>
      <c r="K15" s="56">
        <f>2.806172783*Deflactores!$H$5</f>
        <v>6.9744769196528367</v>
      </c>
      <c r="L15" s="56">
        <f>2.753424278*Deflactores!$I$5</f>
        <v>6.3556215039663124</v>
      </c>
      <c r="M15" s="56">
        <f>3.103726686*Deflactores!$J$5</f>
        <v>7.0236116236821893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36.741606959*Deflactores!$A$5</f>
        <v>136.81519852927275</v>
      </c>
      <c r="E16" s="57">
        <f>38.249514*Deflactores!$B$5</f>
        <v>132.31068789429796</v>
      </c>
      <c r="F16" s="57">
        <f>41.638*Deflactores!$C$5</f>
        <v>134.61957304365396</v>
      </c>
      <c r="G16" s="57">
        <f>41.02361146*Deflactores!$D$5</f>
        <v>124.54831530971514</v>
      </c>
      <c r="H16" s="57">
        <f>41.0297*Deflactores!$E$5</f>
        <v>118.07617324610086</v>
      </c>
      <c r="I16" s="57">
        <f>47.9101*Deflactores!$F$5</f>
        <v>131.49255849801096</v>
      </c>
      <c r="J16" s="57">
        <f>51.5263*Deflactores!$G$5</f>
        <v>135.3562831944468</v>
      </c>
      <c r="K16" s="57">
        <f>56.152665*Deflactores!$H$5</f>
        <v>139.56213544370965</v>
      </c>
      <c r="L16" s="57">
        <f>84.862539155*Deflactores!$I$5</f>
        <v>195.88487798417719</v>
      </c>
      <c r="M16" s="57">
        <f>90.6529*Deflactores!$J$5</f>
        <v>205.14395324579144</v>
      </c>
      <c r="N16" s="57">
        <f>102.8806*Deflactores!$K$5</f>
        <v>225.65862187153544</v>
      </c>
      <c r="O16" s="57">
        <f>105.2429*Deflactores!$L$5</f>
        <v>222.54649080057584</v>
      </c>
      <c r="P16" s="57">
        <f>135.085535*Deflactores!$M$5</f>
        <v>278.84779920194694</v>
      </c>
      <c r="Q16" s="57">
        <f>159.594189534*Deflactores!$N$5</f>
        <v>323.1698379122505</v>
      </c>
      <c r="R16" s="57">
        <f>172.884116968*Deflactores!$O$5</f>
        <v>337.72066545695657</v>
      </c>
      <c r="S16" s="57">
        <f>177.380948002*Deflactores!$P$5</f>
        <v>324.53404974115517</v>
      </c>
      <c r="T16" s="57">
        <f>187.200506036*Deflactores!$Q$5</f>
        <v>323.87687475708765</v>
      </c>
      <c r="U16" s="57">
        <f>190.059078081*Deflactores!$R$5</f>
        <v>315.9021133506057</v>
      </c>
      <c r="V16" s="57">
        <f>201.717940457*Deflactores!$S$5</f>
        <v>324.94728658167747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0.633677303*Deflactores!$A$5</f>
        <v>2.3596323946904132</v>
      </c>
      <c r="E18" s="57">
        <f>0.65286548*Deflactores!$B$5</f>
        <v>2.2583576032166324</v>
      </c>
      <c r="F18" s="57">
        <f>0.61511624*Deflactores!$C$5</f>
        <v>1.9887286997698685</v>
      </c>
      <c r="G18" s="57">
        <f>0.681290411*Deflactores!$D$5</f>
        <v>2.0684081656109128</v>
      </c>
      <c r="H18" s="57">
        <f>0.649131999*Deflactores!$E$5</f>
        <v>1.8680863465614366</v>
      </c>
      <c r="I18" s="57">
        <f>0.621818614*Deflactores!$F$5</f>
        <v>1.7066238742258335</v>
      </c>
      <c r="J18" s="57">
        <f>2.52450888*Deflactores!$G$5</f>
        <v>6.6317228073464571</v>
      </c>
      <c r="K18" s="57">
        <f>2.638111779*Deflactores!$H$5</f>
        <v>6.5567771968871611</v>
      </c>
      <c r="L18" s="57">
        <f>2.057585413*Deflactores!$I$5</f>
        <v>4.7494438839658573</v>
      </c>
      <c r="M18" s="57">
        <f>2.857676172*Deflactores!$J$5</f>
        <v>6.4668089715870121</v>
      </c>
      <c r="N18" s="57">
        <f>2.504188433*Deflactores!$K$5</f>
        <v>5.4926945478294247</v>
      </c>
      <c r="O18" s="57">
        <f>2.446591666*Deflactores!$L$5</f>
        <v>5.1735593535548192</v>
      </c>
      <c r="P18" s="57">
        <f>2.51436576*Deflactores!$M$5</f>
        <v>5.1902326815726845</v>
      </c>
      <c r="Q18" s="57">
        <f>3.214447316*Deflactores!$N$5</f>
        <v>6.5090867100013048</v>
      </c>
      <c r="R18" s="57">
        <f>3.361287077*Deflactores!$O$5</f>
        <v>6.5661098795236583</v>
      </c>
      <c r="S18" s="57">
        <f>2.620161643*Deflactores!$P$5</f>
        <v>4.7938162387633714</v>
      </c>
      <c r="T18" s="57">
        <f>3.330796699*Deflactores!$Q$5</f>
        <v>5.7626341304648454</v>
      </c>
      <c r="U18" s="57">
        <f>4.000779367*Deflactores!$R$5</f>
        <v>6.6497989459159896</v>
      </c>
      <c r="V18" s="57">
        <f>3.237860172*Deflactores!$S$5</f>
        <v>5.2158666444770976</v>
      </c>
    </row>
    <row r="19" spans="3:22" x14ac:dyDescent="0.2">
      <c r="C19" s="87" t="s">
        <v>129</v>
      </c>
      <c r="D19" s="56">
        <f>677.02913969995*Deflactores!$A$5</f>
        <v>2521.0621914690596</v>
      </c>
      <c r="E19" s="56">
        <f>799.3352668325*Deflactores!$B$5</f>
        <v>2765.0181127211258</v>
      </c>
      <c r="F19" s="56">
        <f>887.60504367584*Deflactores!$C$5</f>
        <v>2869.7106491914938</v>
      </c>
      <c r="G19" s="56">
        <f>1005.52511952191*Deflactores!$D$5</f>
        <v>3052.7897272078408</v>
      </c>
      <c r="H19" s="56">
        <f>989.260062870449*Deflactores!$E$5</f>
        <v>2846.9143710273233</v>
      </c>
      <c r="I19" s="56">
        <f>1167.01286151563*Deflactores!$F$5</f>
        <v>3202.9469143411334</v>
      </c>
      <c r="J19" s="56">
        <f>1090.71971125516*Deflactores!$G$5</f>
        <v>2865.2506801850454</v>
      </c>
      <c r="K19" s="56">
        <f>1145.68708559529*Deflactores!$H$5</f>
        <v>2847.4968412622775</v>
      </c>
      <c r="L19" s="56">
        <f>1193.15000141556*Deflactores!$I$5</f>
        <v>2754.1014536133794</v>
      </c>
      <c r="M19" s="56">
        <f>1481.86724526131*Deflactores!$J$5</f>
        <v>3353.4073910305783</v>
      </c>
      <c r="N19" s="56">
        <f>1710.52501214518*Deflactores!$K$5</f>
        <v>3751.8707795004379</v>
      </c>
      <c r="O19" s="56">
        <f>1871.87444345149*Deflactores!$L$5</f>
        <v>3958.263109524823</v>
      </c>
      <c r="P19" s="56">
        <f>2010.879273274*Deflactores!$M$5</f>
        <v>4150.9200804754219</v>
      </c>
      <c r="Q19" s="56">
        <f>2071.56060457999*Deflactores!$N$5</f>
        <v>4194.801244094765</v>
      </c>
      <c r="R19" s="56">
        <f>1927.5918237*Deflactores!$O$5</f>
        <v>3765.4563348340853</v>
      </c>
      <c r="S19" s="56">
        <f>2122.47920969*Deflactores!$P$5</f>
        <v>3883.2624426177704</v>
      </c>
      <c r="T19" s="56">
        <f>2176.033344102*Deflactores!$Q$5</f>
        <v>3764.7701588981722</v>
      </c>
      <c r="U19" s="56">
        <f>2124.48871331314*Deflactores!$R$5</f>
        <v>3531.1676827091919</v>
      </c>
      <c r="V19" s="56">
        <f>2002.03084577662*Deflactores!$S$5</f>
        <v>3225.0700632481003</v>
      </c>
    </row>
    <row r="20" spans="3:22" x14ac:dyDescent="0.2">
      <c r="C20" s="88" t="s">
        <v>130</v>
      </c>
      <c r="D20" s="57">
        <f>1.117404*Deflactores!$A$5</f>
        <v>4.1608917723168739</v>
      </c>
      <c r="E20" s="57">
        <f>1.079154*Deflactores!$B$5</f>
        <v>3.7329522169584486</v>
      </c>
      <c r="F20" s="57">
        <f>2.749255041*Deflactores!$C$5</f>
        <v>8.8886003123957291</v>
      </c>
      <c r="G20" s="57">
        <f>1.46931272*Deflactores!$D$5</f>
        <v>4.4608560150188001</v>
      </c>
      <c r="H20" s="57">
        <f>1.822051145*Deflactores!$E$5</f>
        <v>5.2435388672175636</v>
      </c>
      <c r="I20" s="57">
        <f>1.989129999*Deflactores!$F$5</f>
        <v>5.4593038368455913</v>
      </c>
      <c r="J20" s="57">
        <f>3.34149*Deflactores!$G$5</f>
        <v>8.7778797765687049</v>
      </c>
      <c r="K20" s="57">
        <f>3.491857051*Deflactores!$H$5</f>
        <v>8.6786802852853828</v>
      </c>
      <c r="L20" s="57">
        <f>3.877321132*Deflactores!$I$5</f>
        <v>8.9498686276645838</v>
      </c>
      <c r="M20" s="57">
        <f>3.890063339*Deflactores!$J$5</f>
        <v>8.8030605941893008</v>
      </c>
      <c r="N20" s="57">
        <f>3.727228289*Deflactores!$K$5</f>
        <v>8.1753138987947302</v>
      </c>
      <c r="O20" s="57">
        <f>3.047493502*Deflactores!$L$5</f>
        <v>6.4442255449788783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57.471637097*Deflactores!$A$5</f>
        <v>214.00788071144234</v>
      </c>
      <c r="E21" s="56">
        <f>59.486360417*Deflactores!$B$5</f>
        <v>205.77205940711841</v>
      </c>
      <c r="F21" s="56">
        <f>68.944614871*Deflactores!$C$5</f>
        <v>222.90442906943599</v>
      </c>
      <c r="G21" s="56">
        <f>75.394540509*Deflactores!$D$5</f>
        <v>228.89898450559335</v>
      </c>
      <c r="H21" s="56">
        <f>84.285393904*Deflactores!$E$5</f>
        <v>242.55836071734763</v>
      </c>
      <c r="I21" s="56">
        <f>53.874977407*Deflactores!$F$5</f>
        <v>147.8635740328024</v>
      </c>
      <c r="J21" s="56">
        <f>83.408252928*Deflactores!$G$5</f>
        <v>219.10812738497458</v>
      </c>
      <c r="K21" s="56">
        <f>51.040732309*Deflactores!$H$5</f>
        <v>126.85691045393456</v>
      </c>
      <c r="L21" s="56">
        <f>31.634407999*Deflactores!$I$5</f>
        <v>73.020465952210344</v>
      </c>
      <c r="M21" s="56">
        <f>32.967140237*Deflactores!$J$5</f>
        <v>74.603343913174072</v>
      </c>
      <c r="N21" s="56">
        <f>8.674186205*Deflactores!$K$5</f>
        <v>19.025986482168495</v>
      </c>
      <c r="O21" s="56">
        <f>7.066182277*Deflactores!$L$5</f>
        <v>14.942139271186678</v>
      </c>
      <c r="P21" s="56">
        <f>11.048655019*Deflactores!$M$5</f>
        <v>22.806980304661749</v>
      </c>
      <c r="Q21" s="56">
        <f>11.544805155*Deflactores!$N$5</f>
        <v>23.377623092443631</v>
      </c>
      <c r="R21" s="56">
        <f>13.363598585*Deflactores!$O$5</f>
        <v>26.105136123413857</v>
      </c>
      <c r="S21" s="56">
        <f>11.617948793*Deflactores!$P$5</f>
        <v>21.256059424347782</v>
      </c>
      <c r="T21" s="56">
        <f>13.452521243*Deflactores!$Q$5</f>
        <v>23.274298932441436</v>
      </c>
      <c r="U21" s="56">
        <f>14.328747186*Deflactores!$R$5</f>
        <v>23.816181596939209</v>
      </c>
      <c r="V21" s="56">
        <f>13.968915652*Deflactores!$S$5</f>
        <v>22.502516272583758</v>
      </c>
    </row>
    <row r="22" spans="3:22" x14ac:dyDescent="0.2">
      <c r="C22" s="88" t="s">
        <v>132</v>
      </c>
      <c r="D22" s="57">
        <f>23.750291*Deflactores!$A$5</f>
        <v>88.439266739721262</v>
      </c>
      <c r="E22" s="57">
        <f>25.105373061*Deflactores!$B$5</f>
        <v>86.843173472580247</v>
      </c>
      <c r="F22" s="57">
        <f>28.76394312*Deflactores!$C$5</f>
        <v>92.996535421162122</v>
      </c>
      <c r="G22" s="57">
        <f>28.804555*Deflactores!$D$5</f>
        <v>87.45107197580775</v>
      </c>
      <c r="H22" s="57">
        <f>30.0428*Deflactores!$E$5</f>
        <v>86.457830732322179</v>
      </c>
      <c r="I22" s="57">
        <f>26.4279*Deflactores!$F$5</f>
        <v>72.533185836171995</v>
      </c>
      <c r="J22" s="57">
        <f>45.334135*Deflactores!$G$5</f>
        <v>119.08986314630167</v>
      </c>
      <c r="K22" s="57">
        <f>67.383831*Deflactores!$H$5</f>
        <v>167.47613579405433</v>
      </c>
      <c r="L22" s="57">
        <f>60.956945*Deflactores!$I$5</f>
        <v>140.70453055622102</v>
      </c>
      <c r="M22" s="57">
        <f>85.68832*Deflactores!$J$5</f>
        <v>193.90930363827761</v>
      </c>
      <c r="N22" s="57">
        <f>57.071871001*Deflactores!$K$5</f>
        <v>125.18161594815454</v>
      </c>
      <c r="O22" s="57">
        <f>57.657537*Deflactores!$L$5</f>
        <v>121.9225480061302</v>
      </c>
      <c r="P22" s="57">
        <f>54.7756*Deflactores!$M$5</f>
        <v>113.06951192047443</v>
      </c>
      <c r="Q22" s="57">
        <f>82.9869*Deflactores!$N$5</f>
        <v>168.04410674441655</v>
      </c>
      <c r="R22" s="57">
        <f>80.605439*Deflactores!$O$5</f>
        <v>157.45878207868455</v>
      </c>
      <c r="S22" s="57">
        <f>78.631760923*Deflactores!$P$5</f>
        <v>143.86372436306846</v>
      </c>
      <c r="T22" s="57">
        <f>59.755594097*Deflactores!$Q$5</f>
        <v>103.38356169650324</v>
      </c>
      <c r="U22" s="57">
        <f>59.29272862*Deflactores!$R$5</f>
        <v>98.551979029379666</v>
      </c>
      <c r="V22" s="57">
        <f>63.865403324*Deflactores!$S$5</f>
        <v>102.88073271798112</v>
      </c>
    </row>
    <row r="23" spans="3:22" x14ac:dyDescent="0.2">
      <c r="C23" s="87" t="s">
        <v>133</v>
      </c>
      <c r="D23" s="56">
        <f>0.225556897*Deflactores!$A$5</f>
        <v>0.83990914379814685</v>
      </c>
      <c r="E23" s="56">
        <f>0.335156211*Deflactores!$B$5</f>
        <v>1.1593545693013634</v>
      </c>
      <c r="F23" s="56">
        <f>0.3006264*Deflactores!$C$5</f>
        <v>0.97195344669894657</v>
      </c>
      <c r="G23" s="56">
        <f>0.2164611*Deflactores!$D$5</f>
        <v>0.65717922863458633</v>
      </c>
      <c r="H23" s="56">
        <f>0.2989976*Deflactores!$E$5</f>
        <v>0.86046187073676794</v>
      </c>
      <c r="I23" s="56">
        <f>0.229936492*Deflactores!$F$5</f>
        <v>0.63107648752846324</v>
      </c>
      <c r="J23" s="56">
        <f>0.24*Deflactores!$G$5</f>
        <v>0.63046459704398017</v>
      </c>
      <c r="K23" s="56">
        <f>0.91262288*Deflactores!$H$5</f>
        <v>2.2682378118222597</v>
      </c>
      <c r="L23" s="56">
        <f>0.259*Deflactores!$I$5</f>
        <v>0.59783956387678627</v>
      </c>
      <c r="M23" s="56">
        <f>0.289*Deflactores!$J$5</f>
        <v>0.65399565251672831</v>
      </c>
      <c r="N23" s="56">
        <f>0.688727349*Deflactores!$K$5</f>
        <v>1.5106566682209865</v>
      </c>
      <c r="O23" s="56">
        <f>1.207619169*Deflactores!$L$5</f>
        <v>2.5536298247621216</v>
      </c>
      <c r="P23" s="56">
        <f>1.713502078*Deflactores!$M$5</f>
        <v>3.5370647447801344</v>
      </c>
      <c r="Q23" s="56">
        <f>0.705*Deflactores!$N$5</f>
        <v>1.4275879115235495</v>
      </c>
      <c r="R23" s="56">
        <f>0.723843*Deflactores!$O$5</f>
        <v>1.4139918919885948</v>
      </c>
      <c r="S23" s="56">
        <f>3.071323648*Deflactores!$P$5</f>
        <v>5.6192568186070337</v>
      </c>
      <c r="T23" s="56">
        <f>1.270106919*Deflactores!$Q$5</f>
        <v>2.1974206600379933</v>
      </c>
      <c r="U23" s="56">
        <f>1.175452402*Deflactores!$R$5</f>
        <v>1.9537498639059587</v>
      </c>
      <c r="V23" s="56">
        <f>5.148*Deflactores!$S$5</f>
        <v>8.2929095326504729</v>
      </c>
    </row>
    <row r="24" spans="3:22" x14ac:dyDescent="0.2">
      <c r="C24" s="88" t="s">
        <v>134</v>
      </c>
      <c r="D24" s="57">
        <f>124.046038978*Deflactores!$A$5</f>
        <v>461.91184475092126</v>
      </c>
      <c r="E24" s="57">
        <f>110.193429036*Deflactores!$B$5</f>
        <v>381.17525878066493</v>
      </c>
      <c r="F24" s="57">
        <f>112.165425957*Deflactores!$C$5</f>
        <v>362.64137933116194</v>
      </c>
      <c r="G24" s="57">
        <f>105.170769035*Deflactores!$D$5</f>
        <v>319.3000722500604</v>
      </c>
      <c r="H24" s="57">
        <f>110.160474664*Deflactores!$E$5</f>
        <v>317.02223733781068</v>
      </c>
      <c r="I24" s="57">
        <f>112.19177772802*Deflactores!$F$5</f>
        <v>307.91803598609715</v>
      </c>
      <c r="J24" s="57">
        <f>115.603494726019*Deflactores!$G$5</f>
        <v>303.68296133048108</v>
      </c>
      <c r="K24" s="57">
        <f>147.53513916*Deflactores!$H$5</f>
        <v>366.68462795406901</v>
      </c>
      <c r="L24" s="57">
        <f>147.687566485*Deflactores!$I$5</f>
        <v>340.90142987419409</v>
      </c>
      <c r="M24" s="57">
        <f>160.361886243*Deflactores!$J$5</f>
        <v>362.8926520148932</v>
      </c>
      <c r="N24" s="57">
        <f>164.322565004*Deflactores!$K$5</f>
        <v>360.42561533659836</v>
      </c>
      <c r="O24" s="57">
        <f>172.746227474*Deflactores!$L$5</f>
        <v>365.28893372737463</v>
      </c>
      <c r="P24" s="57">
        <f>168.909555726*Deflactores!$M$5</f>
        <v>348.66840389960123</v>
      </c>
      <c r="Q24" s="57">
        <f>200.302740406*Deflactores!$N$5</f>
        <v>405.60251184204998</v>
      </c>
      <c r="R24" s="57">
        <f>202.059*Deflactores!$O$5</f>
        <v>394.71237230079373</v>
      </c>
      <c r="S24" s="57">
        <f>204.4395*Deflactores!$P$5</f>
        <v>374.04005114071674</v>
      </c>
      <c r="T24" s="57">
        <f>194.91449716*Deflactores!$Q$5</f>
        <v>337.22290351549589</v>
      </c>
      <c r="U24" s="57">
        <f>205.674911198*Deflactores!$R$5</f>
        <v>341.85759378963155</v>
      </c>
      <c r="V24" s="57">
        <f>219.835570801*Deflactores!$S$5</f>
        <v>354.13296439612873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121.340562231*Deflactores!$A$5</f>
        <v>451.83742588649363</v>
      </c>
      <c r="E26" s="57">
        <f>129.504627196*Deflactores!$B$5</f>
        <v>447.97553008901934</v>
      </c>
      <c r="F26" s="57">
        <f>146.786565959*Deflactores!$C$5</f>
        <v>474.57478356176404</v>
      </c>
      <c r="G26" s="57">
        <f>135.669628686*Deflactores!$D$5</f>
        <v>411.89507920363633</v>
      </c>
      <c r="H26" s="57">
        <f>141.49358*Deflactores!$E$5</f>
        <v>407.19333715067461</v>
      </c>
      <c r="I26" s="57">
        <f>147.156956025*Deflactores!$F$5</f>
        <v>403.8823681959866</v>
      </c>
      <c r="J26" s="57">
        <f>203.854189*Deflactores!$G$5</f>
        <v>535.51187134838483</v>
      </c>
      <c r="K26" s="57">
        <f>212.88573*Deflactores!$H$5</f>
        <v>529.10733772462982</v>
      </c>
      <c r="L26" s="57">
        <f>257.999026*Deflactores!$I$5</f>
        <v>595.5290547663152</v>
      </c>
      <c r="M26" s="57">
        <f>296.88755*Deflactores!$J$5</f>
        <v>671.8448684648539</v>
      </c>
      <c r="N26" s="57">
        <f>305.837247*Deflactores!$K$5</f>
        <v>670.8243505092737</v>
      </c>
      <c r="O26" s="57">
        <f>311.0035655*Deflactores!$L$5</f>
        <v>657.64770952237177</v>
      </c>
      <c r="P26" s="57">
        <f>323.28705196*Deflactores!$M$5</f>
        <v>667.33927470125855</v>
      </c>
      <c r="Q26" s="57">
        <f>351.531764988*Deflactores!$N$5</f>
        <v>711.83333079915769</v>
      </c>
      <c r="R26" s="57">
        <f>368.847347583*Deflactores!$O$5</f>
        <v>720.52525045329025</v>
      </c>
      <c r="S26" s="57">
        <f>369.97270037*Deflactores!$P$5</f>
        <v>676.89760426465466</v>
      </c>
      <c r="T26" s="57">
        <f>405.814701572*Deflactores!$Q$5</f>
        <v>702.10278838853048</v>
      </c>
      <c r="U26" s="57">
        <f>400.569059354*Deflactores!$R$5</f>
        <v>665.7962022675041</v>
      </c>
      <c r="V26" s="57">
        <f>640.910570447*Deflactores!$S$5</f>
        <v>1032.4423813590479</v>
      </c>
    </row>
    <row r="27" spans="3:22" x14ac:dyDescent="0.2">
      <c r="C27" s="87" t="s">
        <v>137</v>
      </c>
      <c r="D27" s="56">
        <f>5.188840261*Deflactores!$A$5</f>
        <v>19.32175180137304</v>
      </c>
      <c r="E27" s="56">
        <f>5.430549946*Deflactores!$B$5</f>
        <v>18.785070027284597</v>
      </c>
      <c r="F27" s="56">
        <f>4.957805335*Deflactores!$C$5</f>
        <v>16.029051285634512</v>
      </c>
      <c r="G27" s="56">
        <f>5.278021855*Deflactores!$D$5</f>
        <v>16.024155524412418</v>
      </c>
      <c r="H27" s="56">
        <f>5.612049827*Deflactores!$E$5</f>
        <v>16.150480448031605</v>
      </c>
      <c r="I27" s="56">
        <f>5.473532357*Deflactores!$F$5</f>
        <v>15.022485314027278</v>
      </c>
      <c r="J27" s="56">
        <f>5.747218434*Deflactores!$G$5</f>
        <v>15.097573975481435</v>
      </c>
      <c r="K27" s="56">
        <f>6.089412608*Deflactores!$H$5</f>
        <v>15.134658830000841</v>
      </c>
      <c r="L27" s="56">
        <f>6.4874*Deflactores!$I$5</f>
        <v>14.974611531638081</v>
      </c>
      <c r="M27" s="56">
        <f>6.763475*Deflactores!$J$5</f>
        <v>15.305478359534876</v>
      </c>
      <c r="N27" s="56">
        <f>6.9391043*Deflactores!$K$5</f>
        <v>15.220252538970863</v>
      </c>
      <c r="O27" s="56">
        <f>7.148123029*Deflactores!$L$5</f>
        <v>15.115411072050776</v>
      </c>
      <c r="P27" s="56">
        <f>8.156053805*Deflactores!$M$5</f>
        <v>16.835982133075284</v>
      </c>
      <c r="Q27" s="56">
        <f>5.8824*Deflactores!$N$5</f>
        <v>11.911550540065429</v>
      </c>
      <c r="R27" s="56">
        <f>7.288*Deflactores!$O$5</f>
        <v>14.236751490050851</v>
      </c>
      <c r="S27" s="56">
        <f>6.628177921*Deflactores!$P$5</f>
        <v>12.126834630981827</v>
      </c>
      <c r="T27" s="56">
        <f>5.35734824*Deflactores!$Q$5</f>
        <v>9.2687848003087545</v>
      </c>
      <c r="U27" s="56">
        <f>3.837543532*Deflactores!$R$5</f>
        <v>6.3784804392089658</v>
      </c>
      <c r="V27" s="56">
        <f>4.935194231*Deflactores!$S$5</f>
        <v>7.9501008709676606</v>
      </c>
    </row>
    <row r="28" spans="3:22" x14ac:dyDescent="0.2">
      <c r="C28" s="88" t="s">
        <v>138</v>
      </c>
      <c r="D28" s="57">
        <f>10.726020194*Deflactores!$A$5</f>
        <v>39.940620558830318</v>
      </c>
      <c r="E28" s="57">
        <f>13.291699*Deflactores!$B$5</f>
        <v>45.977939431438323</v>
      </c>
      <c r="F28" s="57">
        <f>13.74561668*Deflactores!$C$5</f>
        <v>44.440872488672085</v>
      </c>
      <c r="G28" s="57">
        <f>13.445056*Deflactores!$D$5</f>
        <v>40.819396792443619</v>
      </c>
      <c r="H28" s="57">
        <f>32.096393*Deflactores!$E$5</f>
        <v>92.367705843399762</v>
      </c>
      <c r="I28" s="57">
        <f>16.281800051*Deflactores!$F$5</f>
        <v>44.6865179922195</v>
      </c>
      <c r="J28" s="57">
        <f>22.412383*Deflactores!$G$5</f>
        <v>58.875891737043126</v>
      </c>
      <c r="K28" s="57">
        <f>30.404*Deflactores!$H$5</f>
        <v>75.566265038899729</v>
      </c>
      <c r="L28" s="57">
        <f>44.725*Deflactores!$I$5</f>
        <v>103.23696715980411</v>
      </c>
      <c r="M28" s="57">
        <f>46.69213*Deflactores!$J$5</f>
        <v>105.66245683995123</v>
      </c>
      <c r="N28" s="57">
        <f>48.519375*Deflactores!$K$5</f>
        <v>106.42254513064883</v>
      </c>
      <c r="O28" s="57">
        <f>33.989953*Deflactores!$L$5</f>
        <v>71.875107609411216</v>
      </c>
      <c r="P28" s="57">
        <f>20.347235*Deflactores!$M$5</f>
        <v>42.001400813157588</v>
      </c>
      <c r="Q28" s="57">
        <f>20.362461*Deflactores!$N$5</f>
        <v>41.232912301375499</v>
      </c>
      <c r="R28" s="57">
        <f>53.7835*Deflactores!$O$5</f>
        <v>105.06343630147501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106.979473554*Deflactores!$A$5</f>
        <v>398.36085365510519</v>
      </c>
      <c r="E29" s="56">
        <f>180.07728343*Deflactores!$B$5</f>
        <v>622.91377727726842</v>
      </c>
      <c r="F29" s="56">
        <f>118.75088055*Deflactores!$C$5</f>
        <v>383.93277386519412</v>
      </c>
      <c r="G29" s="56">
        <f>135.638305601*Deflactores!$D$5</f>
        <v>411.79998183584712</v>
      </c>
      <c r="H29" s="56">
        <f>126.18836426*Deflactores!$E$5</f>
        <v>363.14765060446075</v>
      </c>
      <c r="I29" s="56">
        <f>132.77632913804*Deflactores!$F$5</f>
        <v>364.41375046879222</v>
      </c>
      <c r="J29" s="56">
        <f>203.97829052704*Deflactores!$G$5</f>
        <v>535.83787809520913</v>
      </c>
      <c r="K29" s="56">
        <f>172.122981215999*Deflactores!$H$5</f>
        <v>427.79538277377122</v>
      </c>
      <c r="L29" s="56">
        <f>191.626098741*Deflactores!$I$5</f>
        <v>442.32302431941855</v>
      </c>
      <c r="M29" s="56">
        <f>456.410829655*Deflactores!$J$5</f>
        <v>1032.8397866986957</v>
      </c>
      <c r="N29" s="56">
        <f>579.844923724*Deflactores!$K$5</f>
        <v>1271.833624480839</v>
      </c>
      <c r="O29" s="56">
        <f>616.783008822*Deflactores!$L$5</f>
        <v>1304.2484975115349</v>
      </c>
      <c r="P29" s="56">
        <f>585.801071101*Deflactores!$M$5</f>
        <v>1209.228948507752</v>
      </c>
      <c r="Q29" s="56">
        <f>722.855719611*Deflactores!$N$5</f>
        <v>1463.7448043862696</v>
      </c>
      <c r="R29" s="56">
        <f>649.200587198*Deflactores!$O$5</f>
        <v>1268.1815898920161</v>
      </c>
      <c r="S29" s="56">
        <f>503.131819782*Deflactores!$P$5</f>
        <v>920.5239281145823</v>
      </c>
      <c r="T29" s="56">
        <f>479.742201449*Deflactores!$Q$5</f>
        <v>830.00526112096668</v>
      </c>
      <c r="U29" s="56">
        <f>458.38611713826*Deflactores!$R$5</f>
        <v>761.89543060311553</v>
      </c>
      <c r="V29" s="56">
        <f>465.142400646*Deflactores!$S$5</f>
        <v>749.29756184093605</v>
      </c>
    </row>
    <row r="30" spans="3:22" x14ac:dyDescent="0.2">
      <c r="C30" s="88" t="s">
        <v>140</v>
      </c>
      <c r="D30" s="57">
        <f>14.276947494*Deflactores!$A$5</f>
        <v>53.163254616579685</v>
      </c>
      <c r="E30" s="57">
        <f>4.570054056*Deflactores!$B$5</f>
        <v>15.808488334348157</v>
      </c>
      <c r="F30" s="57">
        <f>9.38915895*Deflactores!$C$5</f>
        <v>30.356034609923686</v>
      </c>
      <c r="G30" s="57">
        <f>9.82322591*Deflactores!$D$5</f>
        <v>29.823464937751321</v>
      </c>
      <c r="H30" s="57">
        <f>2279.89389*Deflactores!$E$5</f>
        <v>6561.1287905679746</v>
      </c>
      <c r="I30" s="57">
        <f>2040.920686961*Deflactores!$F$5</f>
        <v>5601.4469354065222</v>
      </c>
      <c r="J30" s="57">
        <f>129.265054937*Deflactores!$G$5</f>
        <v>339.57100321968193</v>
      </c>
      <c r="K30" s="57">
        <f>80.305856*Deflactores!$H$5</f>
        <v>199.59260619233376</v>
      </c>
      <c r="L30" s="57">
        <f>74.0099*Deflactores!$I$5</f>
        <v>170.83415574735352</v>
      </c>
      <c r="M30" s="57">
        <f>77.782*Deflactores!$J$5</f>
        <v>176.01761191714934</v>
      </c>
      <c r="N30" s="57">
        <f>918.574036397*Deflactores!$K$5</f>
        <v>2014.8030934920739</v>
      </c>
      <c r="O30" s="57">
        <f>685.3882*Deflactores!$L$5</f>
        <v>1449.320939903055</v>
      </c>
      <c r="P30" s="57">
        <f>152.900642702*Deflactores!$M$5</f>
        <v>315.62230340958365</v>
      </c>
      <c r="Q30" s="57">
        <f>266.708764*Deflactores!$N$5</f>
        <v>540.07121614721586</v>
      </c>
      <c r="R30" s="57">
        <f>370.293201064*Deflactores!$O$5</f>
        <v>723.34965450104301</v>
      </c>
      <c r="S30" s="57">
        <f>666.255231335*Deflactores!$P$5</f>
        <v>1218.9725605928083</v>
      </c>
      <c r="T30" s="57">
        <f>444.310438666*Deflactores!$Q$5</f>
        <v>768.70452620155515</v>
      </c>
      <c r="U30" s="57">
        <f>540.211884629*Deflactores!$R$5</f>
        <v>897.90015680642625</v>
      </c>
      <c r="V30" s="57">
        <f>475.601225*Deflactores!$S$5</f>
        <v>766.14567454210226</v>
      </c>
    </row>
    <row r="31" spans="3:22" x14ac:dyDescent="0.2">
      <c r="C31" s="87" t="s">
        <v>141</v>
      </c>
      <c r="D31" s="56">
        <f>9.184223294*Deflactores!$A$5</f>
        <v>34.199411438589422</v>
      </c>
      <c r="E31" s="56">
        <f>8.382529829*Deflactores!$B$5</f>
        <v>28.996402097277933</v>
      </c>
      <c r="F31" s="56">
        <f>10.845507335*Deflactores!$C$5</f>
        <v>35.064546012765206</v>
      </c>
      <c r="G31" s="56">
        <f>11.930545653*Deflactores!$D$5</f>
        <v>36.221320086741947</v>
      </c>
      <c r="H31" s="56">
        <f>14.276763447*Deflactores!$E$5</f>
        <v>41.085983913154919</v>
      </c>
      <c r="I31" s="56">
        <f>14.562986552*Deflactores!$F$5</f>
        <v>39.969116346962473</v>
      </c>
      <c r="J31" s="56">
        <f>24.913591299*Deflactores!$G$5</f>
        <v>65.446405413510192</v>
      </c>
      <c r="K31" s="56">
        <f>20.154658*Deflactores!$H$5</f>
        <v>50.092495336020939</v>
      </c>
      <c r="L31" s="56">
        <f>25.638*Deflactores!$I$5</f>
        <v>59.179192041208672</v>
      </c>
      <c r="M31" s="56">
        <f>27.86438595*Deflactores!$J$5</f>
        <v>63.05601131954397</v>
      </c>
      <c r="N31" s="56">
        <f>30.773414526*Deflactores!$K$5</f>
        <v>67.498501293914018</v>
      </c>
      <c r="O31" s="56">
        <f>25.431882887*Deflactores!$L$5</f>
        <v>53.778224383336713</v>
      </c>
      <c r="P31" s="56">
        <f>26.194855358*Deflactores!$M$5</f>
        <v>54.07224220558944</v>
      </c>
      <c r="Q31" s="56">
        <f>26.981*Deflactores!$N$5</f>
        <v>54.635105589811197</v>
      </c>
      <c r="R31" s="56">
        <f>29.804*Deflactores!$O$5</f>
        <v>58.220656066064151</v>
      </c>
      <c r="S31" s="56">
        <f>31.3467*Deflactores!$P$5</f>
        <v>57.351545425872715</v>
      </c>
      <c r="T31" s="56">
        <f>42.563385942*Deflactores!$Q$5</f>
        <v>73.639204881869844</v>
      </c>
      <c r="U31" s="56">
        <f>24.299951725*Deflactores!$R$5</f>
        <v>40.389578765470183</v>
      </c>
      <c r="V31" s="56">
        <f>21.823*Deflactores!$S$5</f>
        <v>35.154655153657977</v>
      </c>
    </row>
    <row r="32" spans="3:22" x14ac:dyDescent="0.2">
      <c r="C32" s="88" t="s">
        <v>142</v>
      </c>
      <c r="D32" s="57">
        <f>18.629317588*Deflactores!$A$5</f>
        <v>69.370231604493284</v>
      </c>
      <c r="E32" s="57">
        <f>20.231653333*Deflactores!$B$5</f>
        <v>69.984260969386327</v>
      </c>
      <c r="F32" s="57">
        <f>22.780749905*Deflactores!$C$5</f>
        <v>73.652308608131051</v>
      </c>
      <c r="G32" s="57">
        <f>23.511103627*Deflactores!$D$5</f>
        <v>71.380072197451128</v>
      </c>
      <c r="H32" s="57">
        <f>31.311627703*Deflactores!$E$5</f>
        <v>90.109291008143842</v>
      </c>
      <c r="I32" s="57">
        <f>25.481814913*Deflactores!$F$5</f>
        <v>69.936590365771323</v>
      </c>
      <c r="J32" s="57">
        <f>43.239761194*Deflactores!$G$5</f>
        <v>113.58807757272143</v>
      </c>
      <c r="K32" s="57">
        <f>45.185550448*Deflactores!$H$5</f>
        <v>112.30440998165183</v>
      </c>
      <c r="L32" s="57">
        <f>40.904823783*Deflactores!$I$5</f>
        <v>94.419003903032859</v>
      </c>
      <c r="M32" s="57">
        <f>44.6761398259999*Deflactores!$J$5</f>
        <v>101.10035023333356</v>
      </c>
      <c r="N32" s="57">
        <f>55.929517333*Deflactores!$K$5</f>
        <v>122.67597392807716</v>
      </c>
      <c r="O32" s="57">
        <f>48.181120576*Deflactores!$L$5</f>
        <v>101.88373094078763</v>
      </c>
      <c r="P32" s="57">
        <f>54.620596755*Deflactores!$M$5</f>
        <v>112.74954935943923</v>
      </c>
      <c r="Q32" s="57">
        <f>79.205162*Deflactores!$N$5</f>
        <v>160.38628624321194</v>
      </c>
      <c r="R32" s="57">
        <f>105.171*Deflactores!$O$5</f>
        <v>205.44640380902004</v>
      </c>
      <c r="S32" s="57">
        <f>107.5389*Deflactores!$P$5</f>
        <v>196.75187845605384</v>
      </c>
      <c r="T32" s="57">
        <f>100.577171697*Deflactores!$Q$5</f>
        <v>174.00925206295668</v>
      </c>
      <c r="U32" s="57">
        <f>107.550848*Deflactores!$R$5</f>
        <v>178.76304841050509</v>
      </c>
      <c r="V32" s="57">
        <f>94.863065*Deflactores!$S$5</f>
        <v>152.8148438296312</v>
      </c>
    </row>
    <row r="33" spans="3:22" x14ac:dyDescent="0.2">
      <c r="C33" s="87" t="s">
        <v>143</v>
      </c>
      <c r="D33" s="56">
        <f>0*Deflactores!$A$5</f>
        <v>0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0*Deflactores!$E$5</f>
        <v>0</v>
      </c>
      <c r="I33" s="56">
        <f>0*Deflactores!$F$5</f>
        <v>0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0*Deflactores!$M$5</f>
        <v>0</v>
      </c>
      <c r="Q33" s="56">
        <f>0*Deflactores!$N$5</f>
        <v>0</v>
      </c>
      <c r="R33" s="56">
        <f>0*Deflactores!$O$5</f>
        <v>0</v>
      </c>
      <c r="S33" s="56">
        <f>0*Deflactores!$P$5</f>
        <v>0</v>
      </c>
      <c r="T33" s="56">
        <f>0*Deflactores!$Q$5</f>
        <v>0</v>
      </c>
      <c r="U33" s="56">
        <f>0*Deflactores!$R$5</f>
        <v>0</v>
      </c>
      <c r="V33" s="56">
        <f>0*Deflactores!$S$5</f>
        <v>0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14.118407319*Deflactores!$A$5</f>
        <v>52.572896509986919</v>
      </c>
      <c r="E35" s="56">
        <f>14.591125569*Deflactores!$B$5</f>
        <v>50.472846823268654</v>
      </c>
      <c r="F35" s="56">
        <f>29.568428695*Deflactores!$C$5</f>
        <v>95.59751300477032</v>
      </c>
      <c r="G35" s="56">
        <f>15.196325395*Deflactores!$D$5</f>
        <v>46.13627760907746</v>
      </c>
      <c r="H35" s="56">
        <f>15.590637919*Deflactores!$E$5</f>
        <v>44.867080771759809</v>
      </c>
      <c r="I35" s="56">
        <f>11.65178481*Deflactores!$F$5</f>
        <v>31.979123310850124</v>
      </c>
      <c r="J35" s="56">
        <f>16.409502242*Deflactores!$G$5</f>
        <v>43.106709244561742</v>
      </c>
      <c r="K35" s="56">
        <f>17.532942188*Deflactores!$H$5</f>
        <v>43.576468763653281</v>
      </c>
      <c r="L35" s="56">
        <f>19.812*Deflactores!$I$5</f>
        <v>45.731264245277565</v>
      </c>
      <c r="M35" s="56">
        <f>21.73381516*Deflactores!$J$5</f>
        <v>49.182770336478065</v>
      </c>
      <c r="N35" s="56">
        <f>22.058290566*Deflactores!$K$5</f>
        <v>48.382721815050182</v>
      </c>
      <c r="O35" s="56">
        <f>23.647803244*Deflactores!$L$5</f>
        <v>50.005612037435995</v>
      </c>
      <c r="P35" s="56">
        <f>23.104685341*Deflactores!$M$5</f>
        <v>47.693416312792749</v>
      </c>
      <c r="Q35" s="56">
        <f>25.861749799*Deflactores!$N$5</f>
        <v>52.368682814041115</v>
      </c>
      <c r="R35" s="56">
        <f>35.046*Deflactores!$O$5</f>
        <v>68.460646641097981</v>
      </c>
      <c r="S35" s="56">
        <f>39.737043267*Deflactores!$P$5</f>
        <v>72.702416586665265</v>
      </c>
      <c r="T35" s="56">
        <f>40.230054*Deflactores!$Q$5</f>
        <v>69.602291343823566</v>
      </c>
      <c r="U35" s="56">
        <f>45.866804*Deflactores!$R$5</f>
        <v>76.236402188917637</v>
      </c>
      <c r="V35" s="56">
        <f>48.7242668*Deflactores!$S$5</f>
        <v>78.489886677763195</v>
      </c>
    </row>
    <row r="36" spans="3:22" x14ac:dyDescent="0.2">
      <c r="C36" s="88" t="s">
        <v>146</v>
      </c>
      <c r="D36" s="57">
        <f>50.6351*Deflactores!$A$5</f>
        <v>188.55057882416935</v>
      </c>
      <c r="E36" s="57">
        <f>53.045352745*Deflactores!$B$5</f>
        <v>183.49166766632999</v>
      </c>
      <c r="F36" s="57">
        <f>51.924564245*Deflactores!$C$5</f>
        <v>167.87700343771749</v>
      </c>
      <c r="G36" s="57">
        <f>36.78321958*Deflactores!$D$5</f>
        <v>111.67442034749438</v>
      </c>
      <c r="H36" s="57">
        <f>47.552715518*Deflactores!$E$5</f>
        <v>136.84825079944326</v>
      </c>
      <c r="I36" s="57">
        <f>43.246396689*Deflactores!$F$5</f>
        <v>118.69270459582677</v>
      </c>
      <c r="J36" s="57">
        <f>54.46192031*Deflactores!$G$5</f>
        <v>143.06796934368961</v>
      </c>
      <c r="K36" s="57">
        <f>53.161601715*Deflactores!$H$5</f>
        <v>132.12813067649375</v>
      </c>
      <c r="L36" s="57">
        <f>56.65*Deflactores!$I$5</f>
        <v>130.76297796764456</v>
      </c>
      <c r="M36" s="57">
        <f>71.452760131*Deflactores!$J$5</f>
        <v>161.69479060897791</v>
      </c>
      <c r="N36" s="57">
        <f>110.531394776*Deflactores!$K$5</f>
        <v>242.43989847153682</v>
      </c>
      <c r="O36" s="57">
        <f>109.3448*Deflactores!$L$5</f>
        <v>231.2203628680966</v>
      </c>
      <c r="P36" s="57">
        <f>176.736641177*Deflactores!$M$5</f>
        <v>364.82531923607252</v>
      </c>
      <c r="Q36" s="57">
        <f>176.643*Deflactores!$N$5</f>
        <v>357.69278220603456</v>
      </c>
      <c r="R36" s="57">
        <f>168.7503*Deflactores!$O$5</f>
        <v>329.64545622551157</v>
      </c>
      <c r="S36" s="57">
        <f>199.21776086*Deflactores!$P$5</f>
        <v>364.48641999326685</v>
      </c>
      <c r="T36" s="57">
        <f>284.762178929*Deflactores!$Q$5</f>
        <v>492.66899173235691</v>
      </c>
      <c r="U36" s="57">
        <f>264.567356854*Deflactores!$R$5</f>
        <v>439.74425214323719</v>
      </c>
      <c r="V36" s="57">
        <f>253.634*Deflactores!$S$5</f>
        <v>408.57882991535934</v>
      </c>
    </row>
    <row r="37" spans="3:22" x14ac:dyDescent="0.2">
      <c r="C37" s="90" t="s">
        <v>147</v>
      </c>
      <c r="D37" s="58">
        <f>150.996119206*Deflactores!$A$5</f>
        <v>562.26620815392039</v>
      </c>
      <c r="E37" s="58">
        <f>140.570892801*Deflactores!$B$5</f>
        <v>486.25536848431403</v>
      </c>
      <c r="F37" s="58">
        <f>172.479690304*Deflactores!$C$5</f>
        <v>557.64307285234986</v>
      </c>
      <c r="G37" s="58">
        <f>149.110067351*Deflactores!$D$5</f>
        <v>452.70045769600824</v>
      </c>
      <c r="H37" s="58">
        <f>147.33967978316*Deflactores!$E$5</f>
        <v>424.01737171125853</v>
      </c>
      <c r="I37" s="58">
        <f>138.035578*Deflactores!$F$5</f>
        <v>378.84812002003235</v>
      </c>
      <c r="J37" s="58">
        <f>167.89481956*Deflactores!$G$5</f>
        <v>441.04891566527982</v>
      </c>
      <c r="K37" s="58">
        <f>190.495341*Deflactores!$H$5</f>
        <v>473.45814454287529</v>
      </c>
      <c r="L37" s="58">
        <f>175.663272745*Deflactores!$I$5</f>
        <v>405.47665778779827</v>
      </c>
      <c r="M37" s="58">
        <f>240.27052676623*Deflactores!$J$5</f>
        <v>543.72276793432047</v>
      </c>
      <c r="N37" s="58">
        <f>267.778177635*Deflactores!$K$5</f>
        <v>587.34547166701327</v>
      </c>
      <c r="O37" s="58">
        <f>320.447663252*Deflactores!$L$5</f>
        <v>677.61818556859635</v>
      </c>
      <c r="P37" s="58">
        <f>421.54627694*Deflactores!$M$5</f>
        <v>870.1690494581336</v>
      </c>
      <c r="Q37" s="58">
        <f>485.33078101742*Deflactores!$N$5</f>
        <v>982.76929939113734</v>
      </c>
      <c r="R37" s="58">
        <f>459.52079228952*Deflactores!$O$5</f>
        <v>897.65138917908496</v>
      </c>
      <c r="S37" s="58">
        <f>487.563746691*Deflactores!$P$5</f>
        <v>892.04076876856527</v>
      </c>
      <c r="T37" s="58">
        <f>510.20016665*Deflactores!$Q$5</f>
        <v>882.70079485452925</v>
      </c>
      <c r="U37" s="58">
        <f>559.363797995*Deflactores!$R$5</f>
        <v>929.73304775862084</v>
      </c>
      <c r="V37" s="58">
        <f>528.785330166*Deflactores!$S$5</f>
        <v>851.81991166654018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194.6180484*Deflactores!$A$5</f>
        <v>724.70175185691755</v>
      </c>
      <c r="E39" s="56">
        <f>182.98753486*Deflactores!$B$5</f>
        <v>632.9807644983</v>
      </c>
      <c r="F39" s="56">
        <f>179.904192022*Deflactores!$C$5</f>
        <v>581.64718571413562</v>
      </c>
      <c r="G39" s="56">
        <f>188.224531983*Deflactores!$D$5</f>
        <v>571.45257387444656</v>
      </c>
      <c r="H39" s="56">
        <f>172.976522*Deflactores!$E$5</f>
        <v>497.79564021135855</v>
      </c>
      <c r="I39" s="56">
        <f>112.7781*Deflactores!$F$5</f>
        <v>309.52723771281063</v>
      </c>
      <c r="J39" s="56">
        <f>206.19*Deflactores!$G$5</f>
        <v>541.64789693540945</v>
      </c>
      <c r="K39" s="56">
        <f>208.84553*Deflactores!$H$5</f>
        <v>519.06580292624267</v>
      </c>
      <c r="L39" s="56">
        <f>265.14454512*Deflactores!$I$5</f>
        <v>612.02277690675544</v>
      </c>
      <c r="M39" s="56">
        <f>299.8972*Deflactores!$J$5</f>
        <v>678.65558824200616</v>
      </c>
      <c r="N39" s="56">
        <f>378.2163*Deflactores!$K$5</f>
        <v>829.58078614774024</v>
      </c>
      <c r="O39" s="56">
        <f>409.946884*Deflactores!$L$5</f>
        <v>866.87311399468012</v>
      </c>
      <c r="P39" s="56">
        <f>493.144092*Deflactores!$M$5</f>
        <v>1017.9635054459566</v>
      </c>
      <c r="Q39" s="56">
        <f>393.677543896*Deflactores!$N$5</f>
        <v>797.176315892498</v>
      </c>
      <c r="R39" s="56">
        <f>432.120506985*Deflactores!$O$5</f>
        <v>844.12627218718831</v>
      </c>
      <c r="S39" s="56">
        <f>438.191902309*Deflactores!$P$5</f>
        <v>801.71063590502968</v>
      </c>
      <c r="T39" s="56">
        <f>124.243350461*Deflactores!$Q$5</f>
        <v>214.95426966912092</v>
      </c>
      <c r="U39" s="56">
        <f>129.712778591*Deflactores!$R$5</f>
        <v>215.59896690655623</v>
      </c>
      <c r="V39" s="56">
        <f>286.041168955*Deflactores!$S$5</f>
        <v>460.78351529864102</v>
      </c>
    </row>
    <row r="40" spans="3:22" x14ac:dyDescent="0.2">
      <c r="C40" s="88" t="s">
        <v>150</v>
      </c>
      <c r="D40" s="57">
        <f>142.710372637*Deflactores!$A$5</f>
        <v>531.41246615330567</v>
      </c>
      <c r="E40" s="57">
        <f>160.298353562*Deflactores!$B$5</f>
        <v>554.49555327975168</v>
      </c>
      <c r="F40" s="57">
        <f>181.324006*Deflactores!$C$5</f>
        <v>586.23757794046185</v>
      </c>
      <c r="G40" s="57">
        <f>188.9558*Deflactores!$D$5</f>
        <v>573.6727148204975</v>
      </c>
      <c r="H40" s="57">
        <f>199.4742*Deflactores!$E$5</f>
        <v>574.05124086521164</v>
      </c>
      <c r="I40" s="57">
        <f>211.529189603*Deflactores!$F$5</f>
        <v>580.55638243103908</v>
      </c>
      <c r="J40" s="57">
        <f>228.06787497*Deflactores!$G$5</f>
        <v>599.11967038182456</v>
      </c>
      <c r="K40" s="57">
        <f>228.397213*Deflactores!$H$5</f>
        <v>567.65966095592796</v>
      </c>
      <c r="L40" s="57">
        <f>243.584963*Deflactores!$I$5</f>
        <v>562.25763724657565</v>
      </c>
      <c r="M40" s="57">
        <f>261.424799999999*Deflactores!$J$5</f>
        <v>591.5940576472475</v>
      </c>
      <c r="N40" s="57">
        <f>341.112878622*Deflactores!$K$5</f>
        <v>748.19802851531642</v>
      </c>
      <c r="O40" s="57">
        <f>247.9283*Deflactores!$L$5</f>
        <v>524.26884032226781</v>
      </c>
      <c r="P40" s="57">
        <f>327.28376181*Deflactores!$M$5</f>
        <v>675.5894085569762</v>
      </c>
      <c r="Q40" s="57">
        <f>360.11432*Deflactores!$N$5</f>
        <v>729.21255318939461</v>
      </c>
      <c r="R40" s="57">
        <f>382.9792823*Deflactores!$O$5</f>
        <v>748.13129362556674</v>
      </c>
      <c r="S40" s="57">
        <f>402.505630313*Deflactores!$P$5</f>
        <v>736.41946173171493</v>
      </c>
      <c r="T40" s="57">
        <f>508.907720429*Deflactores!$Q$5</f>
        <v>880.46472481544185</v>
      </c>
      <c r="U40" s="57">
        <f>731.092718978*Deflactores!$R$5</f>
        <v>1215.1681325212053</v>
      </c>
      <c r="V40" s="57">
        <f>701.717146668*Deflactores!$S$5</f>
        <v>1130.395651675864</v>
      </c>
    </row>
    <row r="41" spans="3:22" x14ac:dyDescent="0.2">
      <c r="C41" s="87" t="s">
        <v>151</v>
      </c>
      <c r="D41" s="56">
        <f>26.718857568*Deflactores!$A$5</f>
        <v>99.49335658400868</v>
      </c>
      <c r="E41" s="56">
        <f>22.3197869*Deflactores!$B$5</f>
        <v>77.207421730721606</v>
      </c>
      <c r="F41" s="56">
        <f>11.013184*Deflactores!$C$5</f>
        <v>35.606660452740314</v>
      </c>
      <c r="G41" s="56">
        <f>14.6774*Deflactores!$D$5</f>
        <v>44.560812129113636</v>
      </c>
      <c r="H41" s="56">
        <f>26.7336*Deflactores!$E$5</f>
        <v>76.934542175350103</v>
      </c>
      <c r="I41" s="56">
        <f>8.85*Deflactores!$F$5</f>
        <v>24.289432556129018</v>
      </c>
      <c r="J41" s="56">
        <f>23.5783*Deflactores!$G$5</f>
        <v>61.93868086867532</v>
      </c>
      <c r="K41" s="56">
        <f>24.6393235*Deflactores!$H$5</f>
        <v>61.238707077364502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179</v>
      </c>
      <c r="D42" s="44">
        <f t="shared" ref="D42:V42" si="0">+SUM(D13:D41)</f>
        <v>6711.8236848471133</v>
      </c>
      <c r="E42" s="44">
        <f t="shared" si="0"/>
        <v>6846.1660402320049</v>
      </c>
      <c r="F42" s="44">
        <f t="shared" si="0"/>
        <v>6819.5928678417313</v>
      </c>
      <c r="G42" s="44">
        <f t="shared" si="0"/>
        <v>6677.6121840365622</v>
      </c>
      <c r="H42" s="44">
        <f t="shared" si="0"/>
        <v>12966.2475288777</v>
      </c>
      <c r="I42" s="44">
        <f t="shared" si="0"/>
        <v>11874.607413441014</v>
      </c>
      <c r="J42" s="44">
        <f t="shared" si="0"/>
        <v>7190.4641328165935</v>
      </c>
      <c r="K42" s="44">
        <f t="shared" si="0"/>
        <v>6892.2758009206409</v>
      </c>
      <c r="L42" s="44">
        <f t="shared" si="0"/>
        <v>6779.5048560128189</v>
      </c>
      <c r="M42" s="44">
        <f t="shared" si="0"/>
        <v>8421.3498795729138</v>
      </c>
      <c r="N42" s="44">
        <f t="shared" si="0"/>
        <v>11239.54807800104</v>
      </c>
      <c r="O42" s="44">
        <f t="shared" si="0"/>
        <v>10717.780496266721</v>
      </c>
      <c r="P42" s="44">
        <f t="shared" si="0"/>
        <v>10349.875049468033</v>
      </c>
      <c r="Q42" s="44">
        <f t="shared" si="0"/>
        <v>11101.560102333286</v>
      </c>
      <c r="R42" s="44">
        <f t="shared" si="0"/>
        <v>10758.657368582741</v>
      </c>
      <c r="S42" s="44">
        <f t="shared" si="0"/>
        <v>10789.806894671383</v>
      </c>
      <c r="T42" s="44">
        <f t="shared" si="0"/>
        <v>9729.0214600921245</v>
      </c>
      <c r="U42" s="44">
        <f t="shared" si="0"/>
        <v>9804.8096258839869</v>
      </c>
      <c r="V42" s="44">
        <f t="shared" si="0"/>
        <v>9782.3602057891203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55" t="s">
        <v>195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76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13.0008627965*Deflactores!$A$5</f>
        <v>48.411481472213623</v>
      </c>
      <c r="E53" s="56">
        <f>6.2152110175*Deflactores!$B$5</f>
        <v>21.499327942667311</v>
      </c>
      <c r="F53" s="56">
        <f>10.31522884*Deflactores!$C$5</f>
        <v>33.350105727661898</v>
      </c>
      <c r="G53" s="56">
        <f>8.488113378*Deflactores!$D$5</f>
        <v>25.770042757414394</v>
      </c>
      <c r="H53" s="56">
        <f>4.2216881*Deflactores!$E$5</f>
        <v>12.149266884393558</v>
      </c>
      <c r="I53" s="56">
        <f>4.71331582*Deflactores!$F$5</f>
        <v>12.93601883905378</v>
      </c>
      <c r="J53" s="56">
        <f>10.719782407*Deflactores!$G$5</f>
        <v>28.160180398451679</v>
      </c>
      <c r="K53" s="56">
        <f>4.455188411*Deflactores!$H$5</f>
        <v>11.072949225886742</v>
      </c>
      <c r="L53" s="56">
        <f>7.059563816*Deflactores!$I$5</f>
        <v>16.295314876130426</v>
      </c>
      <c r="M53" s="56">
        <f>7.105833866*Deflactores!$J$5</f>
        <v>16.080223030692515</v>
      </c>
      <c r="N53" s="56">
        <f>6.892572608*Deflactores!$K$5</f>
        <v>15.11818978379573</v>
      </c>
      <c r="O53" s="56">
        <f>6.97533505461999*Deflactores!$L$5</f>
        <v>14.750033860373684</v>
      </c>
      <c r="P53" s="56">
        <f>8.21507906628*Deflactores!$M$5</f>
        <v>16.957823929128779</v>
      </c>
      <c r="Q53" s="56">
        <f>14.04360744063*Deflactores!$N$5</f>
        <v>28.437566264433421</v>
      </c>
      <c r="R53" s="56">
        <f>15.509285711*Deflactores!$O$5</f>
        <v>30.29663096263771</v>
      </c>
      <c r="S53" s="56">
        <f>13.33244315708*Deflactores!$P$5</f>
        <v>24.392877698805279</v>
      </c>
      <c r="T53" s="56">
        <f>11.53613854029*Deflactores!$Q$5</f>
        <v>19.958752122579206</v>
      </c>
      <c r="U53" s="56">
        <f>9.42877748669*Deflactores!$R$5</f>
        <v>15.671815124182423</v>
      </c>
      <c r="V53" s="56">
        <f>8.77285805789*Deflactores!$S$5</f>
        <v>14.132190795816918</v>
      </c>
    </row>
    <row r="54" spans="3:22" x14ac:dyDescent="0.2">
      <c r="C54" s="88" t="s">
        <v>124</v>
      </c>
      <c r="D54" s="57">
        <f>0*Deflactores!$A$5</f>
        <v>0</v>
      </c>
      <c r="E54" s="57">
        <f>0*Deflactores!$B$5</f>
        <v>0</v>
      </c>
      <c r="F54" s="57">
        <f>0*Deflactores!$C$5</f>
        <v>0</v>
      </c>
      <c r="G54" s="57">
        <f>0*Deflactores!$D$5</f>
        <v>0</v>
      </c>
      <c r="H54" s="57">
        <f>0*Deflactores!$E$5</f>
        <v>0</v>
      </c>
      <c r="I54" s="57">
        <f>0*Deflactores!$F$5</f>
        <v>0</v>
      </c>
      <c r="J54" s="57">
        <f>0*Deflactores!$G$5</f>
        <v>0</v>
      </c>
      <c r="K54" s="57">
        <f>0*Deflactores!$H$5</f>
        <v>0</v>
      </c>
      <c r="L54" s="57">
        <f>0*Deflactores!$I$5</f>
        <v>0</v>
      </c>
      <c r="M54" s="57">
        <f>0*Deflactores!$J$5</f>
        <v>0</v>
      </c>
      <c r="N54" s="57">
        <f>0*Deflactores!$K$5</f>
        <v>0</v>
      </c>
      <c r="O54" s="57">
        <f>0*Deflactores!$L$5</f>
        <v>0</v>
      </c>
      <c r="P54" s="57">
        <f>6.03270861587*Deflactores!$M$5</f>
        <v>12.452906380849534</v>
      </c>
      <c r="Q54" s="57">
        <f>18.50319104594*Deflactores!$N$5</f>
        <v>37.46798845644642</v>
      </c>
      <c r="R54" s="57">
        <f>19.17433019787*Deflactores!$O$5</f>
        <v>37.456116083322271</v>
      </c>
      <c r="S54" s="57">
        <f>28.8981754219899*Deflactores!$P$5</f>
        <v>52.871754297552606</v>
      </c>
      <c r="T54" s="57">
        <f>24.71670342217*Deflactores!$Q$5</f>
        <v>42.762537496190212</v>
      </c>
      <c r="U54" s="57">
        <f>24.0256407662599*Deflactores!$R$5</f>
        <v>39.93363942041929</v>
      </c>
      <c r="V54" s="57">
        <f>29.60087322288*Deflactores!$S$5</f>
        <v>47.684025587567923</v>
      </c>
    </row>
    <row r="55" spans="3:22" x14ac:dyDescent="0.2">
      <c r="C55" s="87" t="s">
        <v>125</v>
      </c>
      <c r="D55" s="56">
        <f>1.148768532*Deflactores!$A$5</f>
        <v>4.2776842870576202</v>
      </c>
      <c r="E55" s="56">
        <f>1.91698540897*Deflactores!$B$5</f>
        <v>6.6311341405318975</v>
      </c>
      <c r="F55" s="56">
        <f>1.712324405*Deflactores!$C$5</f>
        <v>5.5361059684261686</v>
      </c>
      <c r="G55" s="56">
        <f>1.56054195633999*Deflactores!$D$5</f>
        <v>4.7378293795948698</v>
      </c>
      <c r="H55" s="56">
        <f>1.42537135136*Deflactores!$E$5</f>
        <v>4.1019650307755668</v>
      </c>
      <c r="I55" s="56">
        <f>1.4482425952*Deflactores!$F$5</f>
        <v>3.9748012249744251</v>
      </c>
      <c r="J55" s="56">
        <f>1.905352336*Deflactores!$G$5</f>
        <v>5.0052383030960259</v>
      </c>
      <c r="K55" s="56">
        <f>1.49269298*Deflactores!$H$5</f>
        <v>3.7099471565710118</v>
      </c>
      <c r="L55" s="56">
        <f>2.42913708075*Deflactores!$I$5</f>
        <v>5.6070820577316969</v>
      </c>
      <c r="M55" s="56">
        <f>2.46792571398*Deflactores!$J$5</f>
        <v>5.5848189885022936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34.9093290123399*Deflactores!$A$5</f>
        <v>129.99232136680004</v>
      </c>
      <c r="E56" s="57">
        <f>35.495205958*Deflactores!$B$5</f>
        <v>122.78313176090978</v>
      </c>
      <c r="F56" s="57">
        <f>36.232747103*Deflactores!$C$5</f>
        <v>117.14388167550196</v>
      </c>
      <c r="G56" s="57">
        <f>36.525183768*Deflactores!$D$5</f>
        <v>110.89101965383506</v>
      </c>
      <c r="H56" s="57">
        <f>37.693249802*Deflactores!$E$5</f>
        <v>108.47446346986473</v>
      </c>
      <c r="I56" s="57">
        <f>44.52215717*Deflactores!$F$5</f>
        <v>122.19411681741143</v>
      </c>
      <c r="J56" s="57">
        <f>47.373209717*Deflactores!$G$5</f>
        <v>124.44638156211822</v>
      </c>
      <c r="K56" s="57">
        <f>52.968440133*Deflactores!$H$5</f>
        <v>131.64804584223691</v>
      </c>
      <c r="L56" s="57">
        <f>79.43650773058*Deflactores!$I$5</f>
        <v>183.36018199824289</v>
      </c>
      <c r="M56" s="57">
        <f>86.5386217296*Deflactores!$J$5</f>
        <v>195.83350306556426</v>
      </c>
      <c r="N56" s="57">
        <f>95.67924466188*Deflactores!$K$5</f>
        <v>209.86314710557002</v>
      </c>
      <c r="O56" s="57">
        <f>92.69010028519*Deflactores!$L$5</f>
        <v>196.00235788278815</v>
      </c>
      <c r="P56" s="57">
        <f>125.58575609036*Deflactores!$M$5</f>
        <v>259.2380575530118</v>
      </c>
      <c r="Q56" s="57">
        <f>153.01368452799*Deflactores!$N$5</f>
        <v>309.84466146076102</v>
      </c>
      <c r="R56" s="57">
        <f>165.379529074269*Deflactores!$O$5</f>
        <v>323.060820111417</v>
      </c>
      <c r="S56" s="57">
        <f>169.82489390118*Deflactores!$P$5</f>
        <v>310.70958400780751</v>
      </c>
      <c r="T56" s="57">
        <f>178.49869965775*Deflactores!$Q$5</f>
        <v>308.82182007691</v>
      </c>
      <c r="U56" s="57">
        <f>183.77990912226*Deflactores!$R$5</f>
        <v>305.46534408822873</v>
      </c>
      <c r="V56" s="57">
        <f>191.44967192432*Deflactores!$S$5</f>
        <v>308.40614011732691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0.548046022*Deflactores!$A$5</f>
        <v>2.0407660826261513</v>
      </c>
      <c r="E58" s="57">
        <f>0.593620052309999*Deflactores!$B$5</f>
        <v>2.0534189655059438</v>
      </c>
      <c r="F58" s="57">
        <f>0.477502175*Deflactores!$C$5</f>
        <v>1.5438094751408842</v>
      </c>
      <c r="G58" s="57">
        <f>0.591445001*Deflactores!$D$5</f>
        <v>1.7956361190854253</v>
      </c>
      <c r="H58" s="57">
        <f>0.5571688946*Deflactores!$E$5</f>
        <v>1.6034329016816626</v>
      </c>
      <c r="I58" s="57">
        <f>0.54787091*Deflactores!$F$5</f>
        <v>1.5036693240576309</v>
      </c>
      <c r="J58" s="57">
        <f>0.907625489*Deflactores!$G$5</f>
        <v>2.3842739091217933</v>
      </c>
      <c r="K58" s="57">
        <f>1.560274493*Deflactores!$H$5</f>
        <v>3.8779146122705201</v>
      </c>
      <c r="L58" s="57">
        <f>1.753603732*Deflactores!$I$5</f>
        <v>4.0477748662223352</v>
      </c>
      <c r="M58" s="57">
        <f>1.946914569*Deflactores!$J$5</f>
        <v>4.4057912247317645</v>
      </c>
      <c r="N58" s="57">
        <f>2.053266888*Deflactores!$K$5</f>
        <v>4.5036418555153874</v>
      </c>
      <c r="O58" s="57">
        <f>2.02325419107999*Deflactores!$L$5</f>
        <v>4.278370514518409</v>
      </c>
      <c r="P58" s="57">
        <f>2.18459701351*Deflactores!$M$5</f>
        <v>4.5095136896812047</v>
      </c>
      <c r="Q58" s="57">
        <f>2.61333450013999*Deflactores!$N$5</f>
        <v>5.2918648810883511</v>
      </c>
      <c r="R58" s="57">
        <f>2.9814221768*Deflactores!$O$5</f>
        <v>5.8240623789829931</v>
      </c>
      <c r="S58" s="57">
        <f>2.48132282834*Deflactores!$P$5</f>
        <v>4.5397984127769906</v>
      </c>
      <c r="T58" s="57">
        <f>3.18838693534*Deflactores!$Q$5</f>
        <v>5.516250025177083</v>
      </c>
      <c r="U58" s="57">
        <f>3.87721109110999*Deflactores!$R$5</f>
        <v>6.4444129159989743</v>
      </c>
      <c r="V58" s="57">
        <f>3.12049097132999*Deflactores!$S$5</f>
        <v>5.0267966827296435</v>
      </c>
    </row>
    <row r="59" spans="3:22" x14ac:dyDescent="0.2">
      <c r="C59" s="87" t="s">
        <v>129</v>
      </c>
      <c r="D59" s="56">
        <f>590.542366529879*Deflactores!$A$5</f>
        <v>2199.0102721117064</v>
      </c>
      <c r="E59" s="56">
        <f>721.73101603201*Deflactores!$B$5</f>
        <v>2496.5736089050915</v>
      </c>
      <c r="F59" s="56">
        <f>792.23395295389*Deflactores!$C$5</f>
        <v>2561.3669363883691</v>
      </c>
      <c r="G59" s="56">
        <f>915.579159514049*Deflactores!$D$5</f>
        <v>2779.7124093120919</v>
      </c>
      <c r="H59" s="56">
        <f>923.06455706839*Deflactores!$E$5</f>
        <v>2656.4154882376079</v>
      </c>
      <c r="I59" s="56">
        <f>1099.4662577268*Deflactores!$F$5</f>
        <v>3017.5606231406414</v>
      </c>
      <c r="J59" s="56">
        <f>1020.14100772899*Deflactores!$G$5</f>
        <v>2679.8449556912396</v>
      </c>
      <c r="K59" s="56">
        <f>1058.50892634213*Deflactores!$H$5</f>
        <v>2630.8237756219769</v>
      </c>
      <c r="L59" s="56">
        <f>1101.96726936946*Deflactores!$I$5</f>
        <v>2543.6279217232855</v>
      </c>
      <c r="M59" s="56">
        <f>1352.22964772239*Deflactores!$J$5</f>
        <v>3060.0425979746369</v>
      </c>
      <c r="N59" s="56">
        <f>1633.55501694836*Deflactores!$K$5</f>
        <v>3583.0445572430531</v>
      </c>
      <c r="O59" s="56">
        <f>1636.54587504943*Deflactores!$L$5</f>
        <v>3460.6376442155079</v>
      </c>
      <c r="P59" s="56">
        <f>1734.94464889148*Deflactores!$M$5</f>
        <v>3581.3271723029693</v>
      </c>
      <c r="Q59" s="56">
        <f>1755.02569808628*Deflactores!$N$5</f>
        <v>3553.8347106399319</v>
      </c>
      <c r="R59" s="56">
        <f>1761.31995290837*Deflactores!$O$5</f>
        <v>3440.6523688288321</v>
      </c>
      <c r="S59" s="56">
        <f>1853.93516098161*Deflactores!$P$5</f>
        <v>3391.9374799152524</v>
      </c>
      <c r="T59" s="56">
        <f>2055.17996746918*Deflactores!$Q$5</f>
        <v>3555.6809061151071</v>
      </c>
      <c r="U59" s="56">
        <f>2080.43855404872*Deflactores!$R$5</f>
        <v>3457.9507727590631</v>
      </c>
      <c r="V59" s="56">
        <f>1945.7785345533*Deflactores!$S$5</f>
        <v>3134.4532551716643</v>
      </c>
    </row>
    <row r="60" spans="3:22" x14ac:dyDescent="0.2">
      <c r="C60" s="88" t="s">
        <v>130</v>
      </c>
      <c r="D60" s="57">
        <f>1.086122563*Deflactores!$A$5</f>
        <v>4.0444086795057252</v>
      </c>
      <c r="E60" s="57">
        <f>0.95494697185*Deflactores!$B$5</f>
        <v>3.303301860202728</v>
      </c>
      <c r="F60" s="57">
        <f>2.38157127242*Deflactores!$C$5</f>
        <v>7.6998440815171749</v>
      </c>
      <c r="G60" s="57">
        <f>1.21193142806*Deflactores!$D$5</f>
        <v>3.6794424543277455</v>
      </c>
      <c r="H60" s="57">
        <f>1.65873509171*Deflactores!$E$5</f>
        <v>4.7735443363743091</v>
      </c>
      <c r="I60" s="57">
        <f>1.93867034288*Deflactores!$F$5</f>
        <v>5.3208138465481678</v>
      </c>
      <c r="J60" s="57">
        <f>3.188602067*Deflactores!$G$5</f>
        <v>8.3762529887698225</v>
      </c>
      <c r="K60" s="57">
        <f>3.2174077565*Deflactores!$H$5</f>
        <v>7.9965625334130621</v>
      </c>
      <c r="L60" s="57">
        <f>3.71449344318*Deflactores!$I$5</f>
        <v>8.5740198459224448</v>
      </c>
      <c r="M60" s="57">
        <f>3.7576092141*Deflactores!$J$5</f>
        <v>8.5033221103051915</v>
      </c>
      <c r="N60" s="57">
        <f>3.59107803142*Deflactores!$K$5</f>
        <v>7.8766815084999857</v>
      </c>
      <c r="O60" s="57">
        <f>2.28565558297*Deflactores!$L$5</f>
        <v>4.8332441349365887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52.9180932555599*Deflactores!$A$5</f>
        <v>197.05179043010068</v>
      </c>
      <c r="E61" s="56">
        <f>55.37833529448*Deflactores!$B$5</f>
        <v>191.5617970271133</v>
      </c>
      <c r="F61" s="56">
        <f>64.20793460099*Deflactores!$C$5</f>
        <v>207.59029593160409</v>
      </c>
      <c r="G61" s="56">
        <f>68.49021540718*Deflactores!$D$5</f>
        <v>207.9373473123218</v>
      </c>
      <c r="H61" s="56">
        <f>77.00757460572*Deflactores!$E$5</f>
        <v>221.61409224067035</v>
      </c>
      <c r="I61" s="56">
        <f>49.7213808053599*Deflactores!$F$5</f>
        <v>136.46374301349121</v>
      </c>
      <c r="J61" s="56">
        <f>69.14970693639*Deflactores!$G$5</f>
        <v>181.65184216400186</v>
      </c>
      <c r="K61" s="56">
        <f>43.7329320427099*Deflactores!$H$5</f>
        <v>108.69406438848857</v>
      </c>
      <c r="L61" s="56">
        <f>28.11040905304*Deflactores!$I$5</f>
        <v>64.886157099102306</v>
      </c>
      <c r="M61" s="56">
        <f>30.87121988599*Deflactores!$J$5</f>
        <v>69.860358454413259</v>
      </c>
      <c r="N61" s="56">
        <f>7.69419012478*Deflactores!$K$5</f>
        <v>16.876460090390534</v>
      </c>
      <c r="O61" s="56">
        <f>6.68543805828*Deflactores!$L$5</f>
        <v>14.137018072808992</v>
      </c>
      <c r="P61" s="56">
        <f>10.58889329093*Deflactores!$M$5</f>
        <v>21.857925722099647</v>
      </c>
      <c r="Q61" s="56">
        <f>9.80170356101*Deflactores!$N$5</f>
        <v>19.847934065298162</v>
      </c>
      <c r="R61" s="56">
        <f>12.19280220884*Deflactores!$O$5</f>
        <v>23.818042674889981</v>
      </c>
      <c r="S61" s="56">
        <f>10.6255889731399*Deflactores!$P$5</f>
        <v>19.44044982947759</v>
      </c>
      <c r="T61" s="56">
        <f>12.3921487153699*Deflactores!$Q$5</f>
        <v>21.439741176165576</v>
      </c>
      <c r="U61" s="56">
        <f>12.61989795355*Deflactores!$R$5</f>
        <v>20.975859054185168</v>
      </c>
      <c r="V61" s="56">
        <f>12.4311881314999*Deflactores!$S$5</f>
        <v>20.025392105261641</v>
      </c>
    </row>
    <row r="62" spans="3:22" x14ac:dyDescent="0.2">
      <c r="C62" s="88" t="s">
        <v>132</v>
      </c>
      <c r="D62" s="57">
        <f>19.7757457674699*Deflactores!$A$5</f>
        <v>73.639201090470181</v>
      </c>
      <c r="E62" s="57">
        <f>22.04053040414*Deflactores!$B$5</f>
        <v>76.241432487925266</v>
      </c>
      <c r="F62" s="57">
        <f>23.9674553016999*Deflactores!$C$5</f>
        <v>77.489038850513978</v>
      </c>
      <c r="G62" s="57">
        <f>24.7794280022599*Deflactores!$D$5</f>
        <v>75.230724506765554</v>
      </c>
      <c r="H62" s="57">
        <f>24.58611119*Deflactores!$E$5</f>
        <v>70.754451636700708</v>
      </c>
      <c r="I62" s="57">
        <f>24.7541381655999*Deflactores!$F$5</f>
        <v>67.939431577224653</v>
      </c>
      <c r="J62" s="57">
        <f>33.80148631182*Deflactores!$G$5</f>
        <v>88.794335196121693</v>
      </c>
      <c r="K62" s="57">
        <f>36.05476126153*Deflactores!$H$5</f>
        <v>89.610697454382006</v>
      </c>
      <c r="L62" s="57">
        <f>34.02272821917*Deflactores!$I$5</f>
        <v>78.533332048057986</v>
      </c>
      <c r="M62" s="57">
        <f>31.5364446608499*Deflactores!$J$5</f>
        <v>71.365736000104576</v>
      </c>
      <c r="N62" s="57">
        <f>38.5224961921699*Deflactores!$K$5</f>
        <v>84.495360658632748</v>
      </c>
      <c r="O62" s="57">
        <f>35.97763529815*Deflactores!$L$5</f>
        <v>76.078257848331916</v>
      </c>
      <c r="P62" s="57">
        <f>35.4092651679799*Deflactores!$M$5</f>
        <v>73.092916006509171</v>
      </c>
      <c r="Q62" s="57">
        <f>37.8074362151799*Deflactores!$N$5</f>
        <v>76.558069370905656</v>
      </c>
      <c r="R62" s="57">
        <f>41.8370145102499*Deflactores!$O$5</f>
        <v>81.726561288155779</v>
      </c>
      <c r="S62" s="57">
        <f>42.1844268372681*Deflactores!$P$5</f>
        <v>77.180120140939408</v>
      </c>
      <c r="T62" s="57">
        <f>45.5754365184099*Deflactores!$Q$5</f>
        <v>78.850374167439625</v>
      </c>
      <c r="U62" s="57">
        <f>47.09963159212*Deflactores!$R$5</f>
        <v>78.285516841476706</v>
      </c>
      <c r="V62" s="57">
        <f>52.73272959378*Deflactores!$S$5</f>
        <v>84.947116536701216</v>
      </c>
    </row>
    <row r="63" spans="3:22" x14ac:dyDescent="0.2">
      <c r="C63" s="87" t="s">
        <v>133</v>
      </c>
      <c r="D63" s="56">
        <f>0.11853800175*Deflactores!$A$5</f>
        <v>0.44140149506217818</v>
      </c>
      <c r="E63" s="56">
        <f>0.214188289*Deflactores!$B$5</f>
        <v>0.74090875655289878</v>
      </c>
      <c r="F63" s="56">
        <f>0.260938646*Deflactores!$C$5</f>
        <v>0.84363920253396329</v>
      </c>
      <c r="G63" s="56">
        <f>0.07390113754*Deflactores!$D$5</f>
        <v>0.22436499012411779</v>
      </c>
      <c r="H63" s="56">
        <f>0.28628364463*Deflactores!$E$5</f>
        <v>0.82387337028681795</v>
      </c>
      <c r="I63" s="56">
        <f>0.22612981675*Deflactores!$F$5</f>
        <v>0.62062880597502135</v>
      </c>
      <c r="J63" s="56">
        <f>0.2395643486*Deflactores!$G$5</f>
        <v>0.62932016877584418</v>
      </c>
      <c r="K63" s="56">
        <f>0.57475618138*Deflactores!$H$5</f>
        <v>1.4285021028452505</v>
      </c>
      <c r="L63" s="56">
        <f>0.107645627*Deflactores!$I$5</f>
        <v>0.24847418802673049</v>
      </c>
      <c r="M63" s="56">
        <f>0.15916067675*Deflactores!$J$5</f>
        <v>0.36017436209730219</v>
      </c>
      <c r="N63" s="56">
        <f>0.35240037628*Deflactores!$K$5</f>
        <v>0.77295606031025599</v>
      </c>
      <c r="O63" s="56">
        <f>0.679652571*Deflactores!$L$5</f>
        <v>1.4371923867514027</v>
      </c>
      <c r="P63" s="56">
        <f>0.872187725779999*Deflactores!$M$5</f>
        <v>1.8003972655155414</v>
      </c>
      <c r="Q63" s="56">
        <f>0.181817714*Deflactores!$N$5</f>
        <v>0.36817130582588087</v>
      </c>
      <c r="R63" s="56">
        <f>0.66065344801*Deflactores!$O$5</f>
        <v>1.2905541932441822</v>
      </c>
      <c r="S63" s="56">
        <f>1.50038977266*Deflactores!$P$5</f>
        <v>2.7450950882620764</v>
      </c>
      <c r="T63" s="56">
        <f>1.16710580212*Deflactores!$Q$5</f>
        <v>2.0192177238495161</v>
      </c>
      <c r="U63" s="56">
        <f>1.16787325233*Deflactores!$R$5</f>
        <v>1.9411523630534442</v>
      </c>
      <c r="V63" s="56">
        <f>4.78542563892*Deflactores!$S$5</f>
        <v>7.7088387526786413</v>
      </c>
    </row>
    <row r="64" spans="3:22" x14ac:dyDescent="0.2">
      <c r="C64" s="88" t="s">
        <v>134</v>
      </c>
      <c r="D64" s="57">
        <f>87.7763483381999*Deflactores!$A$5</f>
        <v>326.85392714222951</v>
      </c>
      <c r="E64" s="57">
        <f>98.73897613753*Deflactores!$B$5</f>
        <v>341.5526235113802</v>
      </c>
      <c r="F64" s="57">
        <f>106.63319613198*Deflactores!$C$5</f>
        <v>344.75515960342386</v>
      </c>
      <c r="G64" s="57">
        <f>95.4810111711799*Deflactores!$D$5</f>
        <v>289.88181835316522</v>
      </c>
      <c r="H64" s="57">
        <f>106.72409089831*Deflactores!$E$5</f>
        <v>307.13293654210162</v>
      </c>
      <c r="I64" s="57">
        <f>99.93120736489*Deflactores!$F$5</f>
        <v>274.26805893130387</v>
      </c>
      <c r="J64" s="57">
        <f>112.881500996709*Deflactores!$G$5</f>
        <v>296.53245849837407</v>
      </c>
      <c r="K64" s="57">
        <f>130.89860444591*Deflactores!$H$5</f>
        <v>325.33609514477479</v>
      </c>
      <c r="L64" s="57">
        <f>135.50108573929*Deflactores!$I$5</f>
        <v>312.77185329423997</v>
      </c>
      <c r="M64" s="57">
        <f>143.33258236126*Deflactores!$J$5</f>
        <v>324.35600598013821</v>
      </c>
      <c r="N64" s="57">
        <f>152.341496823849*Deflactores!$K$5</f>
        <v>334.14630384267457</v>
      </c>
      <c r="O64" s="57">
        <f>160.73850049252*Deflactores!$L$5</f>
        <v>339.89741085771061</v>
      </c>
      <c r="P64" s="57">
        <f>150.59069713122*Deflactores!$M$5</f>
        <v>310.85404129559572</v>
      </c>
      <c r="Q64" s="57">
        <f>155.11208905466*Deflactores!$N$5</f>
        <v>314.09382023488922</v>
      </c>
      <c r="R64" s="57">
        <f>142.827688284862*Deflactores!$O$5</f>
        <v>279.0069023065351</v>
      </c>
      <c r="S64" s="57">
        <f>143.72790038354*Deflactores!$P$5</f>
        <v>262.9628384427038</v>
      </c>
      <c r="T64" s="57">
        <f>151.78158632031*Deflactores!$Q$5</f>
        <v>262.5983597161943</v>
      </c>
      <c r="U64" s="57">
        <f>155.57855353852*Deflactores!$R$5</f>
        <v>258.59114098145284</v>
      </c>
      <c r="V64" s="57">
        <f>175.11499510111*Deflactores!$S$5</f>
        <v>282.09262085936984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117.74786918309*Deflactores!$A$5</f>
        <v>438.45926817137109</v>
      </c>
      <c r="E66" s="57">
        <f>128.27804213386*Deflactores!$B$5</f>
        <v>443.73259217005352</v>
      </c>
      <c r="F66" s="57">
        <f>140.64878817679*Deflactores!$C$5</f>
        <v>454.73077029316477</v>
      </c>
      <c r="G66" s="57">
        <f>133.31566642653*Deflactores!$D$5</f>
        <v>404.74841358143703</v>
      </c>
      <c r="H66" s="57">
        <f>136.62008344084*Deflactores!$E$5</f>
        <v>393.1682815437934</v>
      </c>
      <c r="I66" s="57">
        <f>143.07687272364*Deflactores!$F$5</f>
        <v>392.68429947601243</v>
      </c>
      <c r="J66" s="57">
        <f>148.93366923304*Deflactores!$G$5</f>
        <v>391.23919066370831</v>
      </c>
      <c r="K66" s="57">
        <f>151.79142300904*Deflactores!$H$5</f>
        <v>377.26321871243448</v>
      </c>
      <c r="L66" s="57">
        <f>190.52418564332*Deflactores!$I$5</f>
        <v>439.77952144008606</v>
      </c>
      <c r="M66" s="57">
        <f>222.65100746948*Deflactores!$J$5</f>
        <v>503.85048758999835</v>
      </c>
      <c r="N66" s="57">
        <f>243.12928624626*Deflactores!$K$5</f>
        <v>533.28051810488171</v>
      </c>
      <c r="O66" s="57">
        <f>244.71811273415*Deflactores!$L$5</f>
        <v>517.48058276923939</v>
      </c>
      <c r="P66" s="57">
        <f>259.79584487137*Deflactores!$M$5</f>
        <v>536.27873320553488</v>
      </c>
      <c r="Q66" s="57">
        <f>289.855268426039*Deflactores!$N$5</f>
        <v>586.94166992400972</v>
      </c>
      <c r="R66" s="57">
        <f>310.42840631089*Deflactores!$O$5</f>
        <v>606.40670638044378</v>
      </c>
      <c r="S66" s="57">
        <f>319.70712612475*Deflactores!$P$5</f>
        <v>584.93231398899468</v>
      </c>
      <c r="T66" s="57">
        <f>358.25737999448*Deflactores!$Q$5</f>
        <v>619.82354133680019</v>
      </c>
      <c r="U66" s="57">
        <f>394.30136130085*Deflactores!$R$5</f>
        <v>655.3784990942321</v>
      </c>
      <c r="V66" s="57">
        <f>562.6196854812*Deflactores!$S$5</f>
        <v>906.32365054076422</v>
      </c>
    </row>
    <row r="67" spans="3:22" x14ac:dyDescent="0.2">
      <c r="C67" s="87" t="s">
        <v>137</v>
      </c>
      <c r="D67" s="56">
        <f>4.5078332671*Deflactores!$A$5</f>
        <v>16.785877222609439</v>
      </c>
      <c r="E67" s="56">
        <f>4.61580152747999*Deflactores!$B$5</f>
        <v>15.966735558638176</v>
      </c>
      <c r="F67" s="56">
        <f>4.91296241201*Deflactores!$C$5</f>
        <v>15.884069894911056</v>
      </c>
      <c r="G67" s="56">
        <f>4.83266192136999*Deflactores!$D$5</f>
        <v>14.672035916558071</v>
      </c>
      <c r="H67" s="56">
        <f>5.27745976275*Deflactores!$E$5</f>
        <v>15.187589800700357</v>
      </c>
      <c r="I67" s="56">
        <f>5.26098378802999*Deflactores!$F$5</f>
        <v>14.439131174942668</v>
      </c>
      <c r="J67" s="56">
        <f>5.55759823812*Deflactores!$G$5</f>
        <v>14.599453890536083</v>
      </c>
      <c r="K67" s="56">
        <f>5.57295568325999*Deflactores!$H$5</f>
        <v>13.851054013000491</v>
      </c>
      <c r="L67" s="56">
        <f>5.88174071844*Deflactores!$I$5</f>
        <v>13.576591914859092</v>
      </c>
      <c r="M67" s="56">
        <f>6.41395252529999*Deflactores!$J$5</f>
        <v>14.51452272316569</v>
      </c>
      <c r="N67" s="56">
        <f>6.53008129081999*Deflactores!$K$5</f>
        <v>14.32310022293354</v>
      </c>
      <c r="O67" s="56">
        <f>6.78414635823*Deflactores!$L$5</f>
        <v>14.345746507380476</v>
      </c>
      <c r="P67" s="56">
        <f>7.695256233792*Deflactores!$M$5</f>
        <v>15.884789330611618</v>
      </c>
      <c r="Q67" s="56">
        <f>5.03690573002999*Deflactores!$N$5</f>
        <v>10.199469122942572</v>
      </c>
      <c r="R67" s="56">
        <f>6.749330007256*Deflactores!$O$5</f>
        <v>13.184486009556363</v>
      </c>
      <c r="S67" s="56">
        <f>4.39523717445*Deflactores!$P$5</f>
        <v>8.0414730886490009</v>
      </c>
      <c r="T67" s="56">
        <f>4.01964320318999*Deflactores!$Q$5</f>
        <v>6.9544121747052543</v>
      </c>
      <c r="U67" s="56">
        <f>3.76640886752999*Deflactores!$R$5</f>
        <v>6.2602456720752144</v>
      </c>
      <c r="V67" s="56">
        <f>3.53890756901999*Deflactores!$S$5</f>
        <v>5.7008236818754439</v>
      </c>
    </row>
    <row r="68" spans="3:22" x14ac:dyDescent="0.2">
      <c r="C68" s="88" t="s">
        <v>138</v>
      </c>
      <c r="D68" s="57">
        <f>9.59272877161*Deflactores!$A$5</f>
        <v>35.720568585631874</v>
      </c>
      <c r="E68" s="57">
        <f>11.05506636049*Deflactores!$B$5</f>
        <v>38.241098563331938</v>
      </c>
      <c r="F68" s="57">
        <f>13.1907290012199*Deflactores!$C$5</f>
        <v>42.646868396146957</v>
      </c>
      <c r="G68" s="57">
        <f>12.81520900258*Deflactores!$D$5</f>
        <v>38.907171621628699</v>
      </c>
      <c r="H68" s="57">
        <f>30.9243657788*Deflactores!$E$5</f>
        <v>88.99482012355395</v>
      </c>
      <c r="I68" s="57">
        <f>14.6039545667799*Deflactores!$F$5</f>
        <v>40.081555875996926</v>
      </c>
      <c r="J68" s="57">
        <f>21.7493999121499*Deflactores!$G$5</f>
        <v>57.134277714841524</v>
      </c>
      <c r="K68" s="57">
        <f>29.1816290065399*Deflactores!$H$5</f>
        <v>72.528177600810352</v>
      </c>
      <c r="L68" s="57">
        <f>42.9728264043799*Deflactores!$I$5</f>
        <v>99.192493421418234</v>
      </c>
      <c r="M68" s="57">
        <f>40.82868291893*Deflactores!$J$5</f>
        <v>92.393706321675523</v>
      </c>
      <c r="N68" s="57">
        <f>39.85871563107*Deflactores!$K$5</f>
        <v>87.426228451979128</v>
      </c>
      <c r="O68" s="57">
        <f>27.3897004709599*Deflactores!$L$5</f>
        <v>57.918222738930652</v>
      </c>
      <c r="P68" s="57">
        <f>17.7940853175437*Deflactores!$M$5</f>
        <v>36.731109142135303</v>
      </c>
      <c r="Q68" s="57">
        <f>19.48107961143*Deflactores!$N$5</f>
        <v>39.448161357028873</v>
      </c>
      <c r="R68" s="57">
        <f>43.7024991075*Deflactores!$O$5</f>
        <v>85.370694194243498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102.55123962816*Deflactores!$A$5</f>
        <v>381.87138153229012</v>
      </c>
      <c r="E69" s="56">
        <f>174.67592811742*Deflactores!$B$5</f>
        <v>604.22969577576282</v>
      </c>
      <c r="F69" s="56">
        <f>97.29121159141*Deflactores!$C$5</f>
        <v>314.55164429932785</v>
      </c>
      <c r="G69" s="56">
        <f>111.545779226089*Deflactores!$D$5</f>
        <v>338.65470123382465</v>
      </c>
      <c r="H69" s="56">
        <f>108.67582002527*Deflactores!$E$5</f>
        <v>312.74966555850659</v>
      </c>
      <c r="I69" s="56">
        <f>117.16215306297*Deflactores!$F$5</f>
        <v>321.5595723111723</v>
      </c>
      <c r="J69" s="56">
        <f>196.406322783269*Deflactores!$G$5</f>
        <v>515.94680479351496</v>
      </c>
      <c r="K69" s="56">
        <f>153.41640543269*Deflactores!$H$5</f>
        <v>381.30195876338468</v>
      </c>
      <c r="L69" s="56">
        <f>162.49332213999*Deflactores!$I$5</f>
        <v>375.07697622031566</v>
      </c>
      <c r="M69" s="56">
        <f>404.44420697131*Deflactores!$J$5</f>
        <v>915.24136001665261</v>
      </c>
      <c r="N69" s="56">
        <f>427.25907949093*Deflactores!$K$5</f>
        <v>937.15136828541119</v>
      </c>
      <c r="O69" s="56">
        <f>539.579295183109*Deflactores!$L$5</f>
        <v>1140.9936314150309</v>
      </c>
      <c r="P69" s="56">
        <f>490.07052372571*Deflactores!$M$5</f>
        <v>1011.6189493912858</v>
      </c>
      <c r="Q69" s="56">
        <f>627.21410869598*Deflactores!$N$5</f>
        <v>1270.0755737750337</v>
      </c>
      <c r="R69" s="56">
        <f>514.29028430218*Deflactores!$O$5</f>
        <v>1004.640912645134</v>
      </c>
      <c r="S69" s="56">
        <f>449.21095882546*Deflactores!$P$5</f>
        <v>821.87096922094543</v>
      </c>
      <c r="T69" s="56">
        <f>451.902826277439*Deflactores!$Q$5</f>
        <v>781.84016789188479</v>
      </c>
      <c r="U69" s="56">
        <f>421.62922813503*Deflactores!$R$5</f>
        <v>700.80085394014054</v>
      </c>
      <c r="V69" s="56">
        <f>435.302915238199*Deflactores!$S$5</f>
        <v>701.22915605466221</v>
      </c>
    </row>
    <row r="70" spans="3:22" x14ac:dyDescent="0.2">
      <c r="C70" s="88" t="s">
        <v>140</v>
      </c>
      <c r="D70" s="57">
        <f>12.63487507648*Deflactores!$A$5</f>
        <v>47.048648250746517</v>
      </c>
      <c r="E70" s="57">
        <f>4.12644405256*Deflactores!$B$5</f>
        <v>14.273976164809524</v>
      </c>
      <c r="F70" s="57">
        <f>6.83168130509*Deflactores!$C$5</f>
        <v>22.087468669521314</v>
      </c>
      <c r="G70" s="57">
        <f>8.13255849516*Deflactores!$D$5</f>
        <v>24.690572664903307</v>
      </c>
      <c r="H70" s="57">
        <f>2271.49701887493*Deflactores!$E$5</f>
        <v>6536.9640901268558</v>
      </c>
      <c r="I70" s="57">
        <f>2038.09985672244*Deflactores!$F$5</f>
        <v>5593.7049731656416</v>
      </c>
      <c r="J70" s="57">
        <f>125.423832132199*Deflactores!$G$5</f>
        <v>329.48035743724438</v>
      </c>
      <c r="K70" s="57">
        <f>58.1438666441199*Deflactores!$H$5</f>
        <v>144.51107871385364</v>
      </c>
      <c r="L70" s="57">
        <f>69.05527608789*Deflactores!$I$5</f>
        <v>159.3975912732634</v>
      </c>
      <c r="M70" s="57">
        <f>63.21166557083*Deflactores!$J$5</f>
        <v>143.04551720299023</v>
      </c>
      <c r="N70" s="57">
        <f>906.70772851146*Deflactores!$K$5</f>
        <v>1988.7754975784198</v>
      </c>
      <c r="O70" s="57">
        <f>668.08263248572*Deflactores!$L$5</f>
        <v>1412.7266107690662</v>
      </c>
      <c r="P70" s="57">
        <f>110.652397138715*Deflactores!$M$5</f>
        <v>228.41214952104599</v>
      </c>
      <c r="Q70" s="57">
        <f>195.529212528351*Deflactores!$N$5</f>
        <v>395.93636901445797</v>
      </c>
      <c r="R70" s="57">
        <f>340.063572865398*Deflactores!$O$5</f>
        <v>664.29755456963096</v>
      </c>
      <c r="S70" s="57">
        <f>620.91321596456*Deflactores!$P$5</f>
        <v>1136.0153544365492</v>
      </c>
      <c r="T70" s="57">
        <f>413.2186443378*Deflactores!$Q$5</f>
        <v>714.91240036365252</v>
      </c>
      <c r="U70" s="57">
        <f>520.153405450799*Deflactores!$R$5</f>
        <v>864.56043935135006</v>
      </c>
      <c r="V70" s="57">
        <f>420.37260581885*Deflactores!$S$5</f>
        <v>677.17793124713683</v>
      </c>
    </row>
    <row r="71" spans="3:22" x14ac:dyDescent="0.2">
      <c r="C71" s="87" t="s">
        <v>141</v>
      </c>
      <c r="D71" s="56">
        <f>9.12766304758*Deflactores!$A$5</f>
        <v>33.988797315166565</v>
      </c>
      <c r="E71" s="56">
        <f>8.38083977937*Deflactores!$B$5</f>
        <v>28.990555967334409</v>
      </c>
      <c r="F71" s="56">
        <f>10.83871057821*Deflactores!$C$5</f>
        <v>35.04257145834012</v>
      </c>
      <c r="G71" s="56">
        <f>11.92827706617*Deflactores!$D$5</f>
        <v>36.214432622236643</v>
      </c>
      <c r="H71" s="56">
        <f>14.09637140133*Deflactores!$E$5</f>
        <v>40.566847715796669</v>
      </c>
      <c r="I71" s="56">
        <f>14.4622732668*Deflactores!$F$5</f>
        <v>39.69270182172275</v>
      </c>
      <c r="J71" s="56">
        <f>24.6572096128*Deflactores!$G$5</f>
        <v>64.77290717817877</v>
      </c>
      <c r="K71" s="56">
        <f>19.24574008798*Deflactores!$H$5</f>
        <v>47.833465871532496</v>
      </c>
      <c r="L71" s="56">
        <f>25.3006627846*Deflactores!$I$5</f>
        <v>58.400529748798839</v>
      </c>
      <c r="M71" s="56">
        <f>26.7567468123799*Deflactores!$J$5</f>
        <v>60.549467442170538</v>
      </c>
      <c r="N71" s="56">
        <f>26.5961454703399*Deflactores!$K$5</f>
        <v>58.336066604702751</v>
      </c>
      <c r="O71" s="56">
        <f>24.16688493318*Deflactores!$L$5</f>
        <v>51.1032614595428</v>
      </c>
      <c r="P71" s="56">
        <f>22.87418363546*Deflactores!$M$5</f>
        <v>47.217607461000256</v>
      </c>
      <c r="Q71" s="56">
        <f>22.65695975556*Deflactores!$N$5</f>
        <v>45.879151572926254</v>
      </c>
      <c r="R71" s="56">
        <f>27.88881954315*Deflactores!$O$5</f>
        <v>54.479444729239852</v>
      </c>
      <c r="S71" s="56">
        <f>28.51771076153*Deflactores!$P$5</f>
        <v>52.175660729256577</v>
      </c>
      <c r="T71" s="56">
        <f>31.3254946883299*Deflactores!$Q$5</f>
        <v>54.196452427991645</v>
      </c>
      <c r="U71" s="56">
        <f>18.49309151377*Deflactores!$R$5</f>
        <v>30.737846098023955</v>
      </c>
      <c r="V71" s="56">
        <f>18.15825791927*Deflactores!$S$5</f>
        <v>29.251124746511287</v>
      </c>
    </row>
    <row r="72" spans="3:22" x14ac:dyDescent="0.2">
      <c r="C72" s="88" t="s">
        <v>142</v>
      </c>
      <c r="D72" s="57">
        <f>17.3119521128*Deflactores!$A$5</f>
        <v>64.464740692617212</v>
      </c>
      <c r="E72" s="57">
        <f>19.32297623409*Deflactores!$B$5</f>
        <v>66.841013396866131</v>
      </c>
      <c r="F72" s="57">
        <f>19.61576524128*Deflactores!$C$5</f>
        <v>63.4196152962597</v>
      </c>
      <c r="G72" s="57">
        <f>18.96296971418*Deflactores!$D$5</f>
        <v>57.571867690711343</v>
      </c>
      <c r="H72" s="57">
        <f>28.32106883313*Deflactores!$E$5</f>
        <v>81.502994905042087</v>
      </c>
      <c r="I72" s="57">
        <f>23.42672434268*Deflactores!$F$5</f>
        <v>64.296253212717716</v>
      </c>
      <c r="J72" s="57">
        <f>30.2866363212*Deflactores!$G$5</f>
        <v>79.561049850262222</v>
      </c>
      <c r="K72" s="57">
        <f>32.08803951389*Deflactores!$H$5</f>
        <v>79.751785899398072</v>
      </c>
      <c r="L72" s="57">
        <f>33.39956864715*Deflactores!$I$5</f>
        <v>77.094917195694734</v>
      </c>
      <c r="M72" s="57">
        <f>30.9719133424899*Deflactores!$J$5</f>
        <v>70.088223792779402</v>
      </c>
      <c r="N72" s="57">
        <f>50.23652760472*Deflactores!$K$5</f>
        <v>110.18895289191998</v>
      </c>
      <c r="O72" s="57">
        <f>42.8853853055399*Deflactores!$L$5</f>
        <v>90.685376461295576</v>
      </c>
      <c r="P72" s="57">
        <f>48.5560282848399*Deflactores!$M$5</f>
        <v>100.23087686786815</v>
      </c>
      <c r="Q72" s="57">
        <f>46.4910747908*Deflactores!$N$5</f>
        <v>94.141980659692649</v>
      </c>
      <c r="R72" s="57">
        <f>93.14793099778*Deflactores!$O$5</f>
        <v>181.95992665035649</v>
      </c>
      <c r="S72" s="57">
        <f>97.34066631463*Deflactores!$P$5</f>
        <v>178.09331272281358</v>
      </c>
      <c r="T72" s="57">
        <f>96.15349394247*Deflactores!$Q$5</f>
        <v>166.3558169499442</v>
      </c>
      <c r="U72" s="57">
        <f>99.0644508454599*Deflactores!$R$5</f>
        <v>164.65758802986889</v>
      </c>
      <c r="V72" s="57">
        <f>89.69967658078*Deflactores!$S$5</f>
        <v>144.49714510342167</v>
      </c>
    </row>
    <row r="73" spans="3:22" x14ac:dyDescent="0.2">
      <c r="C73" s="87" t="s">
        <v>143</v>
      </c>
      <c r="D73" s="56">
        <f>0*Deflactores!$A$5</f>
        <v>0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0*Deflactores!$E$5</f>
        <v>0</v>
      </c>
      <c r="I73" s="56">
        <f>0*Deflactores!$F$5</f>
        <v>0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0*Deflactores!$M$5</f>
        <v>0</v>
      </c>
      <c r="Q73" s="56">
        <f>0*Deflactores!$N$5</f>
        <v>0</v>
      </c>
      <c r="R73" s="56">
        <f>0*Deflactores!$O$5</f>
        <v>0</v>
      </c>
      <c r="S73" s="56">
        <f>0*Deflactores!$P$5</f>
        <v>0</v>
      </c>
      <c r="T73" s="56">
        <f>0*Deflactores!$Q$5</f>
        <v>0</v>
      </c>
      <c r="U73" s="56">
        <f>0*Deflactores!$R$5</f>
        <v>0</v>
      </c>
      <c r="V73" s="56">
        <f>0*Deflactores!$S$5</f>
        <v>0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13.3973125682999*Deflactores!$A$5</f>
        <v>49.887746631116855</v>
      </c>
      <c r="E75" s="56">
        <f>13.96122486604*Deflactores!$B$5</f>
        <v>48.29392775742798</v>
      </c>
      <c r="F75" s="56">
        <f>28.878024793*Deflactores!$C$5</f>
        <v>93.365372207543928</v>
      </c>
      <c r="G75" s="56">
        <f>14.164391076*Deflactores!$D$5</f>
        <v>43.003309146097379</v>
      </c>
      <c r="H75" s="56">
        <f>15.2725196755*Deflactores!$E$5</f>
        <v>43.951593092535951</v>
      </c>
      <c r="I75" s="56">
        <f>11.372307505*Deflactores!$F$5</f>
        <v>31.212078661046032</v>
      </c>
      <c r="J75" s="56">
        <f>11.197813476*Deflactores!$G$5</f>
        <v>29.415937337166628</v>
      </c>
      <c r="K75" s="56">
        <f>14.42968728701*Deflactores!$H$5</f>
        <v>35.863622350961698</v>
      </c>
      <c r="L75" s="56">
        <f>13.989468594*Deflactores!$I$5</f>
        <v>32.291342869131114</v>
      </c>
      <c r="M75" s="56">
        <f>19.3520031614199*Deflactores!$J$5</f>
        <v>43.792823304701031</v>
      </c>
      <c r="N75" s="56">
        <f>20.350714035*Deflactores!$K$5</f>
        <v>44.637318243087755</v>
      </c>
      <c r="O75" s="56">
        <f>22.5574617961499*Deflactores!$L$5</f>
        <v>47.699977519635191</v>
      </c>
      <c r="P75" s="56">
        <f>21.05356411425*Deflactores!$M$5</f>
        <v>43.45942752949604</v>
      </c>
      <c r="Q75" s="56">
        <f>24.10146468264*Deflactores!$N$5</f>
        <v>48.804198058083159</v>
      </c>
      <c r="R75" s="56">
        <f>32.97458032322*Deflactores!$O$5</f>
        <v>64.414229630955518</v>
      </c>
      <c r="S75" s="56">
        <f>38.01722526375*Deflactores!$P$5</f>
        <v>69.555858245990621</v>
      </c>
      <c r="T75" s="56">
        <f>39.65486432048*Deflactores!$Q$5</f>
        <v>68.607151748636554</v>
      </c>
      <c r="U75" s="56">
        <f>45.54391112425*Deflactores!$R$5</f>
        <v>75.699713582063467</v>
      </c>
      <c r="V75" s="56">
        <f>46.36684528019*Deflactores!$S$5</f>
        <v>74.692318030889126</v>
      </c>
    </row>
    <row r="76" spans="3:22" x14ac:dyDescent="0.2">
      <c r="C76" s="88" t="s">
        <v>146</v>
      </c>
      <c r="D76" s="57">
        <f>49.5838456009899*Deflactores!$A$5</f>
        <v>184.63600917930228</v>
      </c>
      <c r="E76" s="57">
        <f>51.02347983731*Deflactores!$B$5</f>
        <v>176.49771225943755</v>
      </c>
      <c r="F76" s="57">
        <f>50.7217821404399*Deflactores!$C$5</f>
        <v>163.98829568565378</v>
      </c>
      <c r="G76" s="57">
        <f>36.44044648111*Deflactores!$D$5</f>
        <v>110.63375594763123</v>
      </c>
      <c r="H76" s="57">
        <f>37.52025352999*Deflactores!$E$5</f>
        <v>107.97661099264013</v>
      </c>
      <c r="I76" s="57">
        <f>39.76813289218*Deflactores!$F$5</f>
        <v>109.14637082121833</v>
      </c>
      <c r="J76" s="57">
        <f>51.32883668642*Deflactores!$G$5</f>
        <v>134.83755974266688</v>
      </c>
      <c r="K76" s="57">
        <f>48.85579763615*Deflactores!$H$5</f>
        <v>121.42646207275889</v>
      </c>
      <c r="L76" s="57">
        <f>47.63051427145*Deflactores!$I$5</f>
        <v>109.94365204351625</v>
      </c>
      <c r="M76" s="57">
        <f>69.18777689529*Deflactores!$J$5</f>
        <v>156.56922248033564</v>
      </c>
      <c r="N76" s="57">
        <f>108.948383400749*Deflactores!$K$5</f>
        <v>238.96771649217331</v>
      </c>
      <c r="O76" s="57">
        <f>103.97432006514*Deflactores!$L$5</f>
        <v>219.86395342462822</v>
      </c>
      <c r="P76" s="57">
        <f>170.75912669424*Deflactores!$M$5</f>
        <v>352.48634631631916</v>
      </c>
      <c r="Q76" s="57">
        <f>174.86956880037*Deflactores!$N$5</f>
        <v>354.10167732304092</v>
      </c>
      <c r="R76" s="57">
        <f>165.839718686391*Deflactores!$O$5</f>
        <v>323.9597780074219</v>
      </c>
      <c r="S76" s="57">
        <f>196.203212143966*Deflactores!$P$5</f>
        <v>358.97103790755671</v>
      </c>
      <c r="T76" s="57">
        <f>282.82947349313*Deflactores!$Q$5</f>
        <v>489.32520485031063</v>
      </c>
      <c r="U76" s="57">
        <f>262.157086986611*Deflactores!$R$5</f>
        <v>435.73808020690387</v>
      </c>
      <c r="V76" s="57">
        <f>206.790945890165*Deflactores!$S$5</f>
        <v>333.11938742003838</v>
      </c>
    </row>
    <row r="77" spans="3:22" x14ac:dyDescent="0.2">
      <c r="C77" s="90" t="s">
        <v>147</v>
      </c>
      <c r="D77" s="58">
        <f>113.571641551619*Deflactores!$A$5</f>
        <v>422.908195156499</v>
      </c>
      <c r="E77" s="58">
        <f>113.70600655136*Deflactores!$B$5</f>
        <v>393.32578041446465</v>
      </c>
      <c r="F77" s="58">
        <f>152.289238686*Deflactores!$C$5</f>
        <v>492.36544240963616</v>
      </c>
      <c r="G77" s="58">
        <f>131.94324648064*Deflactores!$D$5</f>
        <v>400.58172551876572</v>
      </c>
      <c r="H77" s="58">
        <f>118.04696540818*Deflactores!$E$5</f>
        <v>339.71815389127238</v>
      </c>
      <c r="I77" s="58">
        <f>119.82983621475*Deflactores!$F$5</f>
        <v>328.8812118587748</v>
      </c>
      <c r="J77" s="58">
        <f>145.63143382432*Deflactores!$G$5</f>
        <v>382.56443017911238</v>
      </c>
      <c r="K77" s="58">
        <f>145.50076507744*Deflactores!$H$5</f>
        <v>361.62838367334945</v>
      </c>
      <c r="L77" s="58">
        <f>158.3825274178*Deflactores!$I$5</f>
        <v>365.58818964154705</v>
      </c>
      <c r="M77" s="58">
        <f>212.286442432589*Deflactores!$J$5</f>
        <v>480.39588387251189</v>
      </c>
      <c r="N77" s="58">
        <f>241.22768452792*Deflactores!$K$5</f>
        <v>529.10953909514467</v>
      </c>
      <c r="O77" s="58">
        <f>262.86277379776*Deflactores!$L$5</f>
        <v>555.84925796226662</v>
      </c>
      <c r="P77" s="58">
        <f>378.879071458829*Deflactores!$M$5</f>
        <v>782.09406536363542</v>
      </c>
      <c r="Q77" s="58">
        <f>369.66311651395*Deflactores!$N$5</f>
        <v>748.54836378927155</v>
      </c>
      <c r="R77" s="58">
        <f>387.25292522937*Deflactores!$O$5</f>
        <v>756.47964603262687</v>
      </c>
      <c r="S77" s="58">
        <f>442.09207778766*Deflactores!$P$5</f>
        <v>808.84635006738949</v>
      </c>
      <c r="T77" s="58">
        <f>474.49511602292*Deflactores!$Q$5</f>
        <v>820.92724276851925</v>
      </c>
      <c r="U77" s="58">
        <f>524.128403218719*Deflactores!$R$5</f>
        <v>871.1673860340793</v>
      </c>
      <c r="V77" s="58">
        <f>467.0484806235*Deflactores!$S$5</f>
        <v>752.36806471883108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69.74150272766*Deflactores!$A$5</f>
        <v>259.6973385530527</v>
      </c>
      <c r="E79" s="56">
        <f>69.13731330351*Deflactores!$B$5</f>
        <v>239.15612319547395</v>
      </c>
      <c r="F79" s="56">
        <f>76.2752722339*Deflactores!$C$5</f>
        <v>246.60513429838349</v>
      </c>
      <c r="G79" s="56">
        <f>104.3576307356*Deflactores!$D$5</f>
        <v>316.83137186753009</v>
      </c>
      <c r="H79" s="56">
        <f>85.50583473293*Deflactores!$E$5</f>
        <v>246.07057218253877</v>
      </c>
      <c r="I79" s="56">
        <f>6.09644239402*Deflactores!$F$5</f>
        <v>16.732104673658139</v>
      </c>
      <c r="J79" s="56">
        <f>95.4813949722899*Deflactores!$G$5</f>
        <v>250.82349669334113</v>
      </c>
      <c r="K79" s="56">
        <f>100.27310952088*Deflactores!$H$5</f>
        <v>249.21932542854353</v>
      </c>
      <c r="L79" s="56">
        <f>152.68230219825*Deflactores!$I$5</f>
        <v>352.43058284905584</v>
      </c>
      <c r="M79" s="56">
        <f>184.718313219889*Deflactores!$J$5</f>
        <v>418.0102899170613</v>
      </c>
      <c r="N79" s="56">
        <f>258.06001506735*Deflactores!$K$5</f>
        <v>566.02962424641646</v>
      </c>
      <c r="O79" s="56">
        <f>285.8359323766*Deflactores!$L$5</f>
        <v>604.4282673237152</v>
      </c>
      <c r="P79" s="56">
        <f>485.57987456694*Deflactores!$M$5</f>
        <v>1002.3492105187182</v>
      </c>
      <c r="Q79" s="56">
        <f>297.902283987*Deflactores!$N$5</f>
        <v>603.23645309942788</v>
      </c>
      <c r="R79" s="56">
        <f>354.72007051411*Deflactores!$O$5</f>
        <v>692.92830576875656</v>
      </c>
      <c r="S79" s="56">
        <f>374.25294026015*Deflactores!$P$5</f>
        <v>684.72867970460754</v>
      </c>
      <c r="T79" s="56">
        <f>114.05856782854*Deflactores!$Q$5</f>
        <v>197.3335076373823</v>
      </c>
      <c r="U79" s="56">
        <f>126.2342094265*Deflactores!$R$5</f>
        <v>209.81714705560719</v>
      </c>
      <c r="V79" s="56">
        <f>223.75610027383*Deflactores!$S$5</f>
        <v>360.44854253099061</v>
      </c>
    </row>
    <row r="80" spans="3:22" x14ac:dyDescent="0.2">
      <c r="C80" s="88" t="s">
        <v>150</v>
      </c>
      <c r="D80" s="57">
        <f>139.4940030023*Deflactores!$A$5</f>
        <v>519.43562881448008</v>
      </c>
      <c r="E80" s="57">
        <f>154.994164648709*Deflactores!$B$5</f>
        <v>536.14758462742202</v>
      </c>
      <c r="F80" s="57">
        <f>171.58627863092*Deflactores!$C$5</f>
        <v>554.75458882376427</v>
      </c>
      <c r="G80" s="57">
        <f>182.30855052279*Deflactores!$D$5</f>
        <v>553.49156317720212</v>
      </c>
      <c r="H80" s="57">
        <f>197.28998762879*Deflactores!$E$5</f>
        <v>567.76546645425401</v>
      </c>
      <c r="I80" s="57">
        <f>209.63606482804*Deflactores!$F$5</f>
        <v>575.36057152236936</v>
      </c>
      <c r="J80" s="57">
        <f>212.97684624607*Deflactores!$G$5</f>
        <v>559.47650645094268</v>
      </c>
      <c r="K80" s="57">
        <f>204.22763107631*Deflactores!$H$5</f>
        <v>507.5884521174541</v>
      </c>
      <c r="L80" s="57">
        <f>208.68190149354*Deflactores!$I$5</f>
        <v>481.69226632384721</v>
      </c>
      <c r="M80" s="57">
        <f>229.102127644069*Deflactores!$J$5</f>
        <v>518.44911924413043</v>
      </c>
      <c r="N80" s="57">
        <f>324.36220657933*Deflactores!$K$5</f>
        <v>711.45705335993273</v>
      </c>
      <c r="O80" s="57">
        <f>217.59143298586*Deflactores!$L$5</f>
        <v>460.11854328673763</v>
      </c>
      <c r="P80" s="57">
        <f>317.91832381292*Deflactores!$M$5</f>
        <v>656.25697763424239</v>
      </c>
      <c r="Q80" s="57">
        <f>325.12017421989*Deflactores!$N$5</f>
        <v>658.35124894857495</v>
      </c>
      <c r="R80" s="57">
        <f>366.309511257572*Deflactores!$O$5</f>
        <v>715.56771133589973</v>
      </c>
      <c r="S80" s="57">
        <f>391.763118331339*Deflactores!$P$5</f>
        <v>716.76509097166013</v>
      </c>
      <c r="T80" s="57">
        <f>485.10032091312*Deflactores!$Q$5</f>
        <v>839.27538022139572</v>
      </c>
      <c r="U80" s="57">
        <f>660.81048765885*Deflactores!$R$5</f>
        <v>1098.3502165926991</v>
      </c>
      <c r="V80" s="57">
        <f>674.0742277688*Deflactores!$S$5</f>
        <v>1085.865693313498</v>
      </c>
    </row>
    <row r="81" spans="3:22" x14ac:dyDescent="0.2">
      <c r="C81" s="87" t="s">
        <v>151</v>
      </c>
      <c r="D81" s="56">
        <f>23.78600105*Deflactores!$A$5</f>
        <v>88.572240716218587</v>
      </c>
      <c r="E81" s="56">
        <f>17.14503132068*Deflactores!$B$5</f>
        <v>59.307181994742592</v>
      </c>
      <c r="F81" s="56">
        <f>6.14762940545*Deflactores!$C$5</f>
        <v>19.875864493786718</v>
      </c>
      <c r="G81" s="56">
        <f>11.26058101111*Deflactores!$D$5</f>
        <v>34.187297130332155</v>
      </c>
      <c r="H81" s="56">
        <f>22.9284455457*Deflactores!$E$5</f>
        <v>65.983984979608991</v>
      </c>
      <c r="I81" s="56">
        <f>8.57041686506*Deflactores!$F$5</f>
        <v>23.522097448789332</v>
      </c>
      <c r="J81" s="56">
        <f>23.46058260405*Deflactores!$G$5</f>
        <v>61.629444824497476</v>
      </c>
      <c r="K81" s="56">
        <f>13.86999891267*Deflactores!$H$5</f>
        <v>34.472569856731752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179</v>
      </c>
      <c r="D82" s="44">
        <f t="shared" ref="D82:V82" si="1">+SUM(D53:D81)</f>
        <v>5529.2396949788745</v>
      </c>
      <c r="E82" s="44">
        <f t="shared" si="1"/>
        <v>5927.9446632036461</v>
      </c>
      <c r="F82" s="44">
        <f t="shared" si="1"/>
        <v>5876.6365231311338</v>
      </c>
      <c r="G82" s="44">
        <f t="shared" si="1"/>
        <v>5874.0488529575841</v>
      </c>
      <c r="H82" s="44">
        <f t="shared" si="1"/>
        <v>12228.444186017554</v>
      </c>
      <c r="I82" s="44">
        <f t="shared" si="1"/>
        <v>11194.094827544746</v>
      </c>
      <c r="J82" s="44">
        <f t="shared" si="1"/>
        <v>6287.3066556360836</v>
      </c>
      <c r="K82" s="44">
        <f t="shared" si="1"/>
        <v>5741.4381091570594</v>
      </c>
      <c r="L82" s="44">
        <f t="shared" si="1"/>
        <v>5782.4167669384951</v>
      </c>
      <c r="M82" s="44">
        <f t="shared" si="1"/>
        <v>7173.2931550993608</v>
      </c>
      <c r="N82" s="44">
        <f t="shared" si="1"/>
        <v>10076.380281725447</v>
      </c>
      <c r="O82" s="44">
        <f t="shared" si="1"/>
        <v>9285.2649614111961</v>
      </c>
      <c r="P82" s="44">
        <f t="shared" si="1"/>
        <v>9095.1109964272546</v>
      </c>
      <c r="Q82" s="44">
        <f t="shared" si="1"/>
        <v>9201.4091033240693</v>
      </c>
      <c r="R82" s="44">
        <f t="shared" si="1"/>
        <v>9386.8214547822827</v>
      </c>
      <c r="S82" s="44">
        <f t="shared" si="1"/>
        <v>9566.7760989179897</v>
      </c>
      <c r="T82" s="44">
        <f t="shared" si="1"/>
        <v>9057.199236990833</v>
      </c>
      <c r="U82" s="44">
        <f t="shared" si="1"/>
        <v>9298.4276692051044</v>
      </c>
      <c r="V82" s="44">
        <f t="shared" si="1"/>
        <v>8975.1502139977347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55" t="s">
        <v>196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3:22" ht="11.25" hidden="1" customHeight="1" x14ac:dyDescent="0.2">
      <c r="H88" s="27"/>
      <c r="I88" s="27"/>
      <c r="J88" s="27"/>
      <c r="L88" s="177"/>
      <c r="M88" s="156"/>
      <c r="N88" s="156"/>
      <c r="O88" s="156"/>
      <c r="P88" s="156"/>
      <c r="Q88" s="156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6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60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94.203305657212383</v>
      </c>
      <c r="E92" s="60">
        <f t="shared" si="2"/>
        <v>87.471264132040503</v>
      </c>
      <c r="F92" s="60">
        <f t="shared" si="2"/>
        <v>91.128019172591848</v>
      </c>
      <c r="G92" s="60">
        <f t="shared" si="2"/>
        <v>75.908749904757613</v>
      </c>
      <c r="H92" s="60">
        <f t="shared" si="2"/>
        <v>75.500079225500087</v>
      </c>
      <c r="I92" s="60">
        <f t="shared" si="2"/>
        <v>83.140460037748497</v>
      </c>
      <c r="J92" s="60">
        <f t="shared" si="2"/>
        <v>88.128568013195945</v>
      </c>
      <c r="K92" s="60">
        <f t="shared" si="2"/>
        <v>85.170590357299886</v>
      </c>
      <c r="L92" s="60">
        <f t="shared" si="2"/>
        <v>93.158667405647904</v>
      </c>
      <c r="M92" s="60">
        <f t="shared" si="2"/>
        <v>90.49481503272969</v>
      </c>
      <c r="N92" s="60">
        <f t="shared" si="2"/>
        <v>89.027171025949031</v>
      </c>
      <c r="O92" s="60">
        <f t="shared" si="2"/>
        <v>87.84946102215325</v>
      </c>
      <c r="P92" s="60">
        <f t="shared" si="2"/>
        <v>96.934893491583679</v>
      </c>
      <c r="Q92" s="60">
        <f t="shared" si="2"/>
        <v>86.581579005279082</v>
      </c>
      <c r="R92" s="60">
        <f t="shared" si="2"/>
        <v>93.246326541790197</v>
      </c>
      <c r="S92" s="60">
        <f t="shared" si="2"/>
        <v>87.390457924678458</v>
      </c>
      <c r="T92" s="60">
        <f t="shared" si="2"/>
        <v>83.637026672497115</v>
      </c>
      <c r="U92" s="60">
        <f t="shared" si="2"/>
        <v>96.625681544715164</v>
      </c>
      <c r="V92" s="60">
        <f t="shared" si="2"/>
        <v>86.903002059336302</v>
      </c>
    </row>
    <row r="93" spans="3:22" x14ac:dyDescent="0.2">
      <c r="C93" s="88" t="s">
        <v>124</v>
      </c>
      <c r="D93" s="62" t="str">
        <f t="shared" ref="D93:V93" si="3">+IFERROR(IF(D54&gt;0,+((D54/D14)*100)," "),"")</f>
        <v xml:space="preserve"> </v>
      </c>
      <c r="E93" s="62" t="str">
        <f t="shared" si="3"/>
        <v xml:space="preserve"> </v>
      </c>
      <c r="F93" s="62" t="str">
        <f t="shared" si="3"/>
        <v xml:space="preserve"> </v>
      </c>
      <c r="G93" s="62" t="str">
        <f t="shared" si="3"/>
        <v xml:space="preserve"> </v>
      </c>
      <c r="H93" s="62" t="str">
        <f t="shared" si="3"/>
        <v xml:space="preserve"> </v>
      </c>
      <c r="I93" s="62" t="str">
        <f t="shared" si="3"/>
        <v xml:space="preserve"> </v>
      </c>
      <c r="J93" s="62" t="str">
        <f t="shared" si="3"/>
        <v xml:space="preserve"> </v>
      </c>
      <c r="K93" s="62" t="str">
        <f t="shared" si="3"/>
        <v xml:space="preserve"> </v>
      </c>
      <c r="L93" s="62" t="str">
        <f t="shared" si="3"/>
        <v xml:space="preserve"> </v>
      </c>
      <c r="M93" s="62" t="str">
        <f t="shared" si="3"/>
        <v xml:space="preserve"> </v>
      </c>
      <c r="N93" s="62" t="str">
        <f t="shared" si="3"/>
        <v xml:space="preserve"> </v>
      </c>
      <c r="O93" s="62" t="str">
        <f t="shared" si="3"/>
        <v xml:space="preserve"> </v>
      </c>
      <c r="P93" s="62">
        <f t="shared" si="3"/>
        <v>81.655503734028144</v>
      </c>
      <c r="Q93" s="62">
        <f t="shared" si="3"/>
        <v>87.647612421551145</v>
      </c>
      <c r="R93" s="62">
        <f t="shared" si="3"/>
        <v>69.758201796917618</v>
      </c>
      <c r="S93" s="62">
        <f t="shared" si="3"/>
        <v>96.939605972279097</v>
      </c>
      <c r="T93" s="62">
        <f t="shared" si="3"/>
        <v>91.865283484474787</v>
      </c>
      <c r="U93" s="62">
        <f t="shared" si="3"/>
        <v>97.191158466917841</v>
      </c>
      <c r="V93" s="62">
        <f t="shared" si="3"/>
        <v>96.952595420991941</v>
      </c>
    </row>
    <row r="94" spans="3:22" x14ac:dyDescent="0.2">
      <c r="C94" s="87" t="s">
        <v>125</v>
      </c>
      <c r="D94" s="60">
        <f t="shared" ref="D94:V94" si="4">+IFERROR(IF(D55&gt;0,+((D55/D15)*100)," "),"")</f>
        <v>75.769773989220482</v>
      </c>
      <c r="E94" s="60">
        <f t="shared" si="4"/>
        <v>83.177590345454917</v>
      </c>
      <c r="F94" s="60">
        <f t="shared" si="4"/>
        <v>98.601044729947233</v>
      </c>
      <c r="G94" s="60">
        <f t="shared" si="4"/>
        <v>88.9210462043756</v>
      </c>
      <c r="H94" s="60">
        <f t="shared" si="4"/>
        <v>75.16369651478594</v>
      </c>
      <c r="I94" s="60">
        <f t="shared" si="4"/>
        <v>75.766181241757863</v>
      </c>
      <c r="J94" s="60">
        <f t="shared" si="4"/>
        <v>81.730376640733994</v>
      </c>
      <c r="K94" s="60">
        <f t="shared" si="4"/>
        <v>53.193195694963734</v>
      </c>
      <c r="L94" s="60">
        <f t="shared" si="4"/>
        <v>88.222403650571707</v>
      </c>
      <c r="M94" s="60">
        <f t="shared" si="4"/>
        <v>79.514917505851557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95.013070743735454</v>
      </c>
      <c r="E95" s="62">
        <f t="shared" si="5"/>
        <v>92.799103167689921</v>
      </c>
      <c r="F95" s="62">
        <f t="shared" si="5"/>
        <v>87.01846174888324</v>
      </c>
      <c r="G95" s="62">
        <f t="shared" si="5"/>
        <v>89.034540032180772</v>
      </c>
      <c r="H95" s="62">
        <f t="shared" si="5"/>
        <v>91.868207181626957</v>
      </c>
      <c r="I95" s="62">
        <f t="shared" si="5"/>
        <v>92.928541518385472</v>
      </c>
      <c r="J95" s="62">
        <f t="shared" si="5"/>
        <v>91.939863170846749</v>
      </c>
      <c r="K95" s="62">
        <f t="shared" si="5"/>
        <v>94.329343287624908</v>
      </c>
      <c r="L95" s="62">
        <f t="shared" si="5"/>
        <v>93.606093479586519</v>
      </c>
      <c r="M95" s="62">
        <f t="shared" si="5"/>
        <v>95.461503966889069</v>
      </c>
      <c r="N95" s="62">
        <f t="shared" si="5"/>
        <v>93.000278635505623</v>
      </c>
      <c r="O95" s="62">
        <f t="shared" si="5"/>
        <v>88.072544832183439</v>
      </c>
      <c r="P95" s="62">
        <f t="shared" si="5"/>
        <v>92.967582421285883</v>
      </c>
      <c r="Q95" s="62">
        <f t="shared" si="5"/>
        <v>95.876726448986361</v>
      </c>
      <c r="R95" s="62">
        <f t="shared" si="5"/>
        <v>95.659180250132479</v>
      </c>
      <c r="S95" s="62">
        <f t="shared" si="5"/>
        <v>95.740211005786932</v>
      </c>
      <c r="T95" s="62">
        <f t="shared" si="5"/>
        <v>95.351611722365433</v>
      </c>
      <c r="U95" s="62">
        <f t="shared" si="5"/>
        <v>96.696201506321145</v>
      </c>
      <c r="V95" s="62">
        <f t="shared" si="5"/>
        <v>94.90959083291412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86.486610677927331</v>
      </c>
      <c r="E97" s="62">
        <f t="shared" si="7"/>
        <v>90.925323898270605</v>
      </c>
      <c r="F97" s="62">
        <f t="shared" si="7"/>
        <v>77.627957766161387</v>
      </c>
      <c r="G97" s="62">
        <f t="shared" si="7"/>
        <v>86.812465205825404</v>
      </c>
      <c r="H97" s="62">
        <f t="shared" si="7"/>
        <v>85.832911558562685</v>
      </c>
      <c r="I97" s="62">
        <f t="shared" si="7"/>
        <v>88.107833645520302</v>
      </c>
      <c r="J97" s="62">
        <f t="shared" si="7"/>
        <v>35.952556799879424</v>
      </c>
      <c r="K97" s="62">
        <f t="shared" si="7"/>
        <v>59.143608145043657</v>
      </c>
      <c r="L97" s="62">
        <f t="shared" si="7"/>
        <v>85.226291016673343</v>
      </c>
      <c r="M97" s="62">
        <f t="shared" si="7"/>
        <v>68.12929288756375</v>
      </c>
      <c r="N97" s="62">
        <f t="shared" si="7"/>
        <v>81.993306132326509</v>
      </c>
      <c r="O97" s="62">
        <f t="shared" si="7"/>
        <v>82.696847994576217</v>
      </c>
      <c r="P97" s="62">
        <f t="shared" si="7"/>
        <v>86.884615128946081</v>
      </c>
      <c r="Q97" s="62">
        <f t="shared" si="7"/>
        <v>81.299652575795704</v>
      </c>
      <c r="R97" s="62">
        <f t="shared" si="7"/>
        <v>88.698826030086209</v>
      </c>
      <c r="S97" s="62">
        <f t="shared" si="7"/>
        <v>94.701135518454748</v>
      </c>
      <c r="T97" s="62">
        <f t="shared" si="7"/>
        <v>95.724453440741215</v>
      </c>
      <c r="U97" s="62">
        <f t="shared" si="7"/>
        <v>96.911394891974084</v>
      </c>
      <c r="V97" s="62">
        <f t="shared" si="7"/>
        <v>96.37509977469125</v>
      </c>
    </row>
    <row r="98" spans="3:22" x14ac:dyDescent="0.2">
      <c r="C98" s="87" t="s">
        <v>129</v>
      </c>
      <c r="D98" s="60">
        <f t="shared" ref="D98:V98" si="8">+IFERROR(IF(D59&gt;0,+((D59/D19)*100)," "),"")</f>
        <v>87.225546420586767</v>
      </c>
      <c r="E98" s="60">
        <f t="shared" si="8"/>
        <v>90.291401615743808</v>
      </c>
      <c r="F98" s="60">
        <f t="shared" si="8"/>
        <v>89.255233349397201</v>
      </c>
      <c r="G98" s="60">
        <f t="shared" si="8"/>
        <v>91.054827148363344</v>
      </c>
      <c r="H98" s="60">
        <f t="shared" si="8"/>
        <v>93.308584033000869</v>
      </c>
      <c r="I98" s="60">
        <f t="shared" si="8"/>
        <v>94.212008623357818</v>
      </c>
      <c r="J98" s="60">
        <f t="shared" si="8"/>
        <v>93.529162185493959</v>
      </c>
      <c r="K98" s="60">
        <f t="shared" si="8"/>
        <v>92.390753081775117</v>
      </c>
      <c r="L98" s="60">
        <f t="shared" si="8"/>
        <v>92.357814865027848</v>
      </c>
      <c r="M98" s="60">
        <f t="shared" si="8"/>
        <v>91.251740130334014</v>
      </c>
      <c r="N98" s="60">
        <f t="shared" si="8"/>
        <v>95.500212235991128</v>
      </c>
      <c r="O98" s="60">
        <f t="shared" si="8"/>
        <v>87.428186264023935</v>
      </c>
      <c r="P98" s="60">
        <f t="shared" si="8"/>
        <v>86.277911953746539</v>
      </c>
      <c r="Q98" s="60">
        <f t="shared" si="8"/>
        <v>84.719978464840167</v>
      </c>
      <c r="R98" s="60">
        <f t="shared" si="8"/>
        <v>91.374114127934376</v>
      </c>
      <c r="S98" s="60">
        <f t="shared" si="8"/>
        <v>87.347624067063876</v>
      </c>
      <c r="T98" s="60">
        <f t="shared" si="8"/>
        <v>94.446161546173684</v>
      </c>
      <c r="U98" s="60">
        <f t="shared" si="8"/>
        <v>97.926552445848301</v>
      </c>
      <c r="V98" s="60">
        <f t="shared" si="8"/>
        <v>97.1902375359507</v>
      </c>
    </row>
    <row r="99" spans="3:22" x14ac:dyDescent="0.2">
      <c r="C99" s="88" t="s">
        <v>130</v>
      </c>
      <c r="D99" s="62">
        <f t="shared" ref="D99:V99" si="9">+IFERROR(IF(D60&gt;0,+((D60/D20)*100)," "),"")</f>
        <v>97.200525772236361</v>
      </c>
      <c r="E99" s="62">
        <f t="shared" si="9"/>
        <v>88.490333339819898</v>
      </c>
      <c r="F99" s="62">
        <f t="shared" si="9"/>
        <v>86.626058219529156</v>
      </c>
      <c r="G99" s="62">
        <f t="shared" si="9"/>
        <v>82.482878665884002</v>
      </c>
      <c r="H99" s="62">
        <f t="shared" si="9"/>
        <v>91.036692151141565</v>
      </c>
      <c r="I99" s="62">
        <f t="shared" si="9"/>
        <v>97.463229846949801</v>
      </c>
      <c r="J99" s="62">
        <f t="shared" si="9"/>
        <v>95.424558116289447</v>
      </c>
      <c r="K99" s="62">
        <f t="shared" si="9"/>
        <v>92.140305559719209</v>
      </c>
      <c r="L99" s="62">
        <f t="shared" si="9"/>
        <v>95.800510628945233</v>
      </c>
      <c r="M99" s="62">
        <f t="shared" si="9"/>
        <v>96.595065083591948</v>
      </c>
      <c r="N99" s="62">
        <f t="shared" si="9"/>
        <v>96.347144660234136</v>
      </c>
      <c r="O99" s="62">
        <f t="shared" si="9"/>
        <v>75.001163463350352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92.076885101159235</v>
      </c>
      <c r="E100" s="60">
        <f t="shared" si="10"/>
        <v>93.09417302769458</v>
      </c>
      <c r="F100" s="60">
        <f t="shared" si="10"/>
        <v>93.129731337432759</v>
      </c>
      <c r="G100" s="60">
        <f t="shared" si="10"/>
        <v>90.842407082518392</v>
      </c>
      <c r="H100" s="60">
        <f t="shared" si="10"/>
        <v>91.365266315811084</v>
      </c>
      <c r="I100" s="60">
        <f t="shared" si="10"/>
        <v>92.290304698855564</v>
      </c>
      <c r="J100" s="60">
        <f t="shared" si="10"/>
        <v>82.905113713485505</v>
      </c>
      <c r="K100" s="60">
        <f t="shared" si="10"/>
        <v>85.682414934705946</v>
      </c>
      <c r="L100" s="60">
        <f t="shared" si="10"/>
        <v>88.860234254829734</v>
      </c>
      <c r="M100" s="60">
        <f t="shared" si="10"/>
        <v>93.642395621996698</v>
      </c>
      <c r="N100" s="60">
        <f t="shared" si="10"/>
        <v>88.70215537158856</v>
      </c>
      <c r="O100" s="60">
        <f t="shared" si="10"/>
        <v>94.611740770411487</v>
      </c>
      <c r="P100" s="60">
        <f t="shared" si="10"/>
        <v>95.838753881994123</v>
      </c>
      <c r="Q100" s="60">
        <f t="shared" si="10"/>
        <v>84.901420417346131</v>
      </c>
      <c r="R100" s="60">
        <f t="shared" si="10"/>
        <v>91.238913914443955</v>
      </c>
      <c r="S100" s="60">
        <f t="shared" si="10"/>
        <v>91.458390482337009</v>
      </c>
      <c r="T100" s="60">
        <f t="shared" si="10"/>
        <v>92.117666952714444</v>
      </c>
      <c r="U100" s="60">
        <f t="shared" si="10"/>
        <v>88.073980158435333</v>
      </c>
      <c r="V100" s="60">
        <f t="shared" si="10"/>
        <v>88.991790352174277</v>
      </c>
    </row>
    <row r="101" spans="3:22" x14ac:dyDescent="0.2">
      <c r="C101" s="88" t="s">
        <v>132</v>
      </c>
      <c r="D101" s="62">
        <f t="shared" ref="D101:V101" si="11">+IFERROR(IF(D62&gt;0,+((D62/D22)*100)," "),"")</f>
        <v>83.265277749522724</v>
      </c>
      <c r="E101" s="62">
        <f t="shared" si="11"/>
        <v>87.79208478833128</v>
      </c>
      <c r="F101" s="62">
        <f t="shared" si="11"/>
        <v>83.324651288977719</v>
      </c>
      <c r="G101" s="62">
        <f t="shared" si="11"/>
        <v>86.026074703323474</v>
      </c>
      <c r="H101" s="62">
        <f t="shared" si="11"/>
        <v>81.836949918116801</v>
      </c>
      <c r="I101" s="62">
        <f t="shared" si="11"/>
        <v>93.666686212676382</v>
      </c>
      <c r="J101" s="62">
        <f t="shared" si="11"/>
        <v>74.560783638686374</v>
      </c>
      <c r="K101" s="62">
        <f t="shared" si="11"/>
        <v>53.506547084759838</v>
      </c>
      <c r="L101" s="62">
        <f t="shared" si="11"/>
        <v>55.814359166408359</v>
      </c>
      <c r="M101" s="62">
        <f t="shared" si="11"/>
        <v>36.803667828765811</v>
      </c>
      <c r="N101" s="62">
        <f t="shared" si="11"/>
        <v>67.49821850328847</v>
      </c>
      <c r="O101" s="62">
        <f t="shared" si="11"/>
        <v>62.398841799555193</v>
      </c>
      <c r="P101" s="62">
        <f t="shared" si="11"/>
        <v>64.644230584384104</v>
      </c>
      <c r="Q101" s="62">
        <f t="shared" si="11"/>
        <v>45.55831849988359</v>
      </c>
      <c r="R101" s="62">
        <f t="shared" si="11"/>
        <v>51.903463375777783</v>
      </c>
      <c r="S101" s="62">
        <f t="shared" si="11"/>
        <v>53.648075970951624</v>
      </c>
      <c r="T101" s="62">
        <f t="shared" si="11"/>
        <v>76.269740443762061</v>
      </c>
      <c r="U101" s="62">
        <f t="shared" si="11"/>
        <v>79.435763353000496</v>
      </c>
      <c r="V101" s="62">
        <f t="shared" si="11"/>
        <v>82.568537657639055</v>
      </c>
    </row>
    <row r="102" spans="3:22" x14ac:dyDescent="0.2">
      <c r="C102" s="87" t="s">
        <v>133</v>
      </c>
      <c r="D102" s="60">
        <f t="shared" ref="D102:V102" si="12">+IFERROR(IF(D63&gt;0,+((D63/D23)*100)," "),"")</f>
        <v>52.553481328482718</v>
      </c>
      <c r="E102" s="60">
        <f t="shared" si="12"/>
        <v>63.907002755798558</v>
      </c>
      <c r="F102" s="60">
        <f t="shared" si="12"/>
        <v>86.798313787478392</v>
      </c>
      <c r="G102" s="60">
        <f t="shared" si="12"/>
        <v>34.140608885384026</v>
      </c>
      <c r="H102" s="60">
        <f t="shared" si="12"/>
        <v>95.747806882061937</v>
      </c>
      <c r="I102" s="60">
        <f t="shared" si="12"/>
        <v>98.344466675607094</v>
      </c>
      <c r="J102" s="60">
        <f t="shared" si="12"/>
        <v>99.818478583333331</v>
      </c>
      <c r="K102" s="60">
        <f t="shared" si="12"/>
        <v>62.978497907043476</v>
      </c>
      <c r="L102" s="60">
        <f t="shared" si="12"/>
        <v>41.562018146718138</v>
      </c>
      <c r="M102" s="60">
        <f t="shared" si="12"/>
        <v>55.072898529411773</v>
      </c>
      <c r="N102" s="60">
        <f t="shared" si="12"/>
        <v>51.166891628692966</v>
      </c>
      <c r="O102" s="60">
        <f t="shared" si="12"/>
        <v>56.280372856519314</v>
      </c>
      <c r="P102" s="60">
        <f t="shared" si="12"/>
        <v>50.900885209197796</v>
      </c>
      <c r="Q102" s="60">
        <f t="shared" si="12"/>
        <v>25.789746666666662</v>
      </c>
      <c r="R102" s="60">
        <f t="shared" si="12"/>
        <v>91.270268277789512</v>
      </c>
      <c r="S102" s="60">
        <f t="shared" si="12"/>
        <v>48.851568399085245</v>
      </c>
      <c r="T102" s="60">
        <f t="shared" si="12"/>
        <v>91.890358572245518</v>
      </c>
      <c r="U102" s="60">
        <f t="shared" si="12"/>
        <v>99.355214242864776</v>
      </c>
      <c r="V102" s="60">
        <f t="shared" si="12"/>
        <v>92.956985993006995</v>
      </c>
    </row>
    <row r="103" spans="3:22" x14ac:dyDescent="0.2">
      <c r="C103" s="88" t="s">
        <v>134</v>
      </c>
      <c r="D103" s="62">
        <f t="shared" ref="D103:V103" si="13">+IFERROR(IF(D64&gt;0,+((D64/D24)*100)," "),"")</f>
        <v>70.761105361669252</v>
      </c>
      <c r="E103" s="62">
        <f t="shared" si="13"/>
        <v>89.605139799463146</v>
      </c>
      <c r="F103" s="62">
        <f t="shared" si="13"/>
        <v>95.067794039189195</v>
      </c>
      <c r="G103" s="62">
        <f t="shared" si="13"/>
        <v>90.786643520125409</v>
      </c>
      <c r="H103" s="62">
        <f t="shared" si="13"/>
        <v>96.880565578378892</v>
      </c>
      <c r="I103" s="62">
        <f t="shared" si="13"/>
        <v>89.071774588640011</v>
      </c>
      <c r="J103" s="62">
        <f t="shared" si="13"/>
        <v>97.645405326403704</v>
      </c>
      <c r="K103" s="62">
        <f t="shared" si="13"/>
        <v>88.723679789905574</v>
      </c>
      <c r="L103" s="62">
        <f t="shared" si="13"/>
        <v>91.748472105166869</v>
      </c>
      <c r="M103" s="62">
        <f t="shared" si="13"/>
        <v>89.380703681712077</v>
      </c>
      <c r="N103" s="62">
        <f t="shared" si="13"/>
        <v>92.708811367532306</v>
      </c>
      <c r="O103" s="62">
        <f t="shared" si="13"/>
        <v>93.048920860927481</v>
      </c>
      <c r="P103" s="62">
        <f t="shared" si="13"/>
        <v>89.154634552176361</v>
      </c>
      <c r="Q103" s="62">
        <f t="shared" si="13"/>
        <v>77.438825220393085</v>
      </c>
      <c r="R103" s="62">
        <f t="shared" si="13"/>
        <v>70.686130429657695</v>
      </c>
      <c r="S103" s="62">
        <f t="shared" si="13"/>
        <v>70.303390677212576</v>
      </c>
      <c r="T103" s="62">
        <f t="shared" si="13"/>
        <v>77.870855442690157</v>
      </c>
      <c r="U103" s="62">
        <f t="shared" si="13"/>
        <v>75.642941879647623</v>
      </c>
      <c r="V103" s="62">
        <f t="shared" si="13"/>
        <v>79.657261317199641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97.039165649265342</v>
      </c>
      <c r="E105" s="62">
        <f t="shared" si="15"/>
        <v>99.052863910195569</v>
      </c>
      <c r="F105" s="62">
        <f t="shared" si="15"/>
        <v>95.818569811133543</v>
      </c>
      <c r="G105" s="62">
        <f t="shared" si="15"/>
        <v>98.264930565323397</v>
      </c>
      <c r="H105" s="62">
        <f t="shared" si="15"/>
        <v>96.555676547897079</v>
      </c>
      <c r="I105" s="62">
        <f t="shared" si="15"/>
        <v>97.227393518070045</v>
      </c>
      <c r="J105" s="62">
        <f t="shared" si="15"/>
        <v>73.058920183896745</v>
      </c>
      <c r="K105" s="62">
        <f t="shared" si="15"/>
        <v>71.301830803332848</v>
      </c>
      <c r="L105" s="62">
        <f t="shared" si="15"/>
        <v>73.846862368899025</v>
      </c>
      <c r="M105" s="62">
        <f t="shared" si="15"/>
        <v>74.995063777339283</v>
      </c>
      <c r="N105" s="62">
        <f t="shared" si="15"/>
        <v>79.49629701128589</v>
      </c>
      <c r="O105" s="62">
        <f t="shared" si="15"/>
        <v>78.686593943293559</v>
      </c>
      <c r="P105" s="62">
        <f t="shared" si="15"/>
        <v>80.360733068738639</v>
      </c>
      <c r="Q105" s="62">
        <f t="shared" si="15"/>
        <v>82.454929339296996</v>
      </c>
      <c r="R105" s="62">
        <f t="shared" si="15"/>
        <v>84.161756440728027</v>
      </c>
      <c r="S105" s="62">
        <f t="shared" si="15"/>
        <v>86.413707228944006</v>
      </c>
      <c r="T105" s="62">
        <f t="shared" si="15"/>
        <v>88.281025454894149</v>
      </c>
      <c r="U105" s="62">
        <f t="shared" si="15"/>
        <v>98.435301502502952</v>
      </c>
      <c r="V105" s="62">
        <f t="shared" si="15"/>
        <v>87.784429126953484</v>
      </c>
    </row>
    <row r="106" spans="3:22" x14ac:dyDescent="0.2">
      <c r="C106" s="87" t="s">
        <v>137</v>
      </c>
      <c r="D106" s="60">
        <f t="shared" ref="D106:V106" si="16">+IFERROR(IF(D67&gt;0,+((D67/D27)*100)," "),"")</f>
        <v>86.875545215401246</v>
      </c>
      <c r="E106" s="60">
        <f t="shared" si="16"/>
        <v>84.99694457059303</v>
      </c>
      <c r="F106" s="60">
        <f t="shared" si="16"/>
        <v>99.095508597858242</v>
      </c>
      <c r="G106" s="60">
        <f t="shared" si="16"/>
        <v>91.561991483454932</v>
      </c>
      <c r="H106" s="60">
        <f t="shared" si="16"/>
        <v>94.03800617306959</v>
      </c>
      <c r="I106" s="60">
        <f t="shared" si="16"/>
        <v>96.116793414070429</v>
      </c>
      <c r="J106" s="60">
        <f t="shared" si="16"/>
        <v>96.700661405903347</v>
      </c>
      <c r="K106" s="60">
        <f t="shared" si="16"/>
        <v>91.518772696376132</v>
      </c>
      <c r="L106" s="60">
        <f t="shared" si="16"/>
        <v>90.664067553102939</v>
      </c>
      <c r="M106" s="60">
        <f t="shared" si="16"/>
        <v>94.832205712300123</v>
      </c>
      <c r="N106" s="60">
        <f t="shared" si="16"/>
        <v>94.105535938117981</v>
      </c>
      <c r="O106" s="60">
        <f t="shared" si="16"/>
        <v>94.908080494790823</v>
      </c>
      <c r="P106" s="60">
        <f t="shared" si="16"/>
        <v>94.350238703360276</v>
      </c>
      <c r="Q106" s="60">
        <f t="shared" si="16"/>
        <v>85.62671239681066</v>
      </c>
      <c r="R106" s="60">
        <f t="shared" si="16"/>
        <v>92.608809100658604</v>
      </c>
      <c r="S106" s="60">
        <f t="shared" si="16"/>
        <v>66.311393973366464</v>
      </c>
      <c r="T106" s="60">
        <f t="shared" si="16"/>
        <v>75.030463264975083</v>
      </c>
      <c r="U106" s="60">
        <f t="shared" si="16"/>
        <v>98.146348989220783</v>
      </c>
      <c r="V106" s="60">
        <f t="shared" si="16"/>
        <v>71.70756414794468</v>
      </c>
    </row>
    <row r="107" spans="3:22" x14ac:dyDescent="0.2">
      <c r="C107" s="88" t="s">
        <v>138</v>
      </c>
      <c r="D107" s="62">
        <f t="shared" ref="D107:V107" si="17">+IFERROR(IF(D68&gt;0,+((D68/D28)*100)," "),"")</f>
        <v>89.434185262638721</v>
      </c>
      <c r="E107" s="62">
        <f t="shared" si="17"/>
        <v>83.172710730885498</v>
      </c>
      <c r="F107" s="62">
        <f t="shared" si="17"/>
        <v>95.963166355515597</v>
      </c>
      <c r="G107" s="62">
        <f t="shared" si="17"/>
        <v>95.315400713689854</v>
      </c>
      <c r="H107" s="62">
        <f t="shared" si="17"/>
        <v>96.34841453617544</v>
      </c>
      <c r="I107" s="62">
        <f t="shared" si="17"/>
        <v>89.694963216815509</v>
      </c>
      <c r="J107" s="62">
        <f t="shared" si="17"/>
        <v>97.041889352640027</v>
      </c>
      <c r="K107" s="62">
        <f t="shared" si="17"/>
        <v>95.979571788382771</v>
      </c>
      <c r="L107" s="62">
        <f t="shared" si="17"/>
        <v>96.082339640871766</v>
      </c>
      <c r="M107" s="62">
        <f t="shared" si="17"/>
        <v>87.442322547568509</v>
      </c>
      <c r="N107" s="62">
        <f t="shared" si="17"/>
        <v>82.150101131908642</v>
      </c>
      <c r="O107" s="62">
        <f t="shared" si="17"/>
        <v>80.58175447009269</v>
      </c>
      <c r="P107" s="62">
        <f t="shared" si="17"/>
        <v>87.452105003671008</v>
      </c>
      <c r="Q107" s="62">
        <f t="shared" si="17"/>
        <v>95.671537990570002</v>
      </c>
      <c r="R107" s="62">
        <f t="shared" si="17"/>
        <v>81.256331602629075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95.860669548345882</v>
      </c>
      <c r="E108" s="60">
        <f t="shared" si="18"/>
        <v>97.000534876083009</v>
      </c>
      <c r="F108" s="60">
        <f t="shared" si="18"/>
        <v>81.928833824895804</v>
      </c>
      <c r="G108" s="60">
        <f t="shared" si="18"/>
        <v>82.237667841573668</v>
      </c>
      <c r="H108" s="60">
        <f t="shared" si="18"/>
        <v>86.121902492810705</v>
      </c>
      <c r="I108" s="60">
        <f t="shared" si="18"/>
        <v>88.240241181214742</v>
      </c>
      <c r="J108" s="60">
        <f t="shared" si="18"/>
        <v>96.287856063404334</v>
      </c>
      <c r="K108" s="60">
        <f t="shared" si="18"/>
        <v>89.131854647675468</v>
      </c>
      <c r="L108" s="60">
        <f t="shared" si="18"/>
        <v>84.797072636548549</v>
      </c>
      <c r="M108" s="60">
        <f t="shared" si="18"/>
        <v>88.614068881106206</v>
      </c>
      <c r="N108" s="60">
        <f t="shared" si="18"/>
        <v>73.685059920314288</v>
      </c>
      <c r="O108" s="60">
        <f t="shared" si="18"/>
        <v>87.482840393683475</v>
      </c>
      <c r="P108" s="60">
        <f t="shared" si="18"/>
        <v>83.658181574272874</v>
      </c>
      <c r="Q108" s="60">
        <f t="shared" si="18"/>
        <v>86.768921055713733</v>
      </c>
      <c r="R108" s="60">
        <f t="shared" si="18"/>
        <v>79.219010956520648</v>
      </c>
      <c r="S108" s="60">
        <f t="shared" si="18"/>
        <v>89.282955512552732</v>
      </c>
      <c r="T108" s="60">
        <f t="shared" si="18"/>
        <v>94.197013502778006</v>
      </c>
      <c r="U108" s="60">
        <f t="shared" si="18"/>
        <v>91.981238604540181</v>
      </c>
      <c r="V108" s="60">
        <f t="shared" si="18"/>
        <v>93.584870919881894</v>
      </c>
    </row>
    <row r="109" spans="3:22" x14ac:dyDescent="0.2">
      <c r="C109" s="88" t="s">
        <v>140</v>
      </c>
      <c r="D109" s="62">
        <f t="shared" ref="D109:V109" si="19">+IFERROR(IF(D70&gt;0,+((D70/D30)*100)," "),"")</f>
        <v>88.498434849535641</v>
      </c>
      <c r="E109" s="62">
        <f t="shared" si="19"/>
        <v>90.293112553940418</v>
      </c>
      <c r="F109" s="62">
        <f t="shared" si="19"/>
        <v>72.761376620320178</v>
      </c>
      <c r="G109" s="62">
        <f t="shared" si="19"/>
        <v>82.789081404318438</v>
      </c>
      <c r="H109" s="62">
        <f t="shared" si="19"/>
        <v>99.631699038192068</v>
      </c>
      <c r="I109" s="62">
        <f t="shared" si="19"/>
        <v>99.861786386086351</v>
      </c>
      <c r="J109" s="62">
        <f t="shared" si="19"/>
        <v>97.028413590453283</v>
      </c>
      <c r="K109" s="62">
        <f t="shared" si="19"/>
        <v>72.403022071167399</v>
      </c>
      <c r="L109" s="62">
        <f t="shared" si="19"/>
        <v>93.305457902104976</v>
      </c>
      <c r="M109" s="62">
        <f t="shared" si="19"/>
        <v>81.267729771450973</v>
      </c>
      <c r="N109" s="62">
        <f t="shared" si="19"/>
        <v>98.708181658161791</v>
      </c>
      <c r="O109" s="62">
        <f t="shared" si="19"/>
        <v>97.475070695077619</v>
      </c>
      <c r="P109" s="62">
        <f t="shared" si="19"/>
        <v>72.368824082953083</v>
      </c>
      <c r="Q109" s="62">
        <f t="shared" si="19"/>
        <v>73.311881317987371</v>
      </c>
      <c r="R109" s="62">
        <f t="shared" si="19"/>
        <v>91.836299421177529</v>
      </c>
      <c r="S109" s="62">
        <f t="shared" si="19"/>
        <v>93.194497658264297</v>
      </c>
      <c r="T109" s="62">
        <f t="shared" si="19"/>
        <v>93.00223635943594</v>
      </c>
      <c r="U109" s="62">
        <f t="shared" si="19"/>
        <v>96.286923751783718</v>
      </c>
      <c r="V109" s="62">
        <f t="shared" si="19"/>
        <v>88.3876204942176</v>
      </c>
    </row>
    <row r="110" spans="3:22" x14ac:dyDescent="0.2">
      <c r="C110" s="87" t="s">
        <v>141</v>
      </c>
      <c r="D110" s="60">
        <f t="shared" ref="D110:V110" si="20">+IFERROR(IF(D71&gt;0,+((D71/D31)*100)," "),"")</f>
        <v>99.384158631498536</v>
      </c>
      <c r="E110" s="60">
        <f t="shared" si="20"/>
        <v>99.979838429871705</v>
      </c>
      <c r="F110" s="60">
        <f t="shared" si="20"/>
        <v>99.937331130946092</v>
      </c>
      <c r="G110" s="60">
        <f t="shared" si="20"/>
        <v>99.980985053861076</v>
      </c>
      <c r="H110" s="60">
        <f t="shared" si="20"/>
        <v>98.736464000824299</v>
      </c>
      <c r="I110" s="60">
        <f t="shared" si="20"/>
        <v>99.30842973149511</v>
      </c>
      <c r="J110" s="60">
        <f t="shared" si="20"/>
        <v>98.970916384061042</v>
      </c>
      <c r="K110" s="60">
        <f t="shared" si="20"/>
        <v>95.490283625651202</v>
      </c>
      <c r="L110" s="60">
        <f t="shared" si="20"/>
        <v>98.684229599032676</v>
      </c>
      <c r="M110" s="60">
        <f t="shared" si="20"/>
        <v>96.024893067417125</v>
      </c>
      <c r="N110" s="60">
        <f t="shared" si="20"/>
        <v>86.425721292218682</v>
      </c>
      <c r="O110" s="60">
        <f t="shared" si="20"/>
        <v>95.025936697488362</v>
      </c>
      <c r="P110" s="60">
        <f t="shared" si="20"/>
        <v>87.32319122531112</v>
      </c>
      <c r="Q110" s="60">
        <f t="shared" si="20"/>
        <v>83.973758406137634</v>
      </c>
      <c r="R110" s="60">
        <f t="shared" si="20"/>
        <v>93.574082482720442</v>
      </c>
      <c r="S110" s="60">
        <f t="shared" si="20"/>
        <v>90.975160899010106</v>
      </c>
      <c r="T110" s="60">
        <f t="shared" si="20"/>
        <v>73.597280843719361</v>
      </c>
      <c r="U110" s="60">
        <f t="shared" si="20"/>
        <v>76.103408447285716</v>
      </c>
      <c r="V110" s="60">
        <f t="shared" si="20"/>
        <v>83.20697392324611</v>
      </c>
    </row>
    <row r="111" spans="3:22" x14ac:dyDescent="0.2">
      <c r="C111" s="88" t="s">
        <v>142</v>
      </c>
      <c r="D111" s="62">
        <f t="shared" ref="D111:V111" si="21">+IFERROR(IF(D72&gt;0,+((D72/D32)*100)," "),"")</f>
        <v>92.92853606162916</v>
      </c>
      <c r="E111" s="62">
        <f t="shared" si="21"/>
        <v>95.508636471998798</v>
      </c>
      <c r="F111" s="62">
        <f t="shared" si="21"/>
        <v>86.106758219467835</v>
      </c>
      <c r="G111" s="62">
        <f t="shared" si="21"/>
        <v>80.655378901069739</v>
      </c>
      <c r="H111" s="62">
        <f t="shared" si="21"/>
        <v>90.449046922005039</v>
      </c>
      <c r="I111" s="62">
        <f t="shared" si="21"/>
        <v>91.935069863208369</v>
      </c>
      <c r="J111" s="62">
        <f t="shared" si="21"/>
        <v>70.043486561629322</v>
      </c>
      <c r="K111" s="62">
        <f t="shared" si="21"/>
        <v>71.013939623945149</v>
      </c>
      <c r="L111" s="62">
        <f t="shared" si="21"/>
        <v>81.651906934826656</v>
      </c>
      <c r="M111" s="62">
        <f t="shared" si="21"/>
        <v>69.325401574791755</v>
      </c>
      <c r="N111" s="62">
        <f t="shared" si="21"/>
        <v>89.821135601109546</v>
      </c>
      <c r="O111" s="62">
        <f t="shared" si="21"/>
        <v>89.00869218658643</v>
      </c>
      <c r="P111" s="62">
        <f t="shared" si="21"/>
        <v>88.896920153833818</v>
      </c>
      <c r="Q111" s="62">
        <f t="shared" si="21"/>
        <v>58.697026326137681</v>
      </c>
      <c r="R111" s="62">
        <f t="shared" si="21"/>
        <v>88.568075798252352</v>
      </c>
      <c r="S111" s="62">
        <f t="shared" si="21"/>
        <v>90.516702620753989</v>
      </c>
      <c r="T111" s="62">
        <f t="shared" si="21"/>
        <v>95.601707942377999</v>
      </c>
      <c r="U111" s="62">
        <f t="shared" si="21"/>
        <v>92.109409351621181</v>
      </c>
      <c r="V111" s="62">
        <f t="shared" si="21"/>
        <v>94.557008653241382</v>
      </c>
    </row>
    <row r="112" spans="3:22" x14ac:dyDescent="0.2">
      <c r="C112" s="87" t="s">
        <v>143</v>
      </c>
      <c r="D112" s="60" t="str">
        <f t="shared" ref="D112:V112" si="22">+IFERROR(IF(D73&gt;0,+((D73/D33)*100)," "),"")</f>
        <v xml:space="preserve"> 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 t="str">
        <f t="shared" si="22"/>
        <v xml:space="preserve"> </v>
      </c>
      <c r="I112" s="60" t="str">
        <f t="shared" si="22"/>
        <v xml:space="preserve"> 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 t="str">
        <f t="shared" si="22"/>
        <v xml:space="preserve"> </v>
      </c>
      <c r="Q112" s="60" t="str">
        <f t="shared" si="22"/>
        <v xml:space="preserve"> </v>
      </c>
      <c r="R112" s="60" t="str">
        <f t="shared" si="22"/>
        <v xml:space="preserve"> </v>
      </c>
      <c r="S112" s="60" t="str">
        <f t="shared" si="22"/>
        <v xml:space="preserve"> </v>
      </c>
      <c r="T112" s="60" t="str">
        <f t="shared" si="22"/>
        <v xml:space="preserve"> </v>
      </c>
      <c r="U112" s="60" t="str">
        <f t="shared" si="22"/>
        <v xml:space="preserve"> </v>
      </c>
      <c r="V112" s="60" t="str">
        <f t="shared" si="22"/>
        <v xml:space="preserve"> 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94.892520562643938</v>
      </c>
      <c r="E114" s="60">
        <f t="shared" si="24"/>
        <v>95.682987580490192</v>
      </c>
      <c r="F114" s="60">
        <f t="shared" si="24"/>
        <v>97.665063946679226</v>
      </c>
      <c r="G114" s="60">
        <f t="shared" si="24"/>
        <v>93.209316777728816</v>
      </c>
      <c r="H114" s="60">
        <f t="shared" si="24"/>
        <v>97.95955595176568</v>
      </c>
      <c r="I114" s="60">
        <f t="shared" si="24"/>
        <v>97.601420644499527</v>
      </c>
      <c r="J114" s="60">
        <f t="shared" si="24"/>
        <v>68.239811975157167</v>
      </c>
      <c r="K114" s="60">
        <f t="shared" si="24"/>
        <v>82.300432707101791</v>
      </c>
      <c r="L114" s="60">
        <f t="shared" si="24"/>
        <v>70.611087189582079</v>
      </c>
      <c r="M114" s="60">
        <f t="shared" si="24"/>
        <v>89.040985298505234</v>
      </c>
      <c r="N114" s="60">
        <f t="shared" si="24"/>
        <v>92.258799357589339</v>
      </c>
      <c r="O114" s="60">
        <f t="shared" si="24"/>
        <v>95.389248478601317</v>
      </c>
      <c r="P114" s="60">
        <f t="shared" si="24"/>
        <v>91.122487943559136</v>
      </c>
      <c r="Q114" s="60">
        <f t="shared" si="24"/>
        <v>93.193480216763732</v>
      </c>
      <c r="R114" s="60">
        <f t="shared" si="24"/>
        <v>94.089426248987053</v>
      </c>
      <c r="S114" s="60">
        <f t="shared" si="24"/>
        <v>95.672003093702145</v>
      </c>
      <c r="T114" s="60">
        <f t="shared" si="24"/>
        <v>98.570248800759742</v>
      </c>
      <c r="U114" s="60">
        <f t="shared" si="24"/>
        <v>99.296020547344</v>
      </c>
      <c r="V114" s="60">
        <f t="shared" si="24"/>
        <v>95.1617096066595</v>
      </c>
    </row>
    <row r="115" spans="3:22" x14ac:dyDescent="0.2">
      <c r="C115" s="88" t="s">
        <v>146</v>
      </c>
      <c r="D115" s="62">
        <f t="shared" ref="D115:V115" si="25">+IFERROR(IF(D76&gt;0,+((D76/D36)*100)," "),"")</f>
        <v>97.923862303006999</v>
      </c>
      <c r="E115" s="62">
        <f t="shared" si="25"/>
        <v>96.188407083633592</v>
      </c>
      <c r="F115" s="62">
        <f t="shared" si="25"/>
        <v>97.683597114296589</v>
      </c>
      <c r="G115" s="62">
        <f t="shared" si="25"/>
        <v>99.068126436989829</v>
      </c>
      <c r="H115" s="62">
        <f t="shared" si="25"/>
        <v>78.902441472112272</v>
      </c>
      <c r="I115" s="62">
        <f t="shared" si="25"/>
        <v>91.957101485625685</v>
      </c>
      <c r="J115" s="62">
        <f t="shared" si="25"/>
        <v>94.247203172884241</v>
      </c>
      <c r="K115" s="62">
        <f t="shared" si="25"/>
        <v>91.900537342848565</v>
      </c>
      <c r="L115" s="62">
        <f t="shared" si="25"/>
        <v>84.078577707766982</v>
      </c>
      <c r="M115" s="62">
        <f t="shared" si="25"/>
        <v>96.8300969317946</v>
      </c>
      <c r="N115" s="62">
        <f t="shared" si="25"/>
        <v>98.567817425574788</v>
      </c>
      <c r="O115" s="62">
        <f t="shared" si="25"/>
        <v>95.088490778839059</v>
      </c>
      <c r="P115" s="62">
        <f t="shared" si="25"/>
        <v>96.617840848987512</v>
      </c>
      <c r="Q115" s="62">
        <f t="shared" si="25"/>
        <v>98.996036525857221</v>
      </c>
      <c r="R115" s="62">
        <f t="shared" si="25"/>
        <v>98.275214139702854</v>
      </c>
      <c r="S115" s="62">
        <f t="shared" si="25"/>
        <v>98.486807249002027</v>
      </c>
      <c r="T115" s="62">
        <f t="shared" si="25"/>
        <v>99.321291386679604</v>
      </c>
      <c r="U115" s="62">
        <f t="shared" si="25"/>
        <v>99.0889768503379</v>
      </c>
      <c r="V115" s="62">
        <f t="shared" si="25"/>
        <v>81.531240247823646</v>
      </c>
    </row>
    <row r="116" spans="3:22" x14ac:dyDescent="0.2">
      <c r="C116" s="90" t="s">
        <v>147</v>
      </c>
      <c r="D116" s="61">
        <f t="shared" ref="D116:V116" si="26">+IFERROR(IF(D77&gt;0,+((D77/D37)*100)," "),"")</f>
        <v>75.214940720877877</v>
      </c>
      <c r="E116" s="61">
        <f t="shared" si="26"/>
        <v>80.888727591940778</v>
      </c>
      <c r="F116" s="61">
        <f t="shared" si="26"/>
        <v>88.294012134174295</v>
      </c>
      <c r="G116" s="61">
        <f t="shared" si="26"/>
        <v>88.487148335900145</v>
      </c>
      <c r="H116" s="61">
        <f t="shared" si="26"/>
        <v>80.118923552643722</v>
      </c>
      <c r="I116" s="61">
        <f t="shared" si="26"/>
        <v>86.810833808911227</v>
      </c>
      <c r="J116" s="61">
        <f t="shared" si="26"/>
        <v>86.739682740643573</v>
      </c>
      <c r="K116" s="61">
        <f t="shared" si="26"/>
        <v>76.380222379002973</v>
      </c>
      <c r="L116" s="61">
        <f t="shared" si="26"/>
        <v>90.162573509440719</v>
      </c>
      <c r="M116" s="61">
        <f t="shared" si="26"/>
        <v>88.353093194460783</v>
      </c>
      <c r="N116" s="61">
        <f t="shared" si="26"/>
        <v>90.084892898453361</v>
      </c>
      <c r="O116" s="61">
        <f t="shared" si="26"/>
        <v>82.029861329038539</v>
      </c>
      <c r="P116" s="61">
        <f t="shared" si="26"/>
        <v>89.878405334073449</v>
      </c>
      <c r="Q116" s="61">
        <f t="shared" si="26"/>
        <v>76.167251485473301</v>
      </c>
      <c r="R116" s="61">
        <f t="shared" si="26"/>
        <v>84.273210641877171</v>
      </c>
      <c r="S116" s="61">
        <f t="shared" si="26"/>
        <v>90.673697703746981</v>
      </c>
      <c r="T116" s="61">
        <f t="shared" si="26"/>
        <v>93.001756377007638</v>
      </c>
      <c r="U116" s="61">
        <f t="shared" si="26"/>
        <v>93.700808864896189</v>
      </c>
      <c r="V116" s="61">
        <f t="shared" si="26"/>
        <v>88.324780204640092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35.835064271284715</v>
      </c>
      <c r="E118" s="60">
        <f t="shared" si="28"/>
        <v>37.782526201254932</v>
      </c>
      <c r="F118" s="60">
        <f t="shared" si="28"/>
        <v>42.397718127975857</v>
      </c>
      <c r="G118" s="60">
        <f t="shared" si="28"/>
        <v>55.443161226733906</v>
      </c>
      <c r="H118" s="60">
        <f t="shared" si="28"/>
        <v>49.43204646751424</v>
      </c>
      <c r="I118" s="60">
        <f t="shared" si="28"/>
        <v>5.4056970227553052</v>
      </c>
      <c r="J118" s="60">
        <f t="shared" si="28"/>
        <v>46.307480950720162</v>
      </c>
      <c r="K118" s="60">
        <f t="shared" si="28"/>
        <v>48.013050373105912</v>
      </c>
      <c r="L118" s="60">
        <f t="shared" si="28"/>
        <v>57.58455340997061</v>
      </c>
      <c r="M118" s="60">
        <f t="shared" si="28"/>
        <v>61.593877241897886</v>
      </c>
      <c r="N118" s="60">
        <f t="shared" si="28"/>
        <v>68.230802074725503</v>
      </c>
      <c r="O118" s="60">
        <f t="shared" si="28"/>
        <v>69.72511404101806</v>
      </c>
      <c r="P118" s="60">
        <f t="shared" si="28"/>
        <v>98.466124291911825</v>
      </c>
      <c r="Q118" s="60">
        <f t="shared" si="28"/>
        <v>75.671647673583976</v>
      </c>
      <c r="R118" s="60">
        <f t="shared" si="28"/>
        <v>82.088228811233705</v>
      </c>
      <c r="S118" s="60">
        <f t="shared" si="28"/>
        <v>85.408456497728224</v>
      </c>
      <c r="T118" s="60">
        <f t="shared" si="28"/>
        <v>91.802553138924736</v>
      </c>
      <c r="U118" s="60">
        <f t="shared" si="28"/>
        <v>97.318252525089804</v>
      </c>
      <c r="V118" s="60">
        <f t="shared" si="28"/>
        <v>78.225138392240069</v>
      </c>
    </row>
    <row r="119" spans="3:22" x14ac:dyDescent="0.2">
      <c r="C119" s="88" t="s">
        <v>150</v>
      </c>
      <c r="D119" s="62">
        <f t="shared" ref="D119:V119" si="29">+IFERROR(IF(D80&gt;0,+((D80/D40)*100)," "),"")</f>
        <v>97.746225747107246</v>
      </c>
      <c r="E119" s="62">
        <f t="shared" si="29"/>
        <v>96.691052156540408</v>
      </c>
      <c r="F119" s="62">
        <f t="shared" si="29"/>
        <v>94.629653522501584</v>
      </c>
      <c r="G119" s="62">
        <f t="shared" si="29"/>
        <v>96.48211408318241</v>
      </c>
      <c r="H119" s="62">
        <f t="shared" si="29"/>
        <v>98.905015099090505</v>
      </c>
      <c r="I119" s="62">
        <f t="shared" si="29"/>
        <v>99.105029060758469</v>
      </c>
      <c r="J119" s="62">
        <f t="shared" si="29"/>
        <v>93.383097586227308</v>
      </c>
      <c r="K119" s="62">
        <f t="shared" si="29"/>
        <v>89.417742184231457</v>
      </c>
      <c r="L119" s="62">
        <f t="shared" si="29"/>
        <v>85.671093536894574</v>
      </c>
      <c r="M119" s="62">
        <f t="shared" si="29"/>
        <v>87.635957890785392</v>
      </c>
      <c r="N119" s="62">
        <f t="shared" si="29"/>
        <v>95.089404976341569</v>
      </c>
      <c r="O119" s="62">
        <f t="shared" si="29"/>
        <v>87.763854705517687</v>
      </c>
      <c r="P119" s="62">
        <f t="shared" si="29"/>
        <v>97.138434872147144</v>
      </c>
      <c r="Q119" s="62">
        <f t="shared" si="29"/>
        <v>90.282489799319848</v>
      </c>
      <c r="R119" s="62">
        <f t="shared" si="29"/>
        <v>95.647343913144098</v>
      </c>
      <c r="S119" s="62">
        <f t="shared" si="29"/>
        <v>97.331090257468631</v>
      </c>
      <c r="T119" s="62">
        <f t="shared" si="29"/>
        <v>95.321863166899718</v>
      </c>
      <c r="U119" s="62">
        <f t="shared" si="29"/>
        <v>90.386687010452221</v>
      </c>
      <c r="V119" s="62">
        <f t="shared" si="29"/>
        <v>96.0606750126517</v>
      </c>
    </row>
    <row r="120" spans="3:22" x14ac:dyDescent="0.2">
      <c r="C120" s="87" t="s">
        <v>151</v>
      </c>
      <c r="D120" s="60">
        <f t="shared" ref="D120:V120" si="30">+IFERROR(IF(D81&gt;0,+((D81/D41)*100)," "),"")</f>
        <v>89.023271258751151</v>
      </c>
      <c r="E120" s="60">
        <f t="shared" si="30"/>
        <v>76.815389848905767</v>
      </c>
      <c r="F120" s="60">
        <f t="shared" si="30"/>
        <v>55.820636479423214</v>
      </c>
      <c r="G120" s="60">
        <f t="shared" si="30"/>
        <v>76.720543223663597</v>
      </c>
      <c r="H120" s="60">
        <f t="shared" si="30"/>
        <v>85.766397139554712</v>
      </c>
      <c r="I120" s="60">
        <f t="shared" si="30"/>
        <v>96.840868531751426</v>
      </c>
      <c r="J120" s="60">
        <f t="shared" si="30"/>
        <v>99.50073840798531</v>
      </c>
      <c r="K120" s="60">
        <f t="shared" si="30"/>
        <v>56.29212552312972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179</v>
      </c>
      <c r="D121" s="64">
        <f t="shared" ref="D121:V121" si="31">+IFERROR(IF(D82&gt;0,+((D82/D42)*100)," "),"")</f>
        <v>82.380586180502789</v>
      </c>
      <c r="E121" s="64">
        <f t="shared" si="31"/>
        <v>86.587801528149299</v>
      </c>
      <c r="F121" s="64">
        <f t="shared" si="31"/>
        <v>86.172835197286119</v>
      </c>
      <c r="G121" s="64">
        <f t="shared" si="31"/>
        <v>87.966307282714482</v>
      </c>
      <c r="H121" s="64">
        <f t="shared" si="31"/>
        <v>94.30981599559199</v>
      </c>
      <c r="I121" s="64">
        <f t="shared" si="31"/>
        <v>94.269178237202283</v>
      </c>
      <c r="J121" s="64">
        <f t="shared" si="31"/>
        <v>87.439510711713524</v>
      </c>
      <c r="K121" s="64">
        <f t="shared" si="31"/>
        <v>83.302500871920159</v>
      </c>
      <c r="L121" s="64">
        <f t="shared" si="31"/>
        <v>85.292611920028421</v>
      </c>
      <c r="M121" s="64">
        <f t="shared" si="31"/>
        <v>85.179849521501566</v>
      </c>
      <c r="N121" s="64">
        <f t="shared" si="31"/>
        <v>89.651115968334707</v>
      </c>
      <c r="O121" s="64">
        <f t="shared" si="31"/>
        <v>86.634214655221683</v>
      </c>
      <c r="P121" s="64">
        <f t="shared" si="31"/>
        <v>87.876529455249113</v>
      </c>
      <c r="Q121" s="64">
        <f t="shared" si="31"/>
        <v>82.883928191229188</v>
      </c>
      <c r="R121" s="64">
        <f t="shared" si="31"/>
        <v>87.249004529073758</v>
      </c>
      <c r="S121" s="64">
        <f t="shared" si="31"/>
        <v>88.664942684401566</v>
      </c>
      <c r="T121" s="64">
        <f t="shared" si="31"/>
        <v>93.094657814693221</v>
      </c>
      <c r="U121" s="64">
        <f t="shared" si="31"/>
        <v>94.835371863395793</v>
      </c>
      <c r="V121" s="64">
        <f t="shared" si="31"/>
        <v>91.748310481209998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55" t="s">
        <v>197</v>
      </c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76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60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13.0008627965*Deflactores!$A$5</f>
        <v>48.411481472213623</v>
      </c>
      <c r="E131" s="56">
        <f>6.2108111525*Deflactores!$B$5</f>
        <v>21.48410816327895</v>
      </c>
      <c r="F131" s="56">
        <f>10.232396557*Deflactores!$C$5</f>
        <v>33.082301160399034</v>
      </c>
      <c r="G131" s="56">
        <f>6.720237807*Deflactores!$D$5</f>
        <v>20.402745335052092</v>
      </c>
      <c r="H131" s="56">
        <f>3.565409289*Deflactores!$E$5</f>
        <v>10.260613285040382</v>
      </c>
      <c r="I131" s="56">
        <f>4.161543158*Deflactores!$F$5</f>
        <v>11.421640888775274</v>
      </c>
      <c r="J131" s="56">
        <f>9.243334006*Deflactores!$G$5</f>
        <v>24.28164520598212</v>
      </c>
      <c r="K131" s="56">
        <f>4.366631139*Deflactores!$H$5</f>
        <v>10.852848506011926</v>
      </c>
      <c r="L131" s="56">
        <f>6.861907301*Deflactores!$I$5</f>
        <v>15.839072077964383</v>
      </c>
      <c r="M131" s="56">
        <f>6.700588564*Deflactores!$J$5</f>
        <v>15.16316882408065</v>
      </c>
      <c r="N131" s="56">
        <f>6.301943622*Deflactores!$K$5</f>
        <v>13.822702364222531</v>
      </c>
      <c r="O131" s="56">
        <f>6.35911938220999*Deflactores!$L$5</f>
        <v>13.4469850516544</v>
      </c>
      <c r="P131" s="56">
        <f>6.72191644227999*Deflactores!$M$5</f>
        <v>13.875590797705737</v>
      </c>
      <c r="Q131" s="56">
        <f>13.4286374848699*Deflactores!$N$5</f>
        <v>27.19228445621599</v>
      </c>
      <c r="R131" s="56">
        <f>15.257690275*Deflactores!$O$5</f>
        <v>29.805151585804147</v>
      </c>
      <c r="S131" s="56">
        <f>12.29004669063*Deflactores!$P$5</f>
        <v>22.485721656945167</v>
      </c>
      <c r="T131" s="56">
        <f>10.40732299559*Deflactores!$Q$5</f>
        <v>18.005780634754547</v>
      </c>
      <c r="U131" s="56">
        <f>8.49586499069*Deflactores!$R$5</f>
        <v>14.121197116175521</v>
      </c>
      <c r="V131" s="56">
        <f>8.67340538489*Deflactores!$S$5</f>
        <v>13.971982555729646</v>
      </c>
    </row>
    <row r="132" spans="3:22" x14ac:dyDescent="0.2">
      <c r="C132" s="88" t="s">
        <v>124</v>
      </c>
      <c r="D132" s="57">
        <f>0*Deflactores!$A$5</f>
        <v>0</v>
      </c>
      <c r="E132" s="57">
        <f>0*Deflactores!$B$5</f>
        <v>0</v>
      </c>
      <c r="F132" s="57">
        <f>0*Deflactores!$C$5</f>
        <v>0</v>
      </c>
      <c r="G132" s="57">
        <f>0*Deflactores!$D$5</f>
        <v>0</v>
      </c>
      <c r="H132" s="57">
        <f>0*Deflactores!$E$5</f>
        <v>0</v>
      </c>
      <c r="I132" s="57">
        <f>0*Deflactores!$F$5</f>
        <v>0</v>
      </c>
      <c r="J132" s="57">
        <f>0*Deflactores!$G$5</f>
        <v>0</v>
      </c>
      <c r="K132" s="57">
        <f>0*Deflactores!$H$5</f>
        <v>0</v>
      </c>
      <c r="L132" s="57">
        <f>0*Deflactores!$I$5</f>
        <v>0</v>
      </c>
      <c r="M132" s="57">
        <f>0*Deflactores!$J$5</f>
        <v>0</v>
      </c>
      <c r="N132" s="57">
        <f>0*Deflactores!$K$5</f>
        <v>0</v>
      </c>
      <c r="O132" s="57">
        <f>0*Deflactores!$L$5</f>
        <v>0</v>
      </c>
      <c r="P132" s="57">
        <f>6.03270861587*Deflactores!$M$5</f>
        <v>12.452906380849534</v>
      </c>
      <c r="Q132" s="57">
        <f>18.2636217670899*Deflactores!$N$5</f>
        <v>36.982873269980018</v>
      </c>
      <c r="R132" s="57">
        <f>19.03676991407*Deflactores!$O$5</f>
        <v>37.187398798009234</v>
      </c>
      <c r="S132" s="57">
        <f>20.5824654609899*Deflactores!$P$5</f>
        <v>37.657431336071056</v>
      </c>
      <c r="T132" s="57">
        <f>24.71670342217*Deflactores!$Q$5</f>
        <v>42.762537496190212</v>
      </c>
      <c r="U132" s="57">
        <f>23.93643085685*Deflactores!$R$5</f>
        <v>39.785361320793896</v>
      </c>
      <c r="V132" s="57">
        <f>29.580885968*Deflactores!$S$5</f>
        <v>47.651828132920322</v>
      </c>
    </row>
    <row r="133" spans="3:22" x14ac:dyDescent="0.2">
      <c r="C133" s="87" t="s">
        <v>125</v>
      </c>
      <c r="D133" s="56">
        <f>1.142020384*Deflactores!$A$5</f>
        <v>4.2525561207976317</v>
      </c>
      <c r="E133" s="56">
        <f>1.450197159*Deflactores!$B$5</f>
        <v>5.0164450112920802</v>
      </c>
      <c r="F133" s="56">
        <f>1.580813496*Deflactores!$C$5</f>
        <v>5.1109188215852344</v>
      </c>
      <c r="G133" s="56">
        <f>1.37947261233999*Deflactores!$D$5</f>
        <v>4.1881000664790697</v>
      </c>
      <c r="H133" s="56">
        <f>1.24617780736*Deflactores!$E$5</f>
        <v>3.5862779078883218</v>
      </c>
      <c r="I133" s="56">
        <f>1.3048335992*Deflactores!$F$5</f>
        <v>3.5812053903660437</v>
      </c>
      <c r="J133" s="56">
        <f>1.620271431*Deflactores!$G$5</f>
        <v>4.2563490618637001</v>
      </c>
      <c r="K133" s="56">
        <f>1.484490528*Deflactores!$H$5</f>
        <v>3.6895607382773381</v>
      </c>
      <c r="L133" s="56">
        <f>2.40729585875*Deflactores!$I$5</f>
        <v>5.5566668197586626</v>
      </c>
      <c r="M133" s="56">
        <f>2.35587657498*Deflactores!$J$5</f>
        <v>5.3312561865152945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34.78256845738*Deflactores!$A$5</f>
        <v>129.52030144366842</v>
      </c>
      <c r="E134" s="57">
        <f>33.863014091*Deflactores!$B$5</f>
        <v>117.13714031907737</v>
      </c>
      <c r="F134" s="57">
        <f>35.82978882*Deflactores!$C$5</f>
        <v>115.84107961940262</v>
      </c>
      <c r="G134" s="57">
        <f>35.938030937*Deflactores!$D$5</f>
        <v>109.1084146288805</v>
      </c>
      <c r="H134" s="57">
        <f>37.021865181*Deflactores!$E$5</f>
        <v>106.54233803819052</v>
      </c>
      <c r="I134" s="57">
        <f>43.693344752*Deflactores!$F$5</f>
        <v>119.91938423789807</v>
      </c>
      <c r="J134" s="57">
        <f>46.712220501*Deflactores!$G$5</f>
        <v>122.71000531330213</v>
      </c>
      <c r="K134" s="57">
        <f>52.678314629*Deflactores!$H$5</f>
        <v>130.92696635500468</v>
      </c>
      <c r="L134" s="57">
        <f>77.9895869442*Deflactores!$I$5</f>
        <v>180.02031137317076</v>
      </c>
      <c r="M134" s="57">
        <f>84.50183509925*Deflactores!$J$5</f>
        <v>191.22433489479232</v>
      </c>
      <c r="N134" s="57">
        <f>93.12798555105*Deflactores!$K$5</f>
        <v>204.26720758940178</v>
      </c>
      <c r="O134" s="57">
        <f>88.03175220133*Deflactores!$L$5</f>
        <v>186.15182146664387</v>
      </c>
      <c r="P134" s="57">
        <f>121.50110127926*Deflactores!$M$5</f>
        <v>250.80638494961369</v>
      </c>
      <c r="Q134" s="57">
        <f>151.213907731959*Deflactores!$N$5</f>
        <v>306.20020813103844</v>
      </c>
      <c r="R134" s="57">
        <f>163.95893337882*Deflactores!$O$5</f>
        <v>320.28575591219317</v>
      </c>
      <c r="S134" s="57">
        <f>168.73622050411*Deflactores!$P$5</f>
        <v>308.71776025009143</v>
      </c>
      <c r="T134" s="57">
        <f>177.91869879972*Deflactores!$Q$5</f>
        <v>307.81835662890489</v>
      </c>
      <c r="U134" s="57">
        <f>182.69927446507*Deflactores!$R$5</f>
        <v>303.66919325232533</v>
      </c>
      <c r="V134" s="57">
        <f>190.35190609966*Deflactores!$S$5</f>
        <v>306.63774993241219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0.548046022*Deflactores!$A$5</f>
        <v>2.0407660826261513</v>
      </c>
      <c r="E136" s="57">
        <f>0.56435017131*Deflactores!$B$5</f>
        <v>1.9521701472936621</v>
      </c>
      <c r="F136" s="57">
        <f>0.454821245*Deflactores!$C$5</f>
        <v>1.4704798936808476</v>
      </c>
      <c r="G136" s="57">
        <f>0.348353344*Deflactores!$D$5</f>
        <v>1.0576061098377434</v>
      </c>
      <c r="H136" s="57">
        <f>0.3700221456*Deflactores!$E$5</f>
        <v>1.064857870487953</v>
      </c>
      <c r="I136" s="57">
        <f>0.456210892*Deflactores!$F$5</f>
        <v>1.252102112158809</v>
      </c>
      <c r="J136" s="57">
        <f>0.633191742*Deflactores!$G$5</f>
        <v>1.663354068631691</v>
      </c>
      <c r="K136" s="57">
        <f>1.476623301*Deflactores!$H$5</f>
        <v>3.6700074900006912</v>
      </c>
      <c r="L136" s="57">
        <f>1.653544256*Deflactores!$I$5</f>
        <v>3.8168114936602509</v>
      </c>
      <c r="M136" s="57">
        <f>1.904305053*Deflactores!$J$5</f>
        <v>4.3093675630714117</v>
      </c>
      <c r="N136" s="57">
        <f>1.84380936*Deflactores!$K$5</f>
        <v>4.0442170746616739</v>
      </c>
      <c r="O136" s="57">
        <f>1.973905398*Deflactores!$L$5</f>
        <v>4.1740176249154475</v>
      </c>
      <c r="P136" s="57">
        <f>2.16432807751*Deflactores!$M$5</f>
        <v>4.4676739161202148</v>
      </c>
      <c r="Q136" s="57">
        <f>2.61248560814*Deflactores!$N$5</f>
        <v>5.2901459194466849</v>
      </c>
      <c r="R136" s="57">
        <f>2.9797408368*Deflactores!$O$5</f>
        <v>5.8207779635397596</v>
      </c>
      <c r="S136" s="57">
        <f>2.47292278584*Deflactores!$P$5</f>
        <v>4.5244297960161184</v>
      </c>
      <c r="T136" s="57">
        <f>3.16605114786*Deflactores!$Q$5</f>
        <v>5.4776067266228061</v>
      </c>
      <c r="U136" s="57">
        <f>3.85653374331*Deflactores!$R$5</f>
        <v>6.4100445609882302</v>
      </c>
      <c r="V136" s="57">
        <f>3.04639749769999*Deflactores!$S$5</f>
        <v>4.9074395588420341</v>
      </c>
    </row>
    <row r="137" spans="3:22" x14ac:dyDescent="0.2">
      <c r="C137" s="87" t="s">
        <v>129</v>
      </c>
      <c r="D137" s="56">
        <f>549.44089330236*Deflactores!$A$5</f>
        <v>2045.960182992206</v>
      </c>
      <c r="E137" s="56">
        <f>628.47252468291*Deflactores!$B$5</f>
        <v>2173.9787873765395</v>
      </c>
      <c r="F137" s="56">
        <f>683.69258506765*Deflactores!$C$5</f>
        <v>2210.4424779028559</v>
      </c>
      <c r="G137" s="56">
        <f>805.06685792243*Deflactores!$D$5</f>
        <v>2444.1953620707495</v>
      </c>
      <c r="H137" s="56">
        <f>833.2368543326*Deflactores!$E$5</f>
        <v>2397.9073492424318</v>
      </c>
      <c r="I137" s="56">
        <f>960.39803717015*Deflactores!$F$5</f>
        <v>2635.8783447325482</v>
      </c>
      <c r="J137" s="56">
        <f>811.938553248719*Deflactores!$G$5</f>
        <v>2132.910469993441</v>
      </c>
      <c r="K137" s="56">
        <f>1045.50041570477*Deflactores!$H$5</f>
        <v>2598.4923533556926</v>
      </c>
      <c r="L137" s="56">
        <f>1077.31250016008*Deflactores!$I$5</f>
        <v>2486.7182828367272</v>
      </c>
      <c r="M137" s="56">
        <f>1291.28479881298*Deflactores!$J$5</f>
        <v>2922.1267978706819</v>
      </c>
      <c r="N137" s="56">
        <f>1526.55347206616*Deflactores!$K$5</f>
        <v>3348.3470422961877</v>
      </c>
      <c r="O137" s="56">
        <f>1569.82954681771*Deflactores!$L$5</f>
        <v>3319.5593887981004</v>
      </c>
      <c r="P137" s="56">
        <f>1623.59101085546*Deflactores!$M$5</f>
        <v>3351.4674993226281</v>
      </c>
      <c r="Q137" s="56">
        <f>1714.53009180139*Deflactores!$N$5</f>
        <v>3471.8332382964909</v>
      </c>
      <c r="R137" s="56">
        <f>1735.79029411972*Deflactores!$O$5</f>
        <v>3390.7814292295184</v>
      </c>
      <c r="S137" s="56">
        <f>1829.70342732472*Deflactores!$P$5</f>
        <v>3347.6033913645992</v>
      </c>
      <c r="T137" s="56">
        <f>1985.9772176538*Deflactores!$Q$5</f>
        <v>3435.9527557516049</v>
      </c>
      <c r="U137" s="56">
        <f>2032.23225224483*Deflactores!$R$5</f>
        <v>3377.8258307124861</v>
      </c>
      <c r="V137" s="56">
        <f>1847.80597133876*Deflactores!$S$5</f>
        <v>2976.6293228833856</v>
      </c>
    </row>
    <row r="138" spans="3:22" x14ac:dyDescent="0.2">
      <c r="C138" s="88" t="s">
        <v>130</v>
      </c>
      <c r="D138" s="57">
        <f>1.086122563*Deflactores!$A$5</f>
        <v>4.0444086795057252</v>
      </c>
      <c r="E138" s="57">
        <f>0.94531819185*Deflactores!$B$5</f>
        <v>3.269994495686074</v>
      </c>
      <c r="F138" s="57">
        <f>2.30047678542*Deflactores!$C$5</f>
        <v>7.4376579722868046</v>
      </c>
      <c r="G138" s="57">
        <f>1.09919273606*Deflactores!$D$5</f>
        <v>3.3371660515660841</v>
      </c>
      <c r="H138" s="57">
        <f>1.50317809371*Deflactores!$E$5</f>
        <v>4.3258789855311059</v>
      </c>
      <c r="I138" s="57">
        <f>1.82544255088*Deflactores!$F$5</f>
        <v>5.0100523982698171</v>
      </c>
      <c r="J138" s="57">
        <f>3.06298045*Deflactores!$G$5</f>
        <v>8.0462530631784954</v>
      </c>
      <c r="K138" s="57">
        <f>3.1610623455*Deflactores!$H$5</f>
        <v>7.8565213460248327</v>
      </c>
      <c r="L138" s="57">
        <f>3.61707288817*Deflactores!$I$5</f>
        <v>8.3491477914057928</v>
      </c>
      <c r="M138" s="57">
        <f>3.6520750171*Deflactores!$J$5</f>
        <v>8.2645023662572878</v>
      </c>
      <c r="N138" s="57">
        <f>3.07543908342*Deflactores!$K$5</f>
        <v>6.7456774670289184</v>
      </c>
      <c r="O138" s="57">
        <f>2.21670079597*Deflactores!$L$5</f>
        <v>4.6874324377033201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50.93921756575*Deflactores!$A$5</f>
        <v>189.68302534946028</v>
      </c>
      <c r="E139" s="56">
        <f>52.92865061608*Deflactores!$B$5</f>
        <v>183.08797785850302</v>
      </c>
      <c r="F139" s="56">
        <f>60.51754341359*Deflactores!$C$5</f>
        <v>195.6589138764657</v>
      </c>
      <c r="G139" s="56">
        <f>61.47385354166*Deflactores!$D$5</f>
        <v>186.63556478140256</v>
      </c>
      <c r="H139" s="56">
        <f>72.64292566264*Deflactores!$E$5</f>
        <v>209.05340949715711</v>
      </c>
      <c r="I139" s="56">
        <f>46.1072116235499*Deflactores!$F$5</f>
        <v>126.54440757981733</v>
      </c>
      <c r="J139" s="56">
        <f>66.95660012156*Deflactores!$G$5</f>
        <v>175.89069131280934</v>
      </c>
      <c r="K139" s="56">
        <f>42.3024342707*Deflactores!$H$5</f>
        <v>105.13869753619099</v>
      </c>
      <c r="L139" s="56">
        <f>27.64685814579*Deflactores!$I$5</f>
        <v>63.816160681245051</v>
      </c>
      <c r="M139" s="56">
        <f>30.17318342239*Deflactores!$J$5</f>
        <v>68.280729345442481</v>
      </c>
      <c r="N139" s="56">
        <f>7.37278000978*Deflactores!$K$5</f>
        <v>16.171478163705892</v>
      </c>
      <c r="O139" s="56">
        <f>5.95808503909*Deflactores!$L$5</f>
        <v>12.59895838427952</v>
      </c>
      <c r="P139" s="56">
        <f>9.31478348293*Deflactores!$M$5</f>
        <v>19.227868285510191</v>
      </c>
      <c r="Q139" s="56">
        <f>9.30215857733*Deflactores!$N$5</f>
        <v>18.836381753292777</v>
      </c>
      <c r="R139" s="56">
        <f>11.61456271141*Deflactores!$O$5</f>
        <v>22.688480102628343</v>
      </c>
      <c r="S139" s="56">
        <f>10.4426586876399*Deflactores!$P$5</f>
        <v>19.105762778572039</v>
      </c>
      <c r="T139" s="56">
        <f>12.05952430535*Deflactores!$Q$5</f>
        <v>20.86426541134874</v>
      </c>
      <c r="U139" s="56">
        <f>11.71691488562*Deflactores!$R$5</f>
        <v>19.474987523295546</v>
      </c>
      <c r="V139" s="56">
        <f>11.8743464992399*Deflactores!$S$5</f>
        <v>19.12837631653872</v>
      </c>
    </row>
    <row r="140" spans="3:22" x14ac:dyDescent="0.2">
      <c r="C140" s="88" t="s">
        <v>132</v>
      </c>
      <c r="D140" s="57">
        <f>19.6415490109699*Deflactores!$A$5</f>
        <v>73.139490887184294</v>
      </c>
      <c r="E140" s="57">
        <f>21.56018409126*Deflactores!$B$5</f>
        <v>74.579844027359655</v>
      </c>
      <c r="F140" s="57">
        <f>23.5931752716799*Deflactores!$C$5</f>
        <v>76.278956285547892</v>
      </c>
      <c r="G140" s="57">
        <f>24.07535957402*Deflactores!$D$5</f>
        <v>73.093161930502831</v>
      </c>
      <c r="H140" s="57">
        <f>23.77465908421*Deflactores!$E$5</f>
        <v>68.419236916042905</v>
      </c>
      <c r="I140" s="57">
        <f>23.92921742028*Deflactores!$F$5</f>
        <v>65.675379960546749</v>
      </c>
      <c r="J140" s="57">
        <f>30.75024060682*Deflactores!$G$5</f>
        <v>80.778908554934205</v>
      </c>
      <c r="K140" s="57">
        <f>33.59838010153*Deflactores!$H$5</f>
        <v>83.505594514863517</v>
      </c>
      <c r="L140" s="57">
        <f>33.87985430917*Deflactores!$I$5</f>
        <v>78.20354179306274</v>
      </c>
      <c r="M140" s="57">
        <f>31.19692915285*Deflactores!$J$5</f>
        <v>70.597425736457723</v>
      </c>
      <c r="N140" s="57">
        <f>37.06830293718*Deflactores!$K$5</f>
        <v>81.305728737202429</v>
      </c>
      <c r="O140" s="57">
        <f>34.49242288753*Deflactores!$L$5</f>
        <v>72.937629738721242</v>
      </c>
      <c r="P140" s="57">
        <f>35.0820067259799*Deflactores!$M$5</f>
        <v>72.417378863898321</v>
      </c>
      <c r="Q140" s="57">
        <f>37.4991955384799*Deflactores!$N$5</f>
        <v>75.933898216442174</v>
      </c>
      <c r="R140" s="57">
        <f>41.6387507901499*Deflactores!$O$5</f>
        <v>81.339262809484438</v>
      </c>
      <c r="S140" s="57">
        <f>41.96898184225*Deflactores!$P$5</f>
        <v>76.785944568437131</v>
      </c>
      <c r="T140" s="57">
        <f>45.2600572990799*Deflactores!$Q$5</f>
        <v>78.304734424883122</v>
      </c>
      <c r="U140" s="57">
        <f>46.8351143898*Deflactores!$R$5</f>
        <v>77.84585595248268</v>
      </c>
      <c r="V140" s="57">
        <f>51.45172034783*Deflactores!$S$5</f>
        <v>82.883539654970022</v>
      </c>
    </row>
    <row r="141" spans="3:22" x14ac:dyDescent="0.2">
      <c r="C141" s="87" t="s">
        <v>133</v>
      </c>
      <c r="D141" s="56">
        <f>0.11853800175*Deflactores!$A$5</f>
        <v>0.44140149506217818</v>
      </c>
      <c r="E141" s="56">
        <f>0.119989148*Deflactores!$B$5</f>
        <v>0.41506008969762925</v>
      </c>
      <c r="F141" s="56">
        <f>0.242199602199999*Deflactores!$C$5</f>
        <v>0.78305411017596183</v>
      </c>
      <c r="G141" s="56">
        <f>0.04953657048*Deflactores!$D$5</f>
        <v>0.15039378981835178</v>
      </c>
      <c r="H141" s="56">
        <f>0.24597413263*Deflactores!$E$5</f>
        <v>0.70786976991007178</v>
      </c>
      <c r="I141" s="56">
        <f>0.1816645484*Deflactores!$F$5</f>
        <v>0.49859082442954078</v>
      </c>
      <c r="J141" s="56">
        <f>0.1834553816*Deflactores!$G$5</f>
        <v>0.4819255134833067</v>
      </c>
      <c r="K141" s="56">
        <f>0.54330925028*Deflactores!$H$5</f>
        <v>1.3503437312440594</v>
      </c>
      <c r="L141" s="56">
        <f>0.105111591*Deflactores!$I$5</f>
        <v>0.24262497189897733</v>
      </c>
      <c r="M141" s="56">
        <f>0.15829475675*Deflactores!$J$5</f>
        <v>0.3582148191373461</v>
      </c>
      <c r="N141" s="56">
        <f>0.30036242628*Deflactores!$K$5</f>
        <v>0.65881586204139031</v>
      </c>
      <c r="O141" s="56">
        <f>0.554878806*Deflactores!$L$5</f>
        <v>1.1733459558308776</v>
      </c>
      <c r="P141" s="56">
        <f>0.78852863678*Deflactores!$M$5</f>
        <v>1.6277055494788129</v>
      </c>
      <c r="Q141" s="56">
        <f>0.17378052012*Deflactores!$N$5</f>
        <v>0.35189641103771202</v>
      </c>
      <c r="R141" s="56">
        <f>0.204217786*Deflactores!$O$5</f>
        <v>0.39892945514961387</v>
      </c>
      <c r="S141" s="56">
        <f>1.24114537564*Deflactores!$P$5</f>
        <v>2.2707846564751413</v>
      </c>
      <c r="T141" s="56">
        <f>1.00797869602*Deflactores!$Q$5</f>
        <v>1.7439108301657114</v>
      </c>
      <c r="U141" s="56">
        <f>1.15886890333*Deflactores!$R$5</f>
        <v>1.9261860015033048</v>
      </c>
      <c r="V141" s="56">
        <f>4.29314120341*Deflactores!$S$5</f>
        <v>6.9158181062108222</v>
      </c>
    </row>
    <row r="142" spans="3:22" x14ac:dyDescent="0.2">
      <c r="C142" s="88" t="s">
        <v>134</v>
      </c>
      <c r="D142" s="57">
        <f>86.2606444680999*Deflactores!$A$5</f>
        <v>321.20988097596563</v>
      </c>
      <c r="E142" s="57">
        <f>96.34249405995*Deflactores!$B$5</f>
        <v>333.26283995462791</v>
      </c>
      <c r="F142" s="57">
        <f>102.66718447449*Deflactores!$C$5</f>
        <v>331.93267062658879</v>
      </c>
      <c r="G142" s="57">
        <f>91.96977400453*Deflactores!$D$5</f>
        <v>279.22164831461293</v>
      </c>
      <c r="H142" s="57">
        <f>102.569899620489*Deflactores!$E$5</f>
        <v>295.17791349739417</v>
      </c>
      <c r="I142" s="57">
        <f>96.0105563433799*Deflactores!$F$5</f>
        <v>263.50756304846908</v>
      </c>
      <c r="J142" s="57">
        <f>108.33358076991*Deflactores!$G$5</f>
        <v>284.58536394346993</v>
      </c>
      <c r="K142" s="57">
        <f>125.92866533774*Deflactores!$H$5</f>
        <v>312.98378176906215</v>
      </c>
      <c r="L142" s="57">
        <f>131.72339922581*Deflactores!$I$5</f>
        <v>304.05196735724343</v>
      </c>
      <c r="M142" s="57">
        <f>140.526915085829*Deflactores!$J$5</f>
        <v>318.00689109937582</v>
      </c>
      <c r="N142" s="57">
        <f>147.46797014061*Deflactores!$K$5</f>
        <v>323.4566955492366</v>
      </c>
      <c r="O142" s="57">
        <f>157.218552466519*Deflactores!$L$5</f>
        <v>332.45413362963217</v>
      </c>
      <c r="P142" s="57">
        <f>150.51532185305*Deflactores!$M$5</f>
        <v>310.6984492817511</v>
      </c>
      <c r="Q142" s="57">
        <f>154.89390792146*Deflactores!$N$5</f>
        <v>313.65201491818164</v>
      </c>
      <c r="R142" s="57">
        <f>141.55918205986*Deflactores!$O$5</f>
        <v>276.52893744800929</v>
      </c>
      <c r="S142" s="57">
        <f>143.50531526554*Deflactores!$P$5</f>
        <v>262.55559938704243</v>
      </c>
      <c r="T142" s="57">
        <f>145.33957904277*Deflactores!$Q$5</f>
        <v>251.45299890284883</v>
      </c>
      <c r="U142" s="57">
        <f>154.2196955167*Deflactores!$R$5</f>
        <v>256.33254788939644</v>
      </c>
      <c r="V142" s="57">
        <f>172.10899203511*Deflactores!$S$5</f>
        <v>277.25025266177698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117.74627788809*Deflactores!$A$5</f>
        <v>438.45334264553367</v>
      </c>
      <c r="E144" s="57">
        <f>126.68671888513*Deflactores!$B$5</f>
        <v>438.22797128253967</v>
      </c>
      <c r="F144" s="57">
        <f>132.464164451749*Deflactores!$C$5</f>
        <v>428.26911143856137</v>
      </c>
      <c r="G144" s="57">
        <f>129.62224547488*Deflactores!$D$5</f>
        <v>393.53513076975332</v>
      </c>
      <c r="H144" s="57">
        <f>131.87221947001*Deflactores!$E$5</f>
        <v>379.50477416331921</v>
      </c>
      <c r="I144" s="57">
        <f>133.82089467806*Deflactores!$F$5</f>
        <v>367.28063230322977</v>
      </c>
      <c r="J144" s="57">
        <f>140.10611820687*Deflactores!$G$5</f>
        <v>368.04978066121066</v>
      </c>
      <c r="K144" s="57">
        <f>151.77268476194*Deflactores!$H$5</f>
        <v>377.2166465723634</v>
      </c>
      <c r="L144" s="57">
        <f>190.52418564332*Deflactores!$I$5</f>
        <v>439.77952144008606</v>
      </c>
      <c r="M144" s="57">
        <f>222.33527634359*Deflactores!$J$5</f>
        <v>503.13600044918081</v>
      </c>
      <c r="N144" s="57">
        <f>242.70484489649*Deflactores!$K$5</f>
        <v>532.3495471535615</v>
      </c>
      <c r="O144" s="57">
        <f>241.67272588769*Deflactores!$L$5</f>
        <v>511.04081195515215</v>
      </c>
      <c r="P144" s="57">
        <f>256.893890142239*Deflactores!$M$5</f>
        <v>530.28842721457988</v>
      </c>
      <c r="Q144" s="57">
        <f>288.45957145233*Deflactores!$N$5</f>
        <v>584.1154569767516</v>
      </c>
      <c r="R144" s="57">
        <f>309.24451232807*Deflactores!$O$5</f>
        <v>604.09402739801033</v>
      </c>
      <c r="S144" s="57">
        <f>318.565119857*Deflactores!$P$5</f>
        <v>582.84291305232523</v>
      </c>
      <c r="T144" s="57">
        <f>353.752269937759*Deflactores!$Q$5</f>
        <v>612.02921964128655</v>
      </c>
      <c r="U144" s="57">
        <f>392.8975795678*Deflactores!$R$5</f>
        <v>653.04523713889171</v>
      </c>
      <c r="V144" s="57">
        <f>551.254785161279*Deflactores!$S$5</f>
        <v>888.01594071156921</v>
      </c>
    </row>
    <row r="145" spans="3:22" x14ac:dyDescent="0.2">
      <c r="C145" s="87" t="s">
        <v>137</v>
      </c>
      <c r="D145" s="56">
        <f>4.5078332671*Deflactores!$A$5</f>
        <v>16.785877222609439</v>
      </c>
      <c r="E145" s="56">
        <f>4.47122043335*Deflactores!$B$5</f>
        <v>15.466608314646285</v>
      </c>
      <c r="F145" s="56">
        <f>4.74438806344*Deflactores!$C$5</f>
        <v>15.339053159462535</v>
      </c>
      <c r="G145" s="56">
        <f>4.36456790811*Deflactores!$D$5</f>
        <v>13.250895293311363</v>
      </c>
      <c r="H145" s="56">
        <f>4.84394266447999*Deflactores!$E$5</f>
        <v>13.940004758633838</v>
      </c>
      <c r="I145" s="56">
        <f>4.83842261689*Deflactores!$F$5</f>
        <v>13.279383031751292</v>
      </c>
      <c r="J145" s="56">
        <f>5.15602589249*Deflactores!$G$5</f>
        <v>13.544549111070983</v>
      </c>
      <c r="K145" s="56">
        <f>5.56480890334999*Deflactores!$H$5</f>
        <v>13.830805962418571</v>
      </c>
      <c r="L145" s="56">
        <f>5.81771033*Deflactores!$I$5</f>
        <v>13.428793075091406</v>
      </c>
      <c r="M145" s="56">
        <f>6.36064189028999*Deflactores!$J$5</f>
        <v>14.393882849361379</v>
      </c>
      <c r="N145" s="56">
        <f>6.51829769768999*Deflactores!$K$5</f>
        <v>14.297254053817003</v>
      </c>
      <c r="O145" s="56">
        <f>6.77842556307*Deflactores!$L$5</f>
        <v>14.333649321846373</v>
      </c>
      <c r="P145" s="56">
        <f>6.42902805603*Deflactores!$M$5</f>
        <v>13.271001402419119</v>
      </c>
      <c r="Q145" s="56">
        <f>5.0010172017*Deflactores!$N$5</f>
        <v>10.126796741089715</v>
      </c>
      <c r="R145" s="56">
        <f>6.66539946355*Deflactores!$O$5</f>
        <v>13.020531798089957</v>
      </c>
      <c r="S145" s="56">
        <f>4.34024714596*Deflactores!$P$5</f>
        <v>7.940863993691182</v>
      </c>
      <c r="T145" s="56">
        <f>3.90054584611*Deflactores!$Q$5</f>
        <v>6.7483610233505775</v>
      </c>
      <c r="U145" s="56">
        <f>3.75367659487*Deflactores!$R$5</f>
        <v>6.2390830321126405</v>
      </c>
      <c r="V145" s="56">
        <f>3.38910064195999*Deflactores!$S$5</f>
        <v>5.459499809794452</v>
      </c>
    </row>
    <row r="146" spans="3:22" x14ac:dyDescent="0.2">
      <c r="C146" s="88" t="s">
        <v>138</v>
      </c>
      <c r="D146" s="57">
        <f>9.35723963612*Deflactores!$A$5</f>
        <v>34.843674636504829</v>
      </c>
      <c r="E146" s="57">
        <f>10.66577344772*Deflactores!$B$5</f>
        <v>36.894477189764324</v>
      </c>
      <c r="F146" s="57">
        <f>11.81337163959*Deflactores!$C$5</f>
        <v>38.193742406638563</v>
      </c>
      <c r="G146" s="57">
        <f>10.09069647933*Deflactores!$D$5</f>
        <v>30.635509699765112</v>
      </c>
      <c r="H146" s="57">
        <f>23.46113309673*Deflactores!$E$5</f>
        <v>67.516964932215501</v>
      </c>
      <c r="I146" s="57">
        <f>12.4002738851599*Deflactores!$F$5</f>
        <v>34.033402961708404</v>
      </c>
      <c r="J146" s="57">
        <f>18.25726310012*Deflactores!$G$5</f>
        <v>47.960658431429515</v>
      </c>
      <c r="K146" s="57">
        <f>27.66227771337*Deflactores!$H$5</f>
        <v>68.751973729383181</v>
      </c>
      <c r="L146" s="57">
        <f>40.8275358499099*Deflactores!$I$5</f>
        <v>94.240603191791465</v>
      </c>
      <c r="M146" s="57">
        <f>36.7539459267199*Deflactores!$J$5</f>
        <v>83.172736501417759</v>
      </c>
      <c r="N146" s="57">
        <f>36.28214472793*Deflactores!$K$5</f>
        <v>79.581366922901694</v>
      </c>
      <c r="O146" s="57">
        <f>25.02982180841*Deflactores!$L$5</f>
        <v>52.928026582556804</v>
      </c>
      <c r="P146" s="57">
        <f>15.71966475119*Deflactores!$M$5</f>
        <v>32.44902513109011</v>
      </c>
      <c r="Q146" s="57">
        <f>18.67323709319*Deflactores!$N$5</f>
        <v>37.812322756384667</v>
      </c>
      <c r="R146" s="57">
        <f>43.65698847451*Deflactores!$O$5</f>
        <v>85.281791398958987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102.55123962816*Deflactores!$A$5</f>
        <v>381.87138153229012</v>
      </c>
      <c r="E147" s="56">
        <f>106.30411177096*Deflactores!$B$5</f>
        <v>367.72153900852322</v>
      </c>
      <c r="F147" s="56">
        <f>93.476578061*Deflactores!$C$5</f>
        <v>302.21857505532472</v>
      </c>
      <c r="G147" s="56">
        <f>92.74585122647*Deflactores!$D$5</f>
        <v>281.57783069599878</v>
      </c>
      <c r="H147" s="56">
        <f>100.63998468576*Deflactores!$E$5</f>
        <v>289.62396184326809</v>
      </c>
      <c r="I147" s="56">
        <f>108.69621889717*Deflactores!$F$5</f>
        <v>298.3242348032822</v>
      </c>
      <c r="J147" s="56">
        <f>141.85244263827*Deflactores!$G$5</f>
        <v>372.63726286517169</v>
      </c>
      <c r="K147" s="56">
        <f>141.88206475798*Deflactores!$H$5</f>
        <v>352.63444644677844</v>
      </c>
      <c r="L147" s="56">
        <f>159.04615517641*Deflactores!$I$5</f>
        <v>367.12001562526882</v>
      </c>
      <c r="M147" s="56">
        <f>324.29228340972*Deflactores!$J$5</f>
        <v>733.86070413383959</v>
      </c>
      <c r="N147" s="56">
        <f>418.53571975256*Deflactores!$K$5</f>
        <v>918.01752442514783</v>
      </c>
      <c r="O147" s="56">
        <f>523.9446689753*Deflactores!$L$5</f>
        <v>1107.9326724569767</v>
      </c>
      <c r="P147" s="56">
        <f>471.96886133333*Deflactores!$M$5</f>
        <v>974.25293000207569</v>
      </c>
      <c r="Q147" s="56">
        <f>621.56921692252*Deflactores!$N$5</f>
        <v>1258.6449648989339</v>
      </c>
      <c r="R147" s="56">
        <f>511.59819548789*Deflactores!$O$5</f>
        <v>999.38204883638093</v>
      </c>
      <c r="S147" s="56">
        <f>446.14124979185*Deflactores!$P$5</f>
        <v>816.2546664814131</v>
      </c>
      <c r="T147" s="56">
        <f>446.547472256379*Deflactores!$Q$5</f>
        <v>772.57483330339198</v>
      </c>
      <c r="U147" s="56">
        <f>413.99995671323*Deflactores!$R$5</f>
        <v>688.1200444265595</v>
      </c>
      <c r="V147" s="56">
        <f>412.781097241419*Deflactores!$S$5</f>
        <v>664.94877548781767</v>
      </c>
    </row>
    <row r="148" spans="3:22" x14ac:dyDescent="0.2">
      <c r="C148" s="88" t="s">
        <v>140</v>
      </c>
      <c r="D148" s="57">
        <f>12.60497172547*Deflactores!$A$5</f>
        <v>46.937296754616007</v>
      </c>
      <c r="E148" s="57">
        <f>4.06406607692*Deflactores!$B$5</f>
        <v>14.0582015835591</v>
      </c>
      <c r="F148" s="57">
        <f>6.30790246083*Deflactores!$C$5</f>
        <v>20.394042367019281</v>
      </c>
      <c r="G148" s="57">
        <f>6.17293251281*Deflactores!$D$5</f>
        <v>18.741118044682555</v>
      </c>
      <c r="H148" s="57">
        <f>2044.14721301285*Deflactores!$E$5</f>
        <v>5882.6918174941457</v>
      </c>
      <c r="I148" s="57">
        <f>2030.74588164562*Deflactores!$F$5</f>
        <v>5573.5214837139047</v>
      </c>
      <c r="J148" s="57">
        <f>66.63353946593*Deflactores!$G$5</f>
        <v>175.04203170417378</v>
      </c>
      <c r="K148" s="57">
        <f>54.46943074883*Deflactores!$H$5</f>
        <v>135.37861598750433</v>
      </c>
      <c r="L148" s="57">
        <f>64.96474105786*Deflactores!$I$5</f>
        <v>149.95556934903232</v>
      </c>
      <c r="M148" s="57">
        <f>60.37656446647*Deflactores!$J$5</f>
        <v>136.62979472307046</v>
      </c>
      <c r="N148" s="57">
        <f>898.20775496612*Deflactores!$K$5</f>
        <v>1970.1316296753755</v>
      </c>
      <c r="O148" s="57">
        <f>660.34152773478*Deflactores!$L$5</f>
        <v>1396.35728136783</v>
      </c>
      <c r="P148" s="57">
        <f>102.87831623141*Deflactores!$M$5</f>
        <v>212.36464782650944</v>
      </c>
      <c r="Q148" s="57">
        <f>193.299225188439*Deflactores!$N$5</f>
        <v>391.42076196579285</v>
      </c>
      <c r="R148" s="57">
        <f>335.45308861681*Deflactores!$O$5</f>
        <v>655.2911991228774</v>
      </c>
      <c r="S148" s="57">
        <f>614.148972476199*Deflactores!$P$5</f>
        <v>1123.6395758794954</v>
      </c>
      <c r="T148" s="57">
        <f>406.40124746328*Deflactores!$Q$5</f>
        <v>703.11757544328793</v>
      </c>
      <c r="U148" s="57">
        <f>511.162602779489*Deflactores!$R$5</f>
        <v>849.61659350477248</v>
      </c>
      <c r="V148" s="57">
        <f>413.49769092247*Deflactores!$S$5</f>
        <v>666.10313573813323</v>
      </c>
    </row>
    <row r="149" spans="3:22" x14ac:dyDescent="0.2">
      <c r="C149" s="87" t="s">
        <v>141</v>
      </c>
      <c r="D149" s="56">
        <f>3.68286305779999*Deflactores!$A$5</f>
        <v>13.713924950841182</v>
      </c>
      <c r="E149" s="56">
        <f>4.65984997451*Deflactores!$B$5</f>
        <v>16.119105607763927</v>
      </c>
      <c r="F149" s="56">
        <f>8.73294708119*Deflactores!$C$5</f>
        <v>28.234439874216388</v>
      </c>
      <c r="G149" s="56">
        <f>7.00293782235*Deflactores!$D$5</f>
        <v>21.261026929401833</v>
      </c>
      <c r="H149" s="56">
        <f>11.5302862065499*Deflactores!$E$5</f>
        <v>33.182111292593248</v>
      </c>
      <c r="I149" s="56">
        <f>7.84926038442999*Deflactores!$F$5</f>
        <v>21.542833980012158</v>
      </c>
      <c r="J149" s="56">
        <f>19.31458441802*Deflactores!$G$5</f>
        <v>50.738173675745493</v>
      </c>
      <c r="K149" s="56">
        <f>17.38573732418*Deflactores!$H$5</f>
        <v>43.210605003804666</v>
      </c>
      <c r="L149" s="56">
        <f>21.63227983905*Deflactores!$I$5</f>
        <v>49.932944959993236</v>
      </c>
      <c r="M149" s="56">
        <f>23.8207994123799*Deflactores!$J$5</f>
        <v>53.90553375491173</v>
      </c>
      <c r="N149" s="56">
        <f>22.64513221534*Deflactores!$K$5</f>
        <v>49.669902078840273</v>
      </c>
      <c r="O149" s="56">
        <f>18.67731597018*Deflactores!$L$5</f>
        <v>39.495026521856687</v>
      </c>
      <c r="P149" s="56">
        <f>15.22244569346*Deflactores!$M$5</f>
        <v>31.422649953545925</v>
      </c>
      <c r="Q149" s="56">
        <f>17.64322537876*Deflactores!$N$5</f>
        <v>35.726603221281245</v>
      </c>
      <c r="R149" s="56">
        <f>19.1866576131199*Deflactores!$O$5</f>
        <v>37.480197085987953</v>
      </c>
      <c r="S149" s="56">
        <f>25.75848466228*Deflactores!$P$5</f>
        <v>47.127413833366738</v>
      </c>
      <c r="T149" s="56">
        <f>30.56911467293*Deflactores!$Q$5</f>
        <v>52.887834194506063</v>
      </c>
      <c r="U149" s="56">
        <f>18.02254502016*Deflactores!$R$5</f>
        <v>29.955738590916262</v>
      </c>
      <c r="V149" s="56">
        <f>17.11967456132*Deflactores!$S$5</f>
        <v>27.578071555059136</v>
      </c>
    </row>
    <row r="150" spans="3:22" x14ac:dyDescent="0.2">
      <c r="C150" s="88" t="s">
        <v>142</v>
      </c>
      <c r="D150" s="57">
        <f>17.22165053223*Deflactores!$A$5</f>
        <v>64.128483525450349</v>
      </c>
      <c r="E150" s="57">
        <f>18.94254193214*Deflactores!$B$5</f>
        <v>65.525035259481399</v>
      </c>
      <c r="F150" s="57">
        <f>18.99309764326*Deflactores!$C$5</f>
        <v>61.406472345263744</v>
      </c>
      <c r="G150" s="57">
        <f>16.74985254325*Deflactores!$D$5</f>
        <v>50.852809923427813</v>
      </c>
      <c r="H150" s="57">
        <f>24.92397690263*Deflactores!$E$5</f>
        <v>71.726769016998816</v>
      </c>
      <c r="I150" s="57">
        <f>20.24847018144*Deflactores!$F$5</f>
        <v>55.573316478743095</v>
      </c>
      <c r="J150" s="57">
        <f>28.14798078324*Deflactores!$G$5</f>
        <v>73.942939008779604</v>
      </c>
      <c r="K150" s="57">
        <f>31.95433530678*Deflactores!$H$5</f>
        <v>79.419476744310245</v>
      </c>
      <c r="L150" s="57">
        <f>32.62324038455*Deflactores!$I$5</f>
        <v>75.302949049215954</v>
      </c>
      <c r="M150" s="57">
        <f>30.19427197852*Deflactores!$J$5</f>
        <v>68.328451919929947</v>
      </c>
      <c r="N150" s="57">
        <f>49.96133893636*Deflactores!$K$5</f>
        <v>109.58535322729146</v>
      </c>
      <c r="O150" s="57">
        <f>42.20770327055*Deflactores!$L$5</f>
        <v>89.252350967266096</v>
      </c>
      <c r="P150" s="57">
        <f>47.9008944943399*Deflactores!$M$5</f>
        <v>98.878529144895779</v>
      </c>
      <c r="Q150" s="57">
        <f>45.4857780928399*Deflactores!$N$5</f>
        <v>92.106307732738912</v>
      </c>
      <c r="R150" s="57">
        <f>91.76871503878*Deflactores!$O$5</f>
        <v>179.26569574209702</v>
      </c>
      <c r="S150" s="57">
        <f>97.18413576413*Deflactores!$P$5</f>
        <v>177.8069263096493</v>
      </c>
      <c r="T150" s="57">
        <f>94.22100748016*Deflactores!$Q$5</f>
        <v>163.01240891555042</v>
      </c>
      <c r="U150" s="57">
        <f>97.94357677056*Deflactores!$R$5</f>
        <v>162.79455421619397</v>
      </c>
      <c r="V150" s="57">
        <f>88.34259957086*Deflactores!$S$5</f>
        <v>142.31103071490062</v>
      </c>
    </row>
    <row r="151" spans="3:22" x14ac:dyDescent="0.2">
      <c r="C151" s="87" t="s">
        <v>143</v>
      </c>
      <c r="D151" s="56">
        <f>0*Deflactores!$A$5</f>
        <v>0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0*Deflactores!$E$5</f>
        <v>0</v>
      </c>
      <c r="I151" s="56">
        <f>0*Deflactores!$F$5</f>
        <v>0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0*Deflactores!$M$5</f>
        <v>0</v>
      </c>
      <c r="Q151" s="56">
        <f>0*Deflactores!$N$5</f>
        <v>0</v>
      </c>
      <c r="R151" s="56">
        <f>0*Deflactores!$O$5</f>
        <v>0</v>
      </c>
      <c r="S151" s="56">
        <f>0*Deflactores!$P$5</f>
        <v>0</v>
      </c>
      <c r="T151" s="56">
        <f>0*Deflactores!$Q$5</f>
        <v>0</v>
      </c>
      <c r="U151" s="56">
        <f>0*Deflactores!$R$5</f>
        <v>0</v>
      </c>
      <c r="V151" s="56">
        <f>0*Deflactores!$S$5</f>
        <v>0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13.00652892102*Deflactores!$A$5</f>
        <v>48.43258049360265</v>
      </c>
      <c r="E153" s="56">
        <f>9.27698911604*Deflactores!$B$5</f>
        <v>32.090468169900603</v>
      </c>
      <c r="F153" s="56">
        <f>25.427017716*Deflactores!$C$5</f>
        <v>82.207941512592967</v>
      </c>
      <c r="G153" s="56">
        <f>10.968440966*Deflactores!$D$5</f>
        <v>33.300355460449374</v>
      </c>
      <c r="H153" s="56">
        <f>8.2390841915*Deflactores!$E$5</f>
        <v>23.71061773263672</v>
      </c>
      <c r="I153" s="56">
        <f>9.336895824*Deflactores!$F$5</f>
        <v>25.625751570694998</v>
      </c>
      <c r="J153" s="56">
        <f>10.031553347*Deflactores!$G$5</f>
        <v>26.352246827673106</v>
      </c>
      <c r="K153" s="56">
        <f>13.46616842401*Deflactores!$H$5</f>
        <v>33.468887389396208</v>
      </c>
      <c r="L153" s="56">
        <f>13.075460292*Deflactores!$I$5</f>
        <v>30.181573275897748</v>
      </c>
      <c r="M153" s="56">
        <f>16.38129422342*Deflactores!$J$5</f>
        <v>37.07022562184801</v>
      </c>
      <c r="N153" s="56">
        <f>18.210493336*Deflactores!$K$5</f>
        <v>39.942951633277218</v>
      </c>
      <c r="O153" s="56">
        <f>19.6997337326*Deflactores!$L$5</f>
        <v>41.657029708378033</v>
      </c>
      <c r="P153" s="56">
        <f>19.57989425293*Deflactores!$M$5</f>
        <v>40.417431970317026</v>
      </c>
      <c r="Q153" s="56">
        <f>23.92098267468*Deflactores!$N$5</f>
        <v>48.438731486719767</v>
      </c>
      <c r="R153" s="56">
        <f>31.6759424825*Deflactores!$O$5</f>
        <v>61.877404135084653</v>
      </c>
      <c r="S153" s="56">
        <f>37.67632410975*Deflactores!$P$5</f>
        <v>68.932149593425478</v>
      </c>
      <c r="T153" s="56">
        <f>39.03914198448*Deflactores!$Q$5</f>
        <v>67.541886327487177</v>
      </c>
      <c r="U153" s="56">
        <f>45.24820019225*Deflactores!$R$5</f>
        <v>75.20820478751979</v>
      </c>
      <c r="V153" s="56">
        <f>45.17899147719*Deflactores!$S$5</f>
        <v>72.778805185843709</v>
      </c>
    </row>
    <row r="154" spans="3:22" x14ac:dyDescent="0.2">
      <c r="C154" s="88" t="s">
        <v>146</v>
      </c>
      <c r="D154" s="57">
        <f>49.5838456009899*Deflactores!$A$5</f>
        <v>184.63600917930228</v>
      </c>
      <c r="E154" s="57">
        <f>48.36097547662*Deflactores!$B$5</f>
        <v>167.28771854593671</v>
      </c>
      <c r="F154" s="57">
        <f>48.76536937633*Deflactores!$C$5</f>
        <v>157.66302907818874</v>
      </c>
      <c r="G154" s="57">
        <f>32.39578010862*Deflactores!$D$5</f>
        <v>98.354086636345144</v>
      </c>
      <c r="H154" s="57">
        <f>37.06276060604*Deflactores!$E$5</f>
        <v>106.66002779200291</v>
      </c>
      <c r="I154" s="57">
        <f>37.8432745915799*Deflactores!$F$5</f>
        <v>103.86346507290972</v>
      </c>
      <c r="J154" s="57">
        <f>40.95944962869*Deflactores!$G$5</f>
        <v>107.59784543873019</v>
      </c>
      <c r="K154" s="57">
        <f>46.4481464477399*Deflactores!$H$5</f>
        <v>115.44247286658144</v>
      </c>
      <c r="L154" s="57">
        <f>45.83616691122*Deflactores!$I$5</f>
        <v>105.80183025477739</v>
      </c>
      <c r="M154" s="57">
        <f>68.023351037*Deflactores!$J$5</f>
        <v>153.93417248379683</v>
      </c>
      <c r="N154" s="57">
        <f>96.5582501318499*Deflactores!$K$5</f>
        <v>211.79116038475917</v>
      </c>
      <c r="O154" s="57">
        <f>103.434896049781*Deflactores!$L$5</f>
        <v>218.72328814771453</v>
      </c>
      <c r="P154" s="57">
        <f>170.0919545743*Deflactores!$M$5</f>
        <v>351.1091486960546</v>
      </c>
      <c r="Q154" s="57">
        <f>174.815352800301*Deflactores!$N$5</f>
        <v>353.99189277508401</v>
      </c>
      <c r="R154" s="57">
        <f>165.668589327782*Deflactores!$O$5</f>
        <v>323.62548517658109</v>
      </c>
      <c r="S154" s="57">
        <f>196.203212143144*Deflactores!$P$5</f>
        <v>358.97103790605274</v>
      </c>
      <c r="T154" s="57">
        <f>282.72132708883*Deflactores!$Q$5</f>
        <v>489.1381000171956</v>
      </c>
      <c r="U154" s="57">
        <f>254.26872161178*Deflactores!$R$5</f>
        <v>422.62662392735263</v>
      </c>
      <c r="V154" s="57">
        <f>206.59059805675*Deflactores!$S$5</f>
        <v>332.79664723791456</v>
      </c>
    </row>
    <row r="155" spans="3:22" x14ac:dyDescent="0.2">
      <c r="C155" s="90" t="s">
        <v>147</v>
      </c>
      <c r="D155" s="58">
        <f>113.564679373899*Deflactores!$A$5</f>
        <v>422.88227000499381</v>
      </c>
      <c r="E155" s="58">
        <f>107.63989642728*Deflactores!$B$5</f>
        <v>372.34221436550541</v>
      </c>
      <c r="F155" s="58">
        <f>141.59585363107*Deflactores!$C$5</f>
        <v>457.79272204636067</v>
      </c>
      <c r="G155" s="58">
        <f>125.13348178635*Deflactores!$D$5</f>
        <v>379.90717517703439</v>
      </c>
      <c r="H155" s="58">
        <f>109.646382982789*Deflactores!$E$5</f>
        <v>315.54277298844789</v>
      </c>
      <c r="I155" s="58">
        <f>110.95551011417*Deflactores!$F$5</f>
        <v>304.52501464960716</v>
      </c>
      <c r="J155" s="58">
        <f>120.74079162872*Deflactores!$G$5</f>
        <v>317.17831058738386</v>
      </c>
      <c r="K155" s="58">
        <f>139.62695357622*Deflactores!$H$5</f>
        <v>347.02958099311888</v>
      </c>
      <c r="L155" s="58">
        <f>151.69963781615*Deflactores!$I$5</f>
        <v>350.16233711302522</v>
      </c>
      <c r="M155" s="58">
        <f>200.241019922999*Deflactores!$J$5</f>
        <v>453.13756569258447</v>
      </c>
      <c r="N155" s="58">
        <f>232.143702938469*Deflactores!$K$5</f>
        <v>509.18470616666337</v>
      </c>
      <c r="O155" s="58">
        <f>259.006015962149*Deflactores!$L$5</f>
        <v>547.69376317655804</v>
      </c>
      <c r="P155" s="58">
        <f>375.723908165439*Deflactores!$M$5</f>
        <v>775.58107831076882</v>
      </c>
      <c r="Q155" s="58">
        <f>365.26569431637*Deflactores!$N$5</f>
        <v>739.64381517773893</v>
      </c>
      <c r="R155" s="58">
        <f>384.196076185609*Deflactores!$O$5</f>
        <v>750.5082409587211</v>
      </c>
      <c r="S155" s="58">
        <f>440.061145386899*Deflactores!$P$5</f>
        <v>805.13058056568366</v>
      </c>
      <c r="T155" s="58">
        <f>468.27988305298*Deflactores!$Q$5</f>
        <v>810.1742257344506</v>
      </c>
      <c r="U155" s="58">
        <f>516.67739303392*Deflactores!$R$5</f>
        <v>858.78286913680313</v>
      </c>
      <c r="V155" s="58">
        <f>453.65427874095*Deflactores!$S$5</f>
        <v>730.79135444803785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69.74150272766*Deflactores!$A$5</f>
        <v>259.6973385530527</v>
      </c>
      <c r="E157" s="56">
        <f>68.54247504151*Deflactores!$B$5</f>
        <v>237.09849026369164</v>
      </c>
      <c r="F157" s="56">
        <f>75.5738525470999*Deflactores!$C$5</f>
        <v>244.33737843207288</v>
      </c>
      <c r="G157" s="56">
        <f>103.76577780613*Deflactores!$D$5</f>
        <v>315.03449727133608</v>
      </c>
      <c r="H157" s="56">
        <f>84.7999092439299*Deflactores!$E$5</f>
        <v>244.03904428109144</v>
      </c>
      <c r="I157" s="56">
        <f>4.99242209502*Deflactores!$F$5</f>
        <v>13.7020451716064</v>
      </c>
      <c r="J157" s="56">
        <f>93.93236958229*Deflactores!$G$5</f>
        <v>246.75430640868618</v>
      </c>
      <c r="K157" s="56">
        <f>100.27310952088*Deflactores!$H$5</f>
        <v>249.21932542854353</v>
      </c>
      <c r="L157" s="56">
        <f>152.68230219825*Deflactores!$I$5</f>
        <v>352.43058284905584</v>
      </c>
      <c r="M157" s="56">
        <f>184.718313219889*Deflactores!$J$5</f>
        <v>418.0102899170613</v>
      </c>
      <c r="N157" s="56">
        <f>258.06001506735*Deflactores!$K$5</f>
        <v>566.02962424641646</v>
      </c>
      <c r="O157" s="56">
        <f>285.8359323766*Deflactores!$L$5</f>
        <v>604.4282673237152</v>
      </c>
      <c r="P157" s="56">
        <f>485.57987456694*Deflactores!$M$5</f>
        <v>1002.3492105187182</v>
      </c>
      <c r="Q157" s="56">
        <f>288.31607343336*Deflactores!$N$5</f>
        <v>583.82488103744777</v>
      </c>
      <c r="R157" s="56">
        <f>354.72007051411*Deflactores!$O$5</f>
        <v>692.92830576875656</v>
      </c>
      <c r="S157" s="56">
        <f>374.24055469931*Deflactores!$P$5</f>
        <v>684.70601923141135</v>
      </c>
      <c r="T157" s="56">
        <f>113.86016685395*Deflactores!$Q$5</f>
        <v>196.99025275543974</v>
      </c>
      <c r="U157" s="56">
        <f>126.10859003357*Deflactores!$R$5</f>
        <v>209.6083518109649</v>
      </c>
      <c r="V157" s="56">
        <f>223.636854998239*Deflactores!$S$5</f>
        <v>360.25645040148942</v>
      </c>
    </row>
    <row r="158" spans="3:22" x14ac:dyDescent="0.2">
      <c r="C158" s="88" t="s">
        <v>150</v>
      </c>
      <c r="D158" s="57">
        <f>138.1014029793*Deflactores!$A$5</f>
        <v>514.24998604084669</v>
      </c>
      <c r="E158" s="57">
        <f>146.797651983049*Deflactores!$B$5</f>
        <v>507.79464322461632</v>
      </c>
      <c r="F158" s="57">
        <f>166.10434492459*Deflactores!$C$5</f>
        <v>537.03098118171238</v>
      </c>
      <c r="G158" s="57">
        <f>178.357939662009*Deflactores!$D$5</f>
        <v>541.49744784597863</v>
      </c>
      <c r="H158" s="57">
        <f>190.155387893039*Deflactores!$E$5</f>
        <v>547.23335838521814</v>
      </c>
      <c r="I158" s="57">
        <f>202.22967489844*Deflactores!$F$5</f>
        <v>555.03322590887649</v>
      </c>
      <c r="J158" s="57">
        <f>206.54492000981*Deflactores!$G$5</f>
        <v>542.58024902277486</v>
      </c>
      <c r="K158" s="57">
        <f>198.84377995393*Deflactores!$H$5</f>
        <v>494.20739959661</v>
      </c>
      <c r="L158" s="57">
        <f>203.05706540428*Deflactores!$I$5</f>
        <v>468.70867731040465</v>
      </c>
      <c r="M158" s="57">
        <f>219.50525574687*Deflactores!$J$5</f>
        <v>496.73177495856601</v>
      </c>
      <c r="N158" s="57">
        <f>317.8784348814*Deflactores!$K$5</f>
        <v>697.23552873930885</v>
      </c>
      <c r="O158" s="57">
        <f>211.198828465619*Deflactores!$L$5</f>
        <v>446.60075060850914</v>
      </c>
      <c r="P158" s="57">
        <f>310.049219576547*Deflactores!$M$5</f>
        <v>640.01332580280587</v>
      </c>
      <c r="Q158" s="57">
        <f>322.541509147539*Deflactores!$N$5</f>
        <v>653.12958783487807</v>
      </c>
      <c r="R158" s="57">
        <f>361.78055088874*Deflactores!$O$5</f>
        <v>706.7206088003137</v>
      </c>
      <c r="S158" s="57">
        <f>389.547685867189*Deflactores!$P$5</f>
        <v>712.71176237229713</v>
      </c>
      <c r="T158" s="57">
        <f>480.95370920935*Deflactores!$Q$5</f>
        <v>832.10129897617765</v>
      </c>
      <c r="U158" s="57">
        <f>657.367360899749*Deflactores!$R$5</f>
        <v>1092.6273064811892</v>
      </c>
      <c r="V158" s="57">
        <f>664.92201046888*Deflactores!$S$5</f>
        <v>1071.1223929849441</v>
      </c>
    </row>
    <row r="159" spans="3:22" x14ac:dyDescent="0.2">
      <c r="C159" s="87" t="s">
        <v>151</v>
      </c>
      <c r="D159" s="56">
        <f>23.412490534*Deflactores!$A$5</f>
        <v>87.181394761757858</v>
      </c>
      <c r="E159" s="56">
        <f>16.78039614854*Deflactores!$B$5</f>
        <v>58.045855368310178</v>
      </c>
      <c r="F159" s="56">
        <f>5.84070218009*Deflactores!$C$5</f>
        <v>18.883539885653843</v>
      </c>
      <c r="G159" s="56">
        <f>6.86572750265999*Deflactores!$D$5</f>
        <v>20.844454288615172</v>
      </c>
      <c r="H159" s="56">
        <f>11.78665927104*Deflactores!$E$5</f>
        <v>33.919907337369757</v>
      </c>
      <c r="I159" s="56">
        <f>7.23139535564*Deflactores!$F$5</f>
        <v>19.847060991810441</v>
      </c>
      <c r="J159" s="56">
        <f>10.67626502224*Deflactores!$G$5</f>
        <v>28.045863021588676</v>
      </c>
      <c r="K159" s="56">
        <f>13.86999891267*Deflactores!$H$5</f>
        <v>34.472569856731752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179</v>
      </c>
      <c r="D160" s="44">
        <f t="shared" ref="D160:V160" si="32">+SUM(D131:D159)</f>
        <v>5332.5170558000918</v>
      </c>
      <c r="E160" s="44">
        <f t="shared" si="32"/>
        <v>5242.8566956275954</v>
      </c>
      <c r="F160" s="44">
        <f t="shared" si="32"/>
        <v>5370.0095390520573</v>
      </c>
      <c r="G160" s="44">
        <f t="shared" si="32"/>
        <v>5320.1825011150013</v>
      </c>
      <c r="H160" s="44">
        <f t="shared" si="32"/>
        <v>11106.337877028016</v>
      </c>
      <c r="I160" s="44">
        <f t="shared" si="32"/>
        <v>10619.440521811417</v>
      </c>
      <c r="J160" s="44">
        <f t="shared" si="32"/>
        <v>5206.0291827955161</v>
      </c>
      <c r="K160" s="44">
        <f t="shared" si="32"/>
        <v>5602.7494819199192</v>
      </c>
      <c r="L160" s="44">
        <f t="shared" si="32"/>
        <v>5643.6599846897789</v>
      </c>
      <c r="M160" s="44">
        <f t="shared" si="32"/>
        <v>6755.9738217113818</v>
      </c>
      <c r="N160" s="44">
        <f t="shared" si="32"/>
        <v>9696.6361138110497</v>
      </c>
      <c r="O160" s="44">
        <f t="shared" si="32"/>
        <v>9017.6266312258413</v>
      </c>
      <c r="P160" s="44">
        <f t="shared" si="32"/>
        <v>8739.4388633213366</v>
      </c>
      <c r="Q160" s="44">
        <f t="shared" si="32"/>
        <v>9045.255063976967</v>
      </c>
      <c r="R160" s="44">
        <f t="shared" si="32"/>
        <v>9274.3116595261945</v>
      </c>
      <c r="S160" s="44">
        <f t="shared" si="32"/>
        <v>9467.7707350130604</v>
      </c>
      <c r="T160" s="44">
        <f t="shared" si="32"/>
        <v>8868.6989431394486</v>
      </c>
      <c r="U160" s="44">
        <f t="shared" si="32"/>
        <v>9146.0158113827238</v>
      </c>
      <c r="V160" s="44">
        <f t="shared" si="32"/>
        <v>8698.1384140782902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55" t="s">
        <v>198</v>
      </c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ht="0.75" customHeight="1" x14ac:dyDescent="0.2">
      <c r="H166" s="27"/>
      <c r="I166" s="27"/>
      <c r="J166" s="27"/>
      <c r="L166" s="177"/>
      <c r="M166" s="156"/>
      <c r="N166" s="156"/>
      <c r="O166" s="156"/>
      <c r="P166" s="156"/>
      <c r="Q166" s="156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76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60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94.203305657212383</v>
      </c>
      <c r="E170" s="60">
        <f t="shared" si="33"/>
        <v>87.409341575834986</v>
      </c>
      <c r="F170" s="60">
        <f t="shared" si="33"/>
        <v>90.396252384824336</v>
      </c>
      <c r="G170" s="60">
        <f t="shared" si="33"/>
        <v>60.098731988457168</v>
      </c>
      <c r="H170" s="60">
        <f t="shared" si="33"/>
        <v>63.763280804859548</v>
      </c>
      <c r="I170" s="60">
        <f t="shared" si="33"/>
        <v>73.407474872554729</v>
      </c>
      <c r="J170" s="60">
        <f t="shared" si="33"/>
        <v>75.990515356405396</v>
      </c>
      <c r="K170" s="60">
        <f t="shared" si="33"/>
        <v>83.477626010820316</v>
      </c>
      <c r="L170" s="60">
        <f t="shared" si="33"/>
        <v>90.550373462655045</v>
      </c>
      <c r="M170" s="60">
        <f t="shared" si="33"/>
        <v>85.33390086854638</v>
      </c>
      <c r="N170" s="60">
        <f t="shared" si="33"/>
        <v>81.398375402022722</v>
      </c>
      <c r="O170" s="60">
        <f t="shared" si="33"/>
        <v>80.088656090099491</v>
      </c>
      <c r="P170" s="60">
        <f t="shared" si="33"/>
        <v>79.316126982426212</v>
      </c>
      <c r="Q170" s="60">
        <f t="shared" si="33"/>
        <v>82.790169281273904</v>
      </c>
      <c r="R170" s="60">
        <f t="shared" si="33"/>
        <v>91.73366176671027</v>
      </c>
      <c r="S170" s="60">
        <f t="shared" si="33"/>
        <v>80.557838916379339</v>
      </c>
      <c r="T170" s="60">
        <f t="shared" si="33"/>
        <v>75.453111795723288</v>
      </c>
      <c r="U170" s="60">
        <f t="shared" si="33"/>
        <v>87.065236844982792</v>
      </c>
      <c r="V170" s="60">
        <f t="shared" si="33"/>
        <v>85.917834421891996</v>
      </c>
    </row>
    <row r="171" spans="2:22" x14ac:dyDescent="0.2">
      <c r="C171" s="88" t="s">
        <v>124</v>
      </c>
      <c r="D171" s="62" t="str">
        <f t="shared" ref="D171:V171" si="34">+IFERROR(IF(D132&gt;0,+((D132/D14)*100)," "),"")</f>
        <v xml:space="preserve"> </v>
      </c>
      <c r="E171" s="62" t="str">
        <f t="shared" si="34"/>
        <v xml:space="preserve"> </v>
      </c>
      <c r="F171" s="62" t="str">
        <f t="shared" si="34"/>
        <v xml:space="preserve"> </v>
      </c>
      <c r="G171" s="62" t="str">
        <f t="shared" si="34"/>
        <v xml:space="preserve"> </v>
      </c>
      <c r="H171" s="62" t="str">
        <f t="shared" si="34"/>
        <v xml:space="preserve"> </v>
      </c>
      <c r="I171" s="62" t="str">
        <f t="shared" si="34"/>
        <v xml:space="preserve"> </v>
      </c>
      <c r="J171" s="62" t="str">
        <f t="shared" si="34"/>
        <v xml:space="preserve"> </v>
      </c>
      <c r="K171" s="62" t="str">
        <f t="shared" si="34"/>
        <v xml:space="preserve"> </v>
      </c>
      <c r="L171" s="62" t="str">
        <f t="shared" si="34"/>
        <v xml:space="preserve"> </v>
      </c>
      <c r="M171" s="62" t="str">
        <f t="shared" si="34"/>
        <v xml:space="preserve"> </v>
      </c>
      <c r="N171" s="62" t="str">
        <f t="shared" si="34"/>
        <v xml:space="preserve"> </v>
      </c>
      <c r="O171" s="62" t="str">
        <f t="shared" si="34"/>
        <v xml:space="preserve"> </v>
      </c>
      <c r="P171" s="62">
        <f t="shared" si="34"/>
        <v>81.655503734028144</v>
      </c>
      <c r="Q171" s="62">
        <f t="shared" si="34"/>
        <v>86.512798688685805</v>
      </c>
      <c r="R171" s="62">
        <f t="shared" si="34"/>
        <v>69.257743218310935</v>
      </c>
      <c r="S171" s="62">
        <f t="shared" si="34"/>
        <v>69.04436223361445</v>
      </c>
      <c r="T171" s="62">
        <f t="shared" si="34"/>
        <v>91.865283484474787</v>
      </c>
      <c r="U171" s="62">
        <f t="shared" si="34"/>
        <v>96.830276751977124</v>
      </c>
      <c r="V171" s="62">
        <f t="shared" si="34"/>
        <v>96.887130587526855</v>
      </c>
    </row>
    <row r="172" spans="2:22" x14ac:dyDescent="0.2">
      <c r="C172" s="87" t="s">
        <v>125</v>
      </c>
      <c r="D172" s="60">
        <f t="shared" ref="D172:V172" si="35">+IFERROR(IF(D133&gt;0,+((D133/D15)*100)," "),"")</f>
        <v>75.324683760368529</v>
      </c>
      <c r="E172" s="60">
        <f t="shared" si="35"/>
        <v>62.923747174609957</v>
      </c>
      <c r="F172" s="60">
        <f t="shared" si="35"/>
        <v>91.02823143421837</v>
      </c>
      <c r="G172" s="60">
        <f t="shared" si="35"/>
        <v>78.603556540860183</v>
      </c>
      <c r="H172" s="60">
        <f t="shared" si="35"/>
        <v>65.714335023288442</v>
      </c>
      <c r="I172" s="60">
        <f t="shared" si="35"/>
        <v>68.263603967310289</v>
      </c>
      <c r="J172" s="60">
        <f t="shared" si="35"/>
        <v>69.501788101752453</v>
      </c>
      <c r="K172" s="60">
        <f t="shared" si="35"/>
        <v>52.900895375835447</v>
      </c>
      <c r="L172" s="60">
        <f t="shared" si="35"/>
        <v>87.429165130285824</v>
      </c>
      <c r="M172" s="60">
        <f t="shared" si="35"/>
        <v>75.904769115356316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94.668065270509018</v>
      </c>
      <c r="E173" s="62">
        <f t="shared" si="36"/>
        <v>88.531880669124305</v>
      </c>
      <c r="F173" s="62">
        <f t="shared" si="36"/>
        <v>86.050696046880262</v>
      </c>
      <c r="G173" s="62">
        <f t="shared" si="36"/>
        <v>87.603284201444126</v>
      </c>
      <c r="H173" s="62">
        <f t="shared" si="36"/>
        <v>90.231869063142071</v>
      </c>
      <c r="I173" s="62">
        <f t="shared" si="36"/>
        <v>91.198608961367228</v>
      </c>
      <c r="J173" s="62">
        <f t="shared" si="36"/>
        <v>90.657044074579389</v>
      </c>
      <c r="K173" s="62">
        <f t="shared" si="36"/>
        <v>93.81267056336506</v>
      </c>
      <c r="L173" s="62">
        <f t="shared" si="36"/>
        <v>91.901076400451942</v>
      </c>
      <c r="M173" s="62">
        <f t="shared" si="36"/>
        <v>93.214706974900963</v>
      </c>
      <c r="N173" s="62">
        <f t="shared" si="36"/>
        <v>90.520453371238119</v>
      </c>
      <c r="O173" s="62">
        <f t="shared" si="36"/>
        <v>83.646262314445892</v>
      </c>
      <c r="P173" s="62">
        <f t="shared" si="36"/>
        <v>89.943828019232413</v>
      </c>
      <c r="Q173" s="62">
        <f t="shared" si="36"/>
        <v>94.749005695940042</v>
      </c>
      <c r="R173" s="62">
        <f t="shared" si="36"/>
        <v>94.837476255362432</v>
      </c>
      <c r="S173" s="62">
        <f t="shared" si="36"/>
        <v>95.126462229871208</v>
      </c>
      <c r="T173" s="62">
        <f t="shared" si="36"/>
        <v>95.041783041710872</v>
      </c>
      <c r="U173" s="62">
        <f t="shared" si="36"/>
        <v>96.127623215770129</v>
      </c>
      <c r="V173" s="62">
        <f t="shared" si="36"/>
        <v>94.365382508075484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86.486610677927331</v>
      </c>
      <c r="E175" s="62">
        <f t="shared" si="38"/>
        <v>86.442029575526021</v>
      </c>
      <c r="F175" s="62">
        <f t="shared" si="38"/>
        <v>73.94069859056232</v>
      </c>
      <c r="G175" s="62">
        <f t="shared" si="38"/>
        <v>51.131402757993612</v>
      </c>
      <c r="H175" s="62">
        <f t="shared" si="38"/>
        <v>57.002604427146728</v>
      </c>
      <c r="I175" s="62">
        <f t="shared" si="38"/>
        <v>73.367197721102613</v>
      </c>
      <c r="J175" s="62">
        <f t="shared" si="38"/>
        <v>25.081779153813077</v>
      </c>
      <c r="K175" s="62">
        <f t="shared" si="38"/>
        <v>55.972734466912065</v>
      </c>
      <c r="L175" s="62">
        <f t="shared" si="38"/>
        <v>80.363334885286733</v>
      </c>
      <c r="M175" s="62">
        <f t="shared" si="38"/>
        <v>66.638238148139621</v>
      </c>
      <c r="N175" s="62">
        <f t="shared" si="38"/>
        <v>73.629018315971123</v>
      </c>
      <c r="O175" s="62">
        <f t="shared" si="38"/>
        <v>80.679805520109213</v>
      </c>
      <c r="P175" s="62">
        <f t="shared" si="38"/>
        <v>86.078489929404697</v>
      </c>
      <c r="Q175" s="62">
        <f t="shared" si="38"/>
        <v>81.273243930186084</v>
      </c>
      <c r="R175" s="62">
        <f t="shared" si="38"/>
        <v>88.648805310002373</v>
      </c>
      <c r="S175" s="62">
        <f t="shared" si="38"/>
        <v>94.380542988507528</v>
      </c>
      <c r="T175" s="62">
        <f t="shared" si="38"/>
        <v>95.053869508473426</v>
      </c>
      <c r="U175" s="62">
        <f t="shared" si="38"/>
        <v>96.394561897619397</v>
      </c>
      <c r="V175" s="62">
        <f t="shared" si="38"/>
        <v>94.086752851289887</v>
      </c>
    </row>
    <row r="176" spans="2:22" x14ac:dyDescent="0.2">
      <c r="C176" s="87" t="s">
        <v>129</v>
      </c>
      <c r="D176" s="60">
        <f t="shared" ref="D176:V176" si="39">+IFERROR(IF(D137&gt;0,+((D137/D19)*100)," "),"")</f>
        <v>81.1546890796849</v>
      </c>
      <c r="E176" s="60">
        <f t="shared" si="39"/>
        <v>78.624395890017183</v>
      </c>
      <c r="F176" s="60">
        <f t="shared" si="39"/>
        <v>77.026667428147206</v>
      </c>
      <c r="G176" s="60">
        <f t="shared" si="39"/>
        <v>80.064320850105602</v>
      </c>
      <c r="H176" s="60">
        <f t="shared" si="39"/>
        <v>84.228291993802912</v>
      </c>
      <c r="I176" s="60">
        <f t="shared" si="39"/>
        <v>82.295411545238338</v>
      </c>
      <c r="J176" s="60">
        <f t="shared" si="39"/>
        <v>74.440623459015882</v>
      </c>
      <c r="K176" s="60">
        <f t="shared" si="39"/>
        <v>91.255319960383076</v>
      </c>
      <c r="L176" s="60">
        <f t="shared" si="39"/>
        <v>90.291455297485655</v>
      </c>
      <c r="M176" s="60">
        <f t="shared" si="39"/>
        <v>87.139033738833803</v>
      </c>
      <c r="N176" s="60">
        <f t="shared" si="39"/>
        <v>89.244732536924431</v>
      </c>
      <c r="O176" s="60">
        <f t="shared" si="39"/>
        <v>83.864040791280374</v>
      </c>
      <c r="P176" s="60">
        <f t="shared" si="39"/>
        <v>80.740352363969649</v>
      </c>
      <c r="Q176" s="60">
        <f t="shared" si="39"/>
        <v>82.765142762937032</v>
      </c>
      <c r="R176" s="60">
        <f t="shared" si="39"/>
        <v>90.049681305862876</v>
      </c>
      <c r="S176" s="60">
        <f t="shared" si="39"/>
        <v>86.205952876775569</v>
      </c>
      <c r="T176" s="60">
        <f t="shared" si="39"/>
        <v>91.265936849573791</v>
      </c>
      <c r="U176" s="60">
        <f t="shared" si="39"/>
        <v>95.657474643655021</v>
      </c>
      <c r="V176" s="60">
        <f t="shared" si="39"/>
        <v>92.296578508607666</v>
      </c>
    </row>
    <row r="177" spans="3:22" x14ac:dyDescent="0.2">
      <c r="C177" s="88" t="s">
        <v>130</v>
      </c>
      <c r="D177" s="62">
        <f t="shared" ref="D177:V177" si="40">+IFERROR(IF(D138&gt;0,+((D138/D20)*100)," "),"")</f>
        <v>97.200525772236361</v>
      </c>
      <c r="E177" s="62">
        <f t="shared" si="40"/>
        <v>87.59808070488549</v>
      </c>
      <c r="F177" s="62">
        <f t="shared" si="40"/>
        <v>83.676368729444476</v>
      </c>
      <c r="G177" s="62">
        <f t="shared" si="40"/>
        <v>74.809992529024044</v>
      </c>
      <c r="H177" s="62">
        <f t="shared" si="40"/>
        <v>82.499226096641763</v>
      </c>
      <c r="I177" s="62">
        <f t="shared" si="40"/>
        <v>91.770902444672259</v>
      </c>
      <c r="J177" s="62">
        <f t="shared" si="40"/>
        <v>91.665108978330025</v>
      </c>
      <c r="K177" s="62">
        <f t="shared" si="40"/>
        <v>90.526682488182999</v>
      </c>
      <c r="L177" s="62">
        <f t="shared" si="40"/>
        <v>93.287936826224168</v>
      </c>
      <c r="M177" s="62">
        <f t="shared" si="40"/>
        <v>93.882147894250522</v>
      </c>
      <c r="N177" s="62">
        <f t="shared" si="40"/>
        <v>82.51276404228858</v>
      </c>
      <c r="O177" s="62">
        <f t="shared" si="40"/>
        <v>72.738491304911079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88.633663731860196</v>
      </c>
      <c r="E178" s="60">
        <f t="shared" si="41"/>
        <v>88.976111910444018</v>
      </c>
      <c r="F178" s="60">
        <f t="shared" si="41"/>
        <v>87.777041799163555</v>
      </c>
      <c r="G178" s="60">
        <f t="shared" si="41"/>
        <v>81.536213533023329</v>
      </c>
      <c r="H178" s="60">
        <f t="shared" si="41"/>
        <v>86.186849580817494</v>
      </c>
      <c r="I178" s="60">
        <f t="shared" si="41"/>
        <v>85.581867209394261</v>
      </c>
      <c r="J178" s="60">
        <f t="shared" si="41"/>
        <v>80.275749426568794</v>
      </c>
      <c r="K178" s="60">
        <f t="shared" si="41"/>
        <v>82.879755749979353</v>
      </c>
      <c r="L178" s="60">
        <f t="shared" si="41"/>
        <v>87.39489655271548</v>
      </c>
      <c r="M178" s="60">
        <f t="shared" si="41"/>
        <v>91.525025238694298</v>
      </c>
      <c r="N178" s="60">
        <f t="shared" si="41"/>
        <v>84.996792039467167</v>
      </c>
      <c r="O178" s="60">
        <f t="shared" si="41"/>
        <v>84.318303795858895</v>
      </c>
      <c r="P178" s="60">
        <f t="shared" si="41"/>
        <v>84.30694475401468</v>
      </c>
      <c r="Q178" s="60">
        <f t="shared" si="41"/>
        <v>80.574409463301151</v>
      </c>
      <c r="R178" s="60">
        <f t="shared" si="41"/>
        <v>86.911939456538235</v>
      </c>
      <c r="S178" s="60">
        <f t="shared" si="41"/>
        <v>89.883841577368372</v>
      </c>
      <c r="T178" s="60">
        <f t="shared" si="41"/>
        <v>89.645086504696323</v>
      </c>
      <c r="U178" s="60">
        <f t="shared" si="41"/>
        <v>81.772081910050673</v>
      </c>
      <c r="V178" s="60">
        <f t="shared" si="41"/>
        <v>85.005499317620902</v>
      </c>
    </row>
    <row r="179" spans="3:22" x14ac:dyDescent="0.2">
      <c r="C179" s="88" t="s">
        <v>132</v>
      </c>
      <c r="D179" s="62">
        <f t="shared" ref="D179:V179" si="42">+IFERROR(IF(D140&gt;0,+((D140/D22)*100)," "),"")</f>
        <v>82.700245697915449</v>
      </c>
      <c r="E179" s="62">
        <f t="shared" si="42"/>
        <v>85.878764035387761</v>
      </c>
      <c r="F179" s="62">
        <f t="shared" si="42"/>
        <v>82.023438765859652</v>
      </c>
      <c r="G179" s="62">
        <f t="shared" si="42"/>
        <v>83.581779249913751</v>
      </c>
      <c r="H179" s="62">
        <f t="shared" si="42"/>
        <v>79.135962973524428</v>
      </c>
      <c r="I179" s="62">
        <f t="shared" si="42"/>
        <v>90.545285173169262</v>
      </c>
      <c r="J179" s="62">
        <f t="shared" si="42"/>
        <v>67.83021360575205</v>
      </c>
      <c r="K179" s="62">
        <f t="shared" si="42"/>
        <v>49.861190144457645</v>
      </c>
      <c r="L179" s="62">
        <f t="shared" si="42"/>
        <v>55.579974208303916</v>
      </c>
      <c r="M179" s="62">
        <f t="shared" si="42"/>
        <v>36.407446374079925</v>
      </c>
      <c r="N179" s="62">
        <f t="shared" si="42"/>
        <v>64.950215030676844</v>
      </c>
      <c r="O179" s="62">
        <f t="shared" si="42"/>
        <v>59.822921134369643</v>
      </c>
      <c r="P179" s="62">
        <f t="shared" si="42"/>
        <v>64.04677762722801</v>
      </c>
      <c r="Q179" s="62">
        <f t="shared" si="42"/>
        <v>45.186885566854407</v>
      </c>
      <c r="R179" s="62">
        <f t="shared" si="42"/>
        <v>51.657495209659352</v>
      </c>
      <c r="S179" s="62">
        <f t="shared" si="42"/>
        <v>53.374083639495296</v>
      </c>
      <c r="T179" s="62">
        <f t="shared" si="42"/>
        <v>75.741958527950032</v>
      </c>
      <c r="U179" s="62">
        <f t="shared" si="42"/>
        <v>78.98964254109579</v>
      </c>
      <c r="V179" s="62">
        <f t="shared" si="42"/>
        <v>80.562742376818193</v>
      </c>
    </row>
    <row r="180" spans="3:22" x14ac:dyDescent="0.2">
      <c r="C180" s="87" t="s">
        <v>133</v>
      </c>
      <c r="D180" s="60">
        <f t="shared" ref="D180:V180" si="43">+IFERROR(IF(D141&gt;0,+((D141/D23)*100)," "),"")</f>
        <v>52.553481328482718</v>
      </c>
      <c r="E180" s="60">
        <f t="shared" si="43"/>
        <v>35.800962077352047</v>
      </c>
      <c r="F180" s="60">
        <f t="shared" si="43"/>
        <v>80.564981052894552</v>
      </c>
      <c r="G180" s="60">
        <f t="shared" si="43"/>
        <v>22.884744871018402</v>
      </c>
      <c r="H180" s="60">
        <f t="shared" si="43"/>
        <v>82.266256528480497</v>
      </c>
      <c r="I180" s="60">
        <f t="shared" si="43"/>
        <v>79.006401645894471</v>
      </c>
      <c r="J180" s="60">
        <f t="shared" si="43"/>
        <v>76.439742333333328</v>
      </c>
      <c r="K180" s="60">
        <f t="shared" si="43"/>
        <v>59.532722900832816</v>
      </c>
      <c r="L180" s="60">
        <f t="shared" si="43"/>
        <v>40.583625868725868</v>
      </c>
      <c r="M180" s="60">
        <f t="shared" si="43"/>
        <v>54.7732722318339</v>
      </c>
      <c r="N180" s="60">
        <f t="shared" si="43"/>
        <v>43.611223906835157</v>
      </c>
      <c r="O180" s="60">
        <f t="shared" si="43"/>
        <v>45.948161493617363</v>
      </c>
      <c r="P180" s="60">
        <f t="shared" si="43"/>
        <v>46.018539860796125</v>
      </c>
      <c r="Q180" s="60">
        <f t="shared" si="43"/>
        <v>24.64971916595745</v>
      </c>
      <c r="R180" s="60">
        <f t="shared" si="43"/>
        <v>28.212994530581909</v>
      </c>
      <c r="S180" s="60">
        <f t="shared" si="43"/>
        <v>40.410764799998041</v>
      </c>
      <c r="T180" s="60">
        <f t="shared" si="43"/>
        <v>79.361719941941345</v>
      </c>
      <c r="U180" s="60">
        <f t="shared" si="43"/>
        <v>98.589181608563337</v>
      </c>
      <c r="V180" s="60">
        <f t="shared" si="43"/>
        <v>83.394351270590519</v>
      </c>
    </row>
    <row r="181" spans="3:22" x14ac:dyDescent="0.2">
      <c r="C181" s="88" t="s">
        <v>134</v>
      </c>
      <c r="D181" s="62">
        <f t="shared" ref="D181:V181" si="44">+IFERROR(IF(D142&gt;0,+((D142/D24)*100)," "),"")</f>
        <v>69.539217196123872</v>
      </c>
      <c r="E181" s="62">
        <f t="shared" si="44"/>
        <v>87.430343989454286</v>
      </c>
      <c r="F181" s="62">
        <f t="shared" si="44"/>
        <v>91.531934728129812</v>
      </c>
      <c r="G181" s="62">
        <f t="shared" si="44"/>
        <v>87.448037937160265</v>
      </c>
      <c r="H181" s="62">
        <f t="shared" si="44"/>
        <v>93.10952946901962</v>
      </c>
      <c r="I181" s="62">
        <f t="shared" si="44"/>
        <v>85.577177122669994</v>
      </c>
      <c r="J181" s="62">
        <f t="shared" si="44"/>
        <v>93.711337210575891</v>
      </c>
      <c r="K181" s="62">
        <f t="shared" si="44"/>
        <v>85.355032065392862</v>
      </c>
      <c r="L181" s="62">
        <f t="shared" si="44"/>
        <v>89.190581415117691</v>
      </c>
      <c r="M181" s="62">
        <f t="shared" si="44"/>
        <v>87.631118826380856</v>
      </c>
      <c r="N181" s="62">
        <f t="shared" si="44"/>
        <v>89.742982126052055</v>
      </c>
      <c r="O181" s="62">
        <f t="shared" si="44"/>
        <v>91.01127982096277</v>
      </c>
      <c r="P181" s="62">
        <f t="shared" si="44"/>
        <v>89.110009913951487</v>
      </c>
      <c r="Q181" s="62">
        <f t="shared" si="44"/>
        <v>77.329899534824435</v>
      </c>
      <c r="R181" s="62">
        <f t="shared" si="44"/>
        <v>70.058340415353939</v>
      </c>
      <c r="S181" s="62">
        <f t="shared" si="44"/>
        <v>70.194514888531813</v>
      </c>
      <c r="T181" s="62">
        <f t="shared" si="44"/>
        <v>74.565812784805175</v>
      </c>
      <c r="U181" s="62">
        <f t="shared" si="44"/>
        <v>74.982259439623704</v>
      </c>
      <c r="V181" s="62">
        <f t="shared" si="44"/>
        <v>78.289874294686754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97.037854220530591</v>
      </c>
      <c r="E183" s="62">
        <f t="shared" si="46"/>
        <v>97.824086774439962</v>
      </c>
      <c r="F183" s="62">
        <f t="shared" si="46"/>
        <v>90.242702788447644</v>
      </c>
      <c r="G183" s="62">
        <f t="shared" si="46"/>
        <v>95.542566696989823</v>
      </c>
      <c r="H183" s="62">
        <f t="shared" si="46"/>
        <v>93.200143405806827</v>
      </c>
      <c r="I183" s="62">
        <f t="shared" si="46"/>
        <v>90.937525681983828</v>
      </c>
      <c r="J183" s="62">
        <f t="shared" si="46"/>
        <v>68.728594145725424</v>
      </c>
      <c r="K183" s="62">
        <f t="shared" si="46"/>
        <v>71.29302878212647</v>
      </c>
      <c r="L183" s="62">
        <f t="shared" si="46"/>
        <v>73.846862368899025</v>
      </c>
      <c r="M183" s="62">
        <f t="shared" si="46"/>
        <v>74.888716735878631</v>
      </c>
      <c r="N183" s="62">
        <f t="shared" si="46"/>
        <v>79.357516874486521</v>
      </c>
      <c r="O183" s="62">
        <f t="shared" si="46"/>
        <v>77.707381103220825</v>
      </c>
      <c r="P183" s="62">
        <f t="shared" si="46"/>
        <v>79.463092810170522</v>
      </c>
      <c r="Q183" s="62">
        <f t="shared" si="46"/>
        <v>82.057896378774458</v>
      </c>
      <c r="R183" s="62">
        <f t="shared" si="46"/>
        <v>83.840785179696084</v>
      </c>
      <c r="S183" s="62">
        <f t="shared" si="46"/>
        <v>86.105034111546985</v>
      </c>
      <c r="T183" s="62">
        <f t="shared" si="46"/>
        <v>87.170885768167764</v>
      </c>
      <c r="U183" s="62">
        <f t="shared" si="46"/>
        <v>98.084854631914936</v>
      </c>
      <c r="V183" s="62">
        <f t="shared" si="46"/>
        <v>86.011186362054985</v>
      </c>
    </row>
    <row r="184" spans="3:22" x14ac:dyDescent="0.2">
      <c r="C184" s="87" t="s">
        <v>137</v>
      </c>
      <c r="D184" s="60">
        <f t="shared" ref="D184:V184" si="47">+IFERROR(IF(D145&gt;0,+((D145/D27)*100)," "),"")</f>
        <v>86.875545215401246</v>
      </c>
      <c r="E184" s="60">
        <f t="shared" si="47"/>
        <v>82.334578961811829</v>
      </c>
      <c r="F184" s="60">
        <f t="shared" si="47"/>
        <v>95.695327727908861</v>
      </c>
      <c r="G184" s="60">
        <f t="shared" si="47"/>
        <v>82.693251904126498</v>
      </c>
      <c r="H184" s="60">
        <f t="shared" si="47"/>
        <v>86.313251197012065</v>
      </c>
      <c r="I184" s="60">
        <f t="shared" si="47"/>
        <v>88.396711690252999</v>
      </c>
      <c r="J184" s="60">
        <f t="shared" si="47"/>
        <v>89.71341444040894</v>
      </c>
      <c r="K184" s="60">
        <f t="shared" si="47"/>
        <v>91.384986723336681</v>
      </c>
      <c r="L184" s="60">
        <f t="shared" si="47"/>
        <v>89.677071399944509</v>
      </c>
      <c r="M184" s="60">
        <f t="shared" si="47"/>
        <v>94.043992035011442</v>
      </c>
      <c r="N184" s="60">
        <f t="shared" si="47"/>
        <v>93.935721613090465</v>
      </c>
      <c r="O184" s="60">
        <f t="shared" si="47"/>
        <v>94.828048364163095</v>
      </c>
      <c r="P184" s="60">
        <f t="shared" si="47"/>
        <v>78.825228593866527</v>
      </c>
      <c r="Q184" s="60">
        <f t="shared" si="47"/>
        <v>85.016612296001639</v>
      </c>
      <c r="R184" s="60">
        <f t="shared" si="47"/>
        <v>91.457182540477504</v>
      </c>
      <c r="S184" s="60">
        <f t="shared" si="47"/>
        <v>65.481753774424675</v>
      </c>
      <c r="T184" s="60">
        <f t="shared" si="47"/>
        <v>72.807397827661092</v>
      </c>
      <c r="U184" s="60">
        <f t="shared" si="47"/>
        <v>97.81456714612716</v>
      </c>
      <c r="V184" s="60">
        <f t="shared" si="47"/>
        <v>68.672082259126597</v>
      </c>
    </row>
    <row r="185" spans="3:22" x14ac:dyDescent="0.2">
      <c r="C185" s="88" t="s">
        <v>138</v>
      </c>
      <c r="D185" s="62">
        <f t="shared" ref="D185:V185" si="48">+IFERROR(IF(D146&gt;0,+((D146/D28)*100)," "),"")</f>
        <v>87.238691209572039</v>
      </c>
      <c r="E185" s="62">
        <f t="shared" si="48"/>
        <v>80.243868355129024</v>
      </c>
      <c r="F185" s="62">
        <f t="shared" si="48"/>
        <v>85.942827554463733</v>
      </c>
      <c r="G185" s="62">
        <f t="shared" si="48"/>
        <v>75.051353295441842</v>
      </c>
      <c r="H185" s="62">
        <f t="shared" si="48"/>
        <v>73.095855651848467</v>
      </c>
      <c r="I185" s="62">
        <f t="shared" si="48"/>
        <v>76.160337593620653</v>
      </c>
      <c r="J185" s="62">
        <f t="shared" si="48"/>
        <v>81.46060639834684</v>
      </c>
      <c r="K185" s="62">
        <f t="shared" si="48"/>
        <v>90.982363219872369</v>
      </c>
      <c r="L185" s="62">
        <f t="shared" si="48"/>
        <v>91.285714588954505</v>
      </c>
      <c r="M185" s="62">
        <f t="shared" si="48"/>
        <v>78.715505004204999</v>
      </c>
      <c r="N185" s="62">
        <f t="shared" si="48"/>
        <v>74.778672907328271</v>
      </c>
      <c r="O185" s="62">
        <f t="shared" si="48"/>
        <v>73.638883255913896</v>
      </c>
      <c r="P185" s="62">
        <f t="shared" si="48"/>
        <v>77.257006916123984</v>
      </c>
      <c r="Q185" s="62">
        <f t="shared" si="48"/>
        <v>91.70422520730672</v>
      </c>
      <c r="R185" s="62">
        <f t="shared" si="48"/>
        <v>81.171713396320442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95.860669548345882</v>
      </c>
      <c r="E186" s="60">
        <f t="shared" si="49"/>
        <v>59.032494130378623</v>
      </c>
      <c r="F186" s="60">
        <f t="shared" si="49"/>
        <v>78.716534671624373</v>
      </c>
      <c r="G186" s="60">
        <f t="shared" si="49"/>
        <v>68.377329557105753</v>
      </c>
      <c r="H186" s="60">
        <f t="shared" si="49"/>
        <v>79.753775457775319</v>
      </c>
      <c r="I186" s="60">
        <f t="shared" si="49"/>
        <v>81.864154253100878</v>
      </c>
      <c r="J186" s="60">
        <f t="shared" si="49"/>
        <v>69.542911783283913</v>
      </c>
      <c r="K186" s="60">
        <f t="shared" si="49"/>
        <v>82.430634047600336</v>
      </c>
      <c r="L186" s="60">
        <f t="shared" si="49"/>
        <v>82.998169989034366</v>
      </c>
      <c r="M186" s="60">
        <f t="shared" si="49"/>
        <v>71.052714427230384</v>
      </c>
      <c r="N186" s="60">
        <f t="shared" si="49"/>
        <v>72.180630135477159</v>
      </c>
      <c r="O186" s="60">
        <f t="shared" si="49"/>
        <v>84.947973838641744</v>
      </c>
      <c r="P186" s="60">
        <f t="shared" si="49"/>
        <v>80.568111704929962</v>
      </c>
      <c r="Q186" s="60">
        <f t="shared" si="49"/>
        <v>85.988005636451675</v>
      </c>
      <c r="R186" s="60">
        <f t="shared" si="49"/>
        <v>78.804333448924851</v>
      </c>
      <c r="S186" s="60">
        <f t="shared" si="49"/>
        <v>88.672835279064003</v>
      </c>
      <c r="T186" s="60">
        <f t="shared" si="49"/>
        <v>93.080715206550408</v>
      </c>
      <c r="U186" s="60">
        <f t="shared" si="49"/>
        <v>90.316861971707127</v>
      </c>
      <c r="V186" s="60">
        <f t="shared" si="49"/>
        <v>88.742951979466838</v>
      </c>
    </row>
    <row r="187" spans="3:22" x14ac:dyDescent="0.2">
      <c r="C187" s="88" t="s">
        <v>140</v>
      </c>
      <c r="D187" s="62">
        <f t="shared" ref="D187:V187" si="50">+IFERROR(IF(D148&gt;0,+((D148/D30)*100)," "),"")</f>
        <v>88.288982856926097</v>
      </c>
      <c r="E187" s="62">
        <f t="shared" si="50"/>
        <v>88.928183936562149</v>
      </c>
      <c r="F187" s="62">
        <f t="shared" si="50"/>
        <v>67.18282749734469</v>
      </c>
      <c r="G187" s="62">
        <f t="shared" si="50"/>
        <v>62.840176632057123</v>
      </c>
      <c r="H187" s="62">
        <f t="shared" si="50"/>
        <v>89.659752235787167</v>
      </c>
      <c r="I187" s="62">
        <f t="shared" si="50"/>
        <v>99.501460033190682</v>
      </c>
      <c r="J187" s="62">
        <f t="shared" si="50"/>
        <v>51.547991449355926</v>
      </c>
      <c r="K187" s="62">
        <f t="shared" si="50"/>
        <v>67.827470451009191</v>
      </c>
      <c r="L187" s="62">
        <f t="shared" si="50"/>
        <v>87.778447285917153</v>
      </c>
      <c r="M187" s="62">
        <f t="shared" si="50"/>
        <v>77.622797647874847</v>
      </c>
      <c r="N187" s="62">
        <f t="shared" si="50"/>
        <v>97.782837242954926</v>
      </c>
      <c r="O187" s="62">
        <f t="shared" si="50"/>
        <v>96.345622485881705</v>
      </c>
      <c r="P187" s="62">
        <f t="shared" si="50"/>
        <v>67.284423671074805</v>
      </c>
      <c r="Q187" s="62">
        <f t="shared" si="50"/>
        <v>72.475768058540083</v>
      </c>
      <c r="R187" s="62">
        <f t="shared" si="50"/>
        <v>90.591209250647751</v>
      </c>
      <c r="S187" s="62">
        <f t="shared" si="50"/>
        <v>92.179234562347261</v>
      </c>
      <c r="T187" s="62">
        <f t="shared" si="50"/>
        <v>91.467859428074945</v>
      </c>
      <c r="U187" s="62">
        <f t="shared" si="50"/>
        <v>94.622613334495384</v>
      </c>
      <c r="V187" s="62">
        <f t="shared" si="50"/>
        <v>86.942099638719384</v>
      </c>
    </row>
    <row r="188" spans="3:22" x14ac:dyDescent="0.2">
      <c r="C188" s="87" t="s">
        <v>141</v>
      </c>
      <c r="D188" s="60">
        <f t="shared" ref="D188:V188" si="51">+IFERROR(IF(D149&gt;0,+((D149/D31)*100)," "),"")</f>
        <v>40.0998858575878</v>
      </c>
      <c r="E188" s="60">
        <f t="shared" si="51"/>
        <v>55.5900195951453</v>
      </c>
      <c r="F188" s="60">
        <f t="shared" si="51"/>
        <v>80.521333040894575</v>
      </c>
      <c r="G188" s="60">
        <f t="shared" si="51"/>
        <v>58.697548511446954</v>
      </c>
      <c r="H188" s="60">
        <f t="shared" si="51"/>
        <v>80.762605960055865</v>
      </c>
      <c r="I188" s="60">
        <f t="shared" si="51"/>
        <v>53.898699668523811</v>
      </c>
      <c r="J188" s="60">
        <f t="shared" si="51"/>
        <v>77.526295531689414</v>
      </c>
      <c r="K188" s="60">
        <f t="shared" si="51"/>
        <v>86.261634031100897</v>
      </c>
      <c r="L188" s="60">
        <f t="shared" si="51"/>
        <v>84.375847722326242</v>
      </c>
      <c r="M188" s="60">
        <f t="shared" si="51"/>
        <v>85.488334302877035</v>
      </c>
      <c r="N188" s="60">
        <f t="shared" si="51"/>
        <v>73.586673965631803</v>
      </c>
      <c r="O188" s="60">
        <f t="shared" si="51"/>
        <v>73.440555121961765</v>
      </c>
      <c r="P188" s="60">
        <f t="shared" si="51"/>
        <v>58.112348724273488</v>
      </c>
      <c r="Q188" s="60">
        <f t="shared" si="51"/>
        <v>65.391295277269194</v>
      </c>
      <c r="R188" s="60">
        <f t="shared" si="51"/>
        <v>64.376116001610185</v>
      </c>
      <c r="S188" s="60">
        <f t="shared" si="51"/>
        <v>82.172875174356477</v>
      </c>
      <c r="T188" s="60">
        <f t="shared" si="51"/>
        <v>71.820213538898741</v>
      </c>
      <c r="U188" s="60">
        <f t="shared" si="51"/>
        <v>74.166999276867898</v>
      </c>
      <c r="V188" s="60">
        <f t="shared" si="51"/>
        <v>78.447851172249457</v>
      </c>
    </row>
    <row r="189" spans="3:22" x14ac:dyDescent="0.2">
      <c r="C189" s="88" t="s">
        <v>142</v>
      </c>
      <c r="D189" s="62">
        <f t="shared" ref="D189:V189" si="52">+IFERROR(IF(D150&gt;0,+((D150/D32)*100)," "),"")</f>
        <v>92.443807728755772</v>
      </c>
      <c r="E189" s="62">
        <f t="shared" si="52"/>
        <v>93.628244910872809</v>
      </c>
      <c r="F189" s="62">
        <f t="shared" si="52"/>
        <v>83.37345224571088</v>
      </c>
      <c r="G189" s="62">
        <f t="shared" si="52"/>
        <v>71.242306652141053</v>
      </c>
      <c r="H189" s="62">
        <f t="shared" si="52"/>
        <v>79.59974849931551</v>
      </c>
      <c r="I189" s="62">
        <f t="shared" si="52"/>
        <v>79.462433310077458</v>
      </c>
      <c r="J189" s="62">
        <f t="shared" si="52"/>
        <v>65.097447363205703</v>
      </c>
      <c r="K189" s="62">
        <f t="shared" si="52"/>
        <v>70.718039262470384</v>
      </c>
      <c r="L189" s="62">
        <f t="shared" si="52"/>
        <v>79.754017662112958</v>
      </c>
      <c r="M189" s="62">
        <f t="shared" si="52"/>
        <v>67.584782606817853</v>
      </c>
      <c r="N189" s="62">
        <f t="shared" si="52"/>
        <v>89.329107989425466</v>
      </c>
      <c r="O189" s="62">
        <f t="shared" si="52"/>
        <v>87.602161938040339</v>
      </c>
      <c r="P189" s="62">
        <f t="shared" si="52"/>
        <v>87.697493876163151</v>
      </c>
      <c r="Q189" s="62">
        <f t="shared" si="52"/>
        <v>57.427795037954589</v>
      </c>
      <c r="R189" s="62">
        <f t="shared" si="52"/>
        <v>87.256672503617921</v>
      </c>
      <c r="S189" s="62">
        <f t="shared" si="52"/>
        <v>90.371145477710883</v>
      </c>
      <c r="T189" s="62">
        <f t="shared" si="52"/>
        <v>93.680311238032559</v>
      </c>
      <c r="U189" s="62">
        <f t="shared" si="52"/>
        <v>91.067228749846763</v>
      </c>
      <c r="V189" s="62">
        <f t="shared" si="52"/>
        <v>93.126444492237297</v>
      </c>
    </row>
    <row r="190" spans="3:22" x14ac:dyDescent="0.2">
      <c r="C190" s="87" t="s">
        <v>143</v>
      </c>
      <c r="D190" s="60" t="str">
        <f t="shared" ref="D190:V190" si="53">+IFERROR(IF(D151&gt;0,+((D151/D33)*100)," "),"")</f>
        <v xml:space="preserve"> 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 t="str">
        <f t="shared" si="53"/>
        <v xml:space="preserve"> </v>
      </c>
      <c r="I190" s="60" t="str">
        <f t="shared" si="53"/>
        <v xml:space="preserve"> 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 t="str">
        <f t="shared" si="53"/>
        <v xml:space="preserve"> </v>
      </c>
      <c r="Q190" s="60" t="str">
        <f t="shared" si="53"/>
        <v xml:space="preserve"> </v>
      </c>
      <c r="R190" s="60" t="str">
        <f t="shared" si="53"/>
        <v xml:space="preserve"> </v>
      </c>
      <c r="S190" s="60" t="str">
        <f t="shared" si="53"/>
        <v xml:space="preserve"> </v>
      </c>
      <c r="T190" s="60" t="str">
        <f t="shared" si="53"/>
        <v xml:space="preserve"> </v>
      </c>
      <c r="U190" s="60" t="str">
        <f t="shared" si="53"/>
        <v xml:space="preserve"> </v>
      </c>
      <c r="V190" s="60" t="str">
        <f t="shared" si="53"/>
        <v xml:space="preserve"> 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92.124618784133844</v>
      </c>
      <c r="E192" s="60">
        <f t="shared" si="55"/>
        <v>63.579667464103629</v>
      </c>
      <c r="F192" s="60">
        <f t="shared" si="55"/>
        <v>85.993807713900239</v>
      </c>
      <c r="G192" s="60">
        <f t="shared" si="55"/>
        <v>72.178244943405275</v>
      </c>
      <c r="H192" s="60">
        <f t="shared" si="55"/>
        <v>52.846357117043887</v>
      </c>
      <c r="I192" s="60">
        <f t="shared" si="55"/>
        <v>80.132751988233821</v>
      </c>
      <c r="J192" s="60">
        <f t="shared" si="55"/>
        <v>61.132587686446172</v>
      </c>
      <c r="K192" s="60">
        <f t="shared" si="55"/>
        <v>76.804955378376803</v>
      </c>
      <c r="L192" s="60">
        <f t="shared" si="55"/>
        <v>65.997679648697755</v>
      </c>
      <c r="M192" s="60">
        <f t="shared" si="55"/>
        <v>75.37238217415667</v>
      </c>
      <c r="N192" s="60">
        <f t="shared" si="55"/>
        <v>82.556231098293338</v>
      </c>
      <c r="O192" s="60">
        <f t="shared" si="55"/>
        <v>83.304709233819779</v>
      </c>
      <c r="P192" s="60">
        <f t="shared" si="55"/>
        <v>84.744258421839874</v>
      </c>
      <c r="Q192" s="60">
        <f t="shared" si="55"/>
        <v>92.495607840135236</v>
      </c>
      <c r="R192" s="60">
        <f t="shared" si="55"/>
        <v>90.383902535239415</v>
      </c>
      <c r="S192" s="60">
        <f t="shared" si="55"/>
        <v>94.814110492812262</v>
      </c>
      <c r="T192" s="60">
        <f t="shared" si="55"/>
        <v>97.039745421370768</v>
      </c>
      <c r="U192" s="60">
        <f t="shared" si="55"/>
        <v>98.651303876001492</v>
      </c>
      <c r="V192" s="60">
        <f t="shared" si="55"/>
        <v>92.72379954456288</v>
      </c>
    </row>
    <row r="193" spans="3:22" x14ac:dyDescent="0.2">
      <c r="C193" s="88" t="s">
        <v>146</v>
      </c>
      <c r="D193" s="62">
        <f t="shared" ref="D193:V193" si="56">+IFERROR(IF(D154&gt;0,+((D154/D36)*100)," "),"")</f>
        <v>97.923862303006999</v>
      </c>
      <c r="E193" s="62">
        <f t="shared" si="56"/>
        <v>91.169109024689163</v>
      </c>
      <c r="F193" s="62">
        <f t="shared" si="56"/>
        <v>93.915798977601995</v>
      </c>
      <c r="G193" s="62">
        <f t="shared" si="56"/>
        <v>88.072171165338759</v>
      </c>
      <c r="H193" s="62">
        <f t="shared" si="56"/>
        <v>77.940366185840077</v>
      </c>
      <c r="I193" s="62">
        <f t="shared" si="56"/>
        <v>87.506191241143526</v>
      </c>
      <c r="J193" s="62">
        <f t="shared" si="56"/>
        <v>75.20750167373231</v>
      </c>
      <c r="K193" s="62">
        <f t="shared" si="56"/>
        <v>87.371608358884643</v>
      </c>
      <c r="L193" s="62">
        <f t="shared" si="56"/>
        <v>80.911150770026481</v>
      </c>
      <c r="M193" s="62">
        <f t="shared" si="56"/>
        <v>95.200452595935275</v>
      </c>
      <c r="N193" s="62">
        <f t="shared" si="56"/>
        <v>87.358211960983851</v>
      </c>
      <c r="O193" s="62">
        <f t="shared" si="56"/>
        <v>94.595166893881554</v>
      </c>
      <c r="P193" s="62">
        <f t="shared" si="56"/>
        <v>96.240345771850784</v>
      </c>
      <c r="Q193" s="62">
        <f t="shared" si="56"/>
        <v>98.965344112306184</v>
      </c>
      <c r="R193" s="62">
        <f t="shared" si="56"/>
        <v>98.173804329700147</v>
      </c>
      <c r="S193" s="62">
        <f t="shared" si="56"/>
        <v>98.4868072485894</v>
      </c>
      <c r="T193" s="62">
        <f t="shared" si="56"/>
        <v>99.283313588958436</v>
      </c>
      <c r="U193" s="62">
        <f t="shared" si="56"/>
        <v>96.107367377184303</v>
      </c>
      <c r="V193" s="62">
        <f t="shared" si="56"/>
        <v>81.452249326490133</v>
      </c>
    </row>
    <row r="194" spans="3:22" x14ac:dyDescent="0.2">
      <c r="C194" s="90" t="s">
        <v>147</v>
      </c>
      <c r="D194" s="61">
        <f t="shared" ref="D194:V194" si="57">+IFERROR(IF(D155&gt;0,+((D155/D37)*100)," "),"")</f>
        <v>75.210329888654769</v>
      </c>
      <c r="E194" s="61">
        <f t="shared" si="57"/>
        <v>76.573388901826945</v>
      </c>
      <c r="F194" s="61">
        <f t="shared" si="57"/>
        <v>82.094218386816195</v>
      </c>
      <c r="G194" s="61">
        <f t="shared" si="57"/>
        <v>83.920210090033734</v>
      </c>
      <c r="H194" s="61">
        <f t="shared" si="57"/>
        <v>74.417416370224061</v>
      </c>
      <c r="I194" s="61">
        <f t="shared" si="57"/>
        <v>80.381820195783149</v>
      </c>
      <c r="J194" s="61">
        <f t="shared" si="57"/>
        <v>71.914542655421997</v>
      </c>
      <c r="K194" s="61">
        <f t="shared" si="57"/>
        <v>73.296781350794291</v>
      </c>
      <c r="L194" s="61">
        <f t="shared" si="57"/>
        <v>86.358198526998521</v>
      </c>
      <c r="M194" s="61">
        <f t="shared" si="57"/>
        <v>83.339818086727917</v>
      </c>
      <c r="N194" s="61">
        <f t="shared" si="57"/>
        <v>86.692539694140692</v>
      </c>
      <c r="O194" s="61">
        <f t="shared" si="57"/>
        <v>80.82630821322816</v>
      </c>
      <c r="P194" s="61">
        <f t="shared" si="57"/>
        <v>89.129931568323869</v>
      </c>
      <c r="Q194" s="61">
        <f t="shared" si="57"/>
        <v>75.261184454579137</v>
      </c>
      <c r="R194" s="61">
        <f t="shared" si="57"/>
        <v>83.607985238575935</v>
      </c>
      <c r="S194" s="61">
        <f t="shared" si="57"/>
        <v>90.257150654351989</v>
      </c>
      <c r="T194" s="61">
        <f t="shared" si="57"/>
        <v>91.783561367243223</v>
      </c>
      <c r="U194" s="61">
        <f t="shared" si="57"/>
        <v>92.368758022223403</v>
      </c>
      <c r="V194" s="61">
        <f t="shared" si="57"/>
        <v>85.791767067088571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35.835064271284715</v>
      </c>
      <c r="E196" s="60">
        <f t="shared" si="59"/>
        <v>37.457455828316633</v>
      </c>
      <c r="F196" s="60">
        <f t="shared" si="59"/>
        <v>42.007833001388981</v>
      </c>
      <c r="G196" s="60">
        <f t="shared" si="59"/>
        <v>55.128721380219403</v>
      </c>
      <c r="H196" s="60">
        <f t="shared" si="59"/>
        <v>49.023941667603829</v>
      </c>
      <c r="I196" s="60">
        <f t="shared" si="59"/>
        <v>4.4267655644313928</v>
      </c>
      <c r="J196" s="60">
        <f t="shared" si="59"/>
        <v>45.556219788685191</v>
      </c>
      <c r="K196" s="60">
        <f t="shared" si="59"/>
        <v>48.013050373105912</v>
      </c>
      <c r="L196" s="60">
        <f t="shared" si="59"/>
        <v>57.58455340997061</v>
      </c>
      <c r="M196" s="60">
        <f t="shared" si="59"/>
        <v>61.593877241897886</v>
      </c>
      <c r="N196" s="60">
        <f t="shared" si="59"/>
        <v>68.230802074725503</v>
      </c>
      <c r="O196" s="60">
        <f t="shared" si="59"/>
        <v>69.72511404101806</v>
      </c>
      <c r="P196" s="60">
        <f t="shared" si="59"/>
        <v>98.466124291911825</v>
      </c>
      <c r="Q196" s="60">
        <f t="shared" si="59"/>
        <v>73.236606431766916</v>
      </c>
      <c r="R196" s="60">
        <f t="shared" si="59"/>
        <v>82.088228811233705</v>
      </c>
      <c r="S196" s="60">
        <f t="shared" si="59"/>
        <v>85.405629982501736</v>
      </c>
      <c r="T196" s="60">
        <f t="shared" si="59"/>
        <v>91.642865740078946</v>
      </c>
      <c r="U196" s="60">
        <f t="shared" si="59"/>
        <v>97.22140825554709</v>
      </c>
      <c r="V196" s="60">
        <f t="shared" si="59"/>
        <v>78.183450240836322</v>
      </c>
    </row>
    <row r="197" spans="3:22" x14ac:dyDescent="0.2">
      <c r="C197" s="88" t="s">
        <v>150</v>
      </c>
      <c r="D197" s="62">
        <f t="shared" ref="D197:V197" si="60">+IFERROR(IF(D158&gt;0,+((D158/D40)*100)," "),"")</f>
        <v>96.770403179155423</v>
      </c>
      <c r="E197" s="62">
        <f t="shared" si="60"/>
        <v>91.577766534121508</v>
      </c>
      <c r="F197" s="62">
        <f t="shared" si="60"/>
        <v>91.606372806803108</v>
      </c>
      <c r="G197" s="62">
        <f t="shared" si="60"/>
        <v>94.391354836426814</v>
      </c>
      <c r="H197" s="62">
        <f t="shared" si="60"/>
        <v>95.328312078975131</v>
      </c>
      <c r="I197" s="62">
        <f t="shared" si="60"/>
        <v>95.603673080763286</v>
      </c>
      <c r="J197" s="62">
        <f t="shared" si="60"/>
        <v>90.562916867173357</v>
      </c>
      <c r="K197" s="62">
        <f t="shared" si="60"/>
        <v>87.060510652522709</v>
      </c>
      <c r="L197" s="62">
        <f t="shared" si="60"/>
        <v>83.361904981088671</v>
      </c>
      <c r="M197" s="62">
        <f t="shared" si="60"/>
        <v>83.964970326790294</v>
      </c>
      <c r="N197" s="62">
        <f t="shared" si="60"/>
        <v>93.188634848833431</v>
      </c>
      <c r="O197" s="62">
        <f t="shared" si="60"/>
        <v>85.185446141331596</v>
      </c>
      <c r="P197" s="62">
        <f t="shared" si="60"/>
        <v>94.734067422673334</v>
      </c>
      <c r="Q197" s="62">
        <f t="shared" si="60"/>
        <v>89.566421337407249</v>
      </c>
      <c r="R197" s="62">
        <f t="shared" si="60"/>
        <v>94.46478376481619</v>
      </c>
      <c r="S197" s="62">
        <f t="shared" si="60"/>
        <v>96.780679953287986</v>
      </c>
      <c r="T197" s="62">
        <f t="shared" si="60"/>
        <v>94.507056957971614</v>
      </c>
      <c r="U197" s="62">
        <f t="shared" si="60"/>
        <v>89.915730773339902</v>
      </c>
      <c r="V197" s="62">
        <f t="shared" si="60"/>
        <v>94.756414835545016</v>
      </c>
    </row>
    <row r="198" spans="3:22" x14ac:dyDescent="0.2">
      <c r="C198" s="87" t="s">
        <v>151</v>
      </c>
      <c r="D198" s="60">
        <f t="shared" ref="D198:V198" si="61">+IFERROR(IF(D159&gt;0,+((D159/D41)*100)," "),"")</f>
        <v>87.62534279175209</v>
      </c>
      <c r="E198" s="60">
        <f t="shared" si="61"/>
        <v>75.181704125230681</v>
      </c>
      <c r="F198" s="60">
        <f t="shared" si="61"/>
        <v>53.033729211189062</v>
      </c>
      <c r="G198" s="60">
        <f t="shared" si="61"/>
        <v>46.777545768732807</v>
      </c>
      <c r="H198" s="60">
        <f t="shared" si="61"/>
        <v>44.089308103061313</v>
      </c>
      <c r="I198" s="60">
        <f t="shared" si="61"/>
        <v>81.710681984632771</v>
      </c>
      <c r="J198" s="60">
        <f t="shared" si="61"/>
        <v>45.280045729505531</v>
      </c>
      <c r="K198" s="60">
        <f t="shared" si="61"/>
        <v>56.29212552312972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179</v>
      </c>
      <c r="D199" s="64">
        <f t="shared" ref="D199:V199" si="62">+IFERROR(IF(D160&gt;0,+((D160/D42)*100)," "),"")</f>
        <v>79.449599783721965</v>
      </c>
      <c r="E199" s="64">
        <f t="shared" si="62"/>
        <v>76.58091645480927</v>
      </c>
      <c r="F199" s="64">
        <f t="shared" si="62"/>
        <v>78.743843556625109</v>
      </c>
      <c r="G199" s="64">
        <f t="shared" si="62"/>
        <v>79.671929942762773</v>
      </c>
      <c r="H199" s="64">
        <f t="shared" si="62"/>
        <v>85.655760097843284</v>
      </c>
      <c r="I199" s="64">
        <f t="shared" si="62"/>
        <v>89.429824094994018</v>
      </c>
      <c r="J199" s="64">
        <f t="shared" si="62"/>
        <v>72.40185176692134</v>
      </c>
      <c r="K199" s="64">
        <f t="shared" si="62"/>
        <v>81.29026817486799</v>
      </c>
      <c r="L199" s="64">
        <f t="shared" si="62"/>
        <v>83.245902238485073</v>
      </c>
      <c r="M199" s="64">
        <f t="shared" si="62"/>
        <v>80.224357357469273</v>
      </c>
      <c r="N199" s="64">
        <f t="shared" si="62"/>
        <v>86.272473292677105</v>
      </c>
      <c r="O199" s="64">
        <f t="shared" si="62"/>
        <v>84.137071424134064</v>
      </c>
      <c r="P199" s="64">
        <f t="shared" si="62"/>
        <v>84.440042237713101</v>
      </c>
      <c r="Q199" s="64">
        <f t="shared" si="62"/>
        <v>81.477332740610649</v>
      </c>
      <c r="R199" s="64">
        <f t="shared" si="62"/>
        <v>86.203243971770036</v>
      </c>
      <c r="S199" s="64">
        <f t="shared" si="62"/>
        <v>87.747360332174068</v>
      </c>
      <c r="T199" s="64">
        <f t="shared" si="62"/>
        <v>91.157152643956351</v>
      </c>
      <c r="U199" s="64">
        <f t="shared" si="62"/>
        <v>93.280911719467809</v>
      </c>
      <c r="V199" s="64">
        <f t="shared" si="62"/>
        <v>88.9165623744953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55" t="s">
        <v>199</v>
      </c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76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60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12.6082097435*Deflactores!$A$5</f>
        <v>46.949354204365285</v>
      </c>
      <c r="E208" s="56">
        <f>5.6994505455*Deflactores!$B$5</f>
        <v>19.715236703259468</v>
      </c>
      <c r="F208" s="56">
        <f>9.103078749*Deflactores!$C$5</f>
        <v>29.431110393706224</v>
      </c>
      <c r="G208" s="56">
        <f>6.499478341*Deflactores!$D$5</f>
        <v>19.732516201135361</v>
      </c>
      <c r="H208" s="56">
        <f>3.381176139*Deflactores!$E$5</f>
        <v>9.7304230731432693</v>
      </c>
      <c r="I208" s="56">
        <f>4.126101823*Deflactores!$F$5</f>
        <v>11.324369711805593</v>
      </c>
      <c r="J208" s="56">
        <f>9.080679031*Deflactores!$G$5</f>
        <v>23.854361025688068</v>
      </c>
      <c r="K208" s="56">
        <f>4.089556098*Deflactores!$H$5</f>
        <v>10.164204709673614</v>
      </c>
      <c r="L208" s="56">
        <f>6.144397663*Deflactores!$I$5</f>
        <v>14.182872660746968</v>
      </c>
      <c r="M208" s="56">
        <f>6.134787121*Deflactores!$J$5</f>
        <v>13.882782374566146</v>
      </c>
      <c r="N208" s="56">
        <f>6.193886111*Deflactores!$K$5</f>
        <v>13.585688689971718</v>
      </c>
      <c r="O208" s="56">
        <f>5.80756719420999*Deflactores!$L$5</f>
        <v>12.280673557645974</v>
      </c>
      <c r="P208" s="56">
        <f>6.28947374928*Deflactores!$M$5</f>
        <v>12.982929024378116</v>
      </c>
      <c r="Q208" s="56">
        <f>12.03369684887*Deflactores!$N$5</f>
        <v>24.367603053029562</v>
      </c>
      <c r="R208" s="56">
        <f>14.191024809*Deflactores!$O$5</f>
        <v>27.721472776465333</v>
      </c>
      <c r="S208" s="56">
        <f>11.53214578222*Deflactores!$P$5</f>
        <v>21.099075267469203</v>
      </c>
      <c r="T208" s="56">
        <f>10.17973956555*Deflactores!$Q$5</f>
        <v>17.612036987215053</v>
      </c>
      <c r="U208" s="56">
        <f>7.97963345122*Deflactores!$R$5</f>
        <v>13.263155311788212</v>
      </c>
      <c r="V208" s="56">
        <f>8.64939214389*Deflactores!$S$5</f>
        <v>13.933299642909379</v>
      </c>
    </row>
    <row r="209" spans="3:22" x14ac:dyDescent="0.2">
      <c r="C209" s="88" t="s">
        <v>124</v>
      </c>
      <c r="D209" s="57">
        <f>0*Deflactores!$A$5</f>
        <v>0</v>
      </c>
      <c r="E209" s="57">
        <f>0*Deflactores!$B$5</f>
        <v>0</v>
      </c>
      <c r="F209" s="57">
        <f>0*Deflactores!$C$5</f>
        <v>0</v>
      </c>
      <c r="G209" s="57">
        <f>0*Deflactores!$D$5</f>
        <v>0</v>
      </c>
      <c r="H209" s="57">
        <f>0*Deflactores!$E$5</f>
        <v>0</v>
      </c>
      <c r="I209" s="57">
        <f>0*Deflactores!$F$5</f>
        <v>0</v>
      </c>
      <c r="J209" s="57">
        <f>0*Deflactores!$G$5</f>
        <v>0</v>
      </c>
      <c r="K209" s="57">
        <f>0*Deflactores!$H$5</f>
        <v>0</v>
      </c>
      <c r="L209" s="57">
        <f>0*Deflactores!$I$5</f>
        <v>0</v>
      </c>
      <c r="M209" s="57">
        <f>0*Deflactores!$J$5</f>
        <v>0</v>
      </c>
      <c r="N209" s="57">
        <f>0*Deflactores!$K$5</f>
        <v>0</v>
      </c>
      <c r="O209" s="57">
        <f>0*Deflactores!$L$5</f>
        <v>0</v>
      </c>
      <c r="P209" s="57">
        <f>6.03270861587*Deflactores!$M$5</f>
        <v>12.452906380849534</v>
      </c>
      <c r="Q209" s="57">
        <f>18.2035166180899*Deflactores!$N$5</f>
        <v>36.861163505252748</v>
      </c>
      <c r="R209" s="57">
        <f>19.00120064863*Deflactores!$O$5</f>
        <v>37.117915977927872</v>
      </c>
      <c r="S209" s="57">
        <f>20.301550801*Deflactores!$P$5</f>
        <v>37.143473251704776</v>
      </c>
      <c r="T209" s="57">
        <f>24.515086158*Deflactores!$Q$5</f>
        <v>42.413718089666297</v>
      </c>
      <c r="U209" s="57">
        <f>23.65193715485*Deflactores!$R$5</f>
        <v>39.312496974590793</v>
      </c>
      <c r="V209" s="57">
        <f>29.578129214*Deflactores!$S$5</f>
        <v>47.647387279865583</v>
      </c>
    </row>
    <row r="210" spans="3:22" x14ac:dyDescent="0.2">
      <c r="C210" s="87" t="s">
        <v>125</v>
      </c>
      <c r="D210" s="56">
        <f>1.142020384*Deflactores!$A$5</f>
        <v>4.2525561207976317</v>
      </c>
      <c r="E210" s="56">
        <f>1.450197159*Deflactores!$B$5</f>
        <v>5.0164450112920802</v>
      </c>
      <c r="F210" s="56">
        <f>1.580813496*Deflactores!$C$5</f>
        <v>5.1109188215852344</v>
      </c>
      <c r="G210" s="56">
        <f>1.37947261233999*Deflactores!$D$5</f>
        <v>4.1881000664790697</v>
      </c>
      <c r="H210" s="56">
        <f>1.24617780736*Deflactores!$E$5</f>
        <v>3.5862779078883218</v>
      </c>
      <c r="I210" s="56">
        <f>1.3048335992*Deflactores!$F$5</f>
        <v>3.5812053903660437</v>
      </c>
      <c r="J210" s="56">
        <f>1.620271431*Deflactores!$G$5</f>
        <v>4.2563490618637001</v>
      </c>
      <c r="K210" s="56">
        <f>1.432982987*Deflactores!$H$5</f>
        <v>3.5615436189934284</v>
      </c>
      <c r="L210" s="56">
        <f>2.33281676875*Deflactores!$I$5</f>
        <v>5.384749651096346</v>
      </c>
      <c r="M210" s="56">
        <f>2.34608966398*Deflactores!$J$5</f>
        <v>5.3091087912019104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34.50924641438*Deflactores!$A$5</f>
        <v>128.5025286059915</v>
      </c>
      <c r="E211" s="57">
        <f>33.423653107*Deflactores!$B$5</f>
        <v>115.6173261319754</v>
      </c>
      <c r="F211" s="57">
        <f>35.82978882*Deflactores!$C$5</f>
        <v>115.84107961940262</v>
      </c>
      <c r="G211" s="57">
        <f>35.938030937*Deflactores!$D$5</f>
        <v>109.1084146288805</v>
      </c>
      <c r="H211" s="57">
        <f>36.473777768*Deflactores!$E$5</f>
        <v>104.96504002403503</v>
      </c>
      <c r="I211" s="57">
        <f>43.440416327*Deflactores!$F$5</f>
        <v>119.22520481184547</v>
      </c>
      <c r="J211" s="57">
        <f>46.325863879*Deflactores!$G$5</f>
        <v>121.6950712632834</v>
      </c>
      <c r="K211" s="57">
        <f>51.412360131*Deflactores!$H$5</f>
        <v>127.78055624044558</v>
      </c>
      <c r="L211" s="57">
        <f>76.5782394062*Deflactores!$I$5</f>
        <v>176.7625530851534</v>
      </c>
      <c r="M211" s="57">
        <f>83.87282128425*Deflactores!$J$5</f>
        <v>189.80090132945335</v>
      </c>
      <c r="N211" s="57">
        <f>92.75336969705*Deflactores!$K$5</f>
        <v>203.44552403249341</v>
      </c>
      <c r="O211" s="57">
        <f>86.6944450143299*Deflactores!$L$5</f>
        <v>183.3239535383631</v>
      </c>
      <c r="P211" s="57">
        <f>119.35233845626*Deflactores!$M$5</f>
        <v>246.37084132016059</v>
      </c>
      <c r="Q211" s="57">
        <f>138.95179852356*Deflactores!$N$5</f>
        <v>281.37008206622704</v>
      </c>
      <c r="R211" s="57">
        <f>157.79805960078*Deflactores!$O$5</f>
        <v>308.25079036066649</v>
      </c>
      <c r="S211" s="57">
        <f>166.72101500427*Deflactores!$P$5</f>
        <v>305.03076449721971</v>
      </c>
      <c r="T211" s="57">
        <f>175.95718118851*Deflactores!$Q$5</f>
        <v>304.4247216054103</v>
      </c>
      <c r="U211" s="57">
        <f>180.78444063622*Deflactores!$R$5</f>
        <v>300.48649837999119</v>
      </c>
      <c r="V211" s="57">
        <f>187.347886535229*Deflactores!$S$5</f>
        <v>301.79857695608388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0.50575862*Deflactores!$A$5</f>
        <v>1.8832999351499873</v>
      </c>
      <c r="E213" s="57">
        <f>0.56435017131*Deflactores!$B$5</f>
        <v>1.9521701472936621</v>
      </c>
      <c r="F213" s="57">
        <f>0.437075431*Deflactores!$C$5</f>
        <v>1.4131060067508296</v>
      </c>
      <c r="G213" s="57">
        <f>0.30070527*Deflactores!$D$5</f>
        <v>0.91294582437655103</v>
      </c>
      <c r="H213" s="57">
        <f>0.3700221456*Deflactores!$E$5</f>
        <v>1.064857870487953</v>
      </c>
      <c r="I213" s="57">
        <f>0.456210892*Deflactores!$F$5</f>
        <v>1.252102112158809</v>
      </c>
      <c r="J213" s="57">
        <f>0.594173916*Deflactores!$G$5</f>
        <v>1.560856743854099</v>
      </c>
      <c r="K213" s="57">
        <f>1.296826896*Deflactores!$H$5</f>
        <v>3.2231405385051195</v>
      </c>
      <c r="L213" s="57">
        <f>1.49617337*Deflactores!$I$5</f>
        <v>3.4535584363122065</v>
      </c>
      <c r="M213" s="57">
        <f>1.89512047*Deflactores!$J$5</f>
        <v>4.2885832123718295</v>
      </c>
      <c r="N213" s="57">
        <f>1.84380936*Deflactores!$K$5</f>
        <v>4.0442170746616739</v>
      </c>
      <c r="O213" s="57">
        <f>1.81237722*Deflactores!$L$5</f>
        <v>3.8324503630924571</v>
      </c>
      <c r="P213" s="57">
        <f>2.01278819251*Deflactores!$M$5</f>
        <v>4.1548605314483025</v>
      </c>
      <c r="Q213" s="57">
        <f>2.42431394014*Deflactores!$N$5</f>
        <v>4.9091081910381416</v>
      </c>
      <c r="R213" s="57">
        <f>2.8592637408*Deflactores!$O$5</f>
        <v>5.5854318499290292</v>
      </c>
      <c r="S213" s="57">
        <f>2.38869962088*Deflactores!$P$5</f>
        <v>4.3703361060546806</v>
      </c>
      <c r="T213" s="57">
        <f>2.93212989186*Deflactores!$Q$5</f>
        <v>5.0728979630793827</v>
      </c>
      <c r="U213" s="57">
        <f>3.71425983083*Deflactores!$R$5</f>
        <v>6.1735674083002836</v>
      </c>
      <c r="V213" s="57">
        <f>3.03159534269999*Deflactores!$S$5</f>
        <v>4.8835947778973434</v>
      </c>
    </row>
    <row r="214" spans="3:22" x14ac:dyDescent="0.2">
      <c r="C214" s="87" t="s">
        <v>129</v>
      </c>
      <c r="D214" s="56">
        <f>467.44202626371*Deflactores!$A$5</f>
        <v>1740.6199379237937</v>
      </c>
      <c r="E214" s="56">
        <f>604.7744822923*Deflactores!$B$5</f>
        <v>2092.0037774339339</v>
      </c>
      <c r="F214" s="56">
        <f>643.93354957902*Deflactores!$C$5</f>
        <v>2081.8977739759898</v>
      </c>
      <c r="G214" s="56">
        <f>765.05560261443*Deflactores!$D$5</f>
        <v>2322.7205756079024</v>
      </c>
      <c r="H214" s="56">
        <f>788.68645471203*Deflactores!$E$5</f>
        <v>2269.6992291786373</v>
      </c>
      <c r="I214" s="56">
        <f>904.74869904569*Deflactores!$F$5</f>
        <v>2483.1449159000858</v>
      </c>
      <c r="J214" s="56">
        <f>718.497046467749*Deflactores!$G$5</f>
        <v>1887.4456286607469</v>
      </c>
      <c r="K214" s="56">
        <f>949.249635101549*Deflactores!$H$5</f>
        <v>2359.270145841419</v>
      </c>
      <c r="L214" s="56">
        <f>1036.83449187328*Deflactores!$I$5</f>
        <v>2393.2844804398883</v>
      </c>
      <c r="M214" s="56">
        <f>1237.69709224681*Deflactores!$J$5</f>
        <v>2800.8599220138744</v>
      </c>
      <c r="N214" s="56">
        <f>1468.42746233246*Deflactores!$K$5</f>
        <v>3220.8532752361375</v>
      </c>
      <c r="O214" s="56">
        <f>1435.37607462864*Deflactores!$L$5</f>
        <v>3035.2442624415448</v>
      </c>
      <c r="P214" s="56">
        <f>1487.43401062475*Deflactores!$M$5</f>
        <v>3070.407947977827</v>
      </c>
      <c r="Q214" s="56">
        <f>1550.84508257122*Deflactores!$N$5</f>
        <v>3140.3797057083898</v>
      </c>
      <c r="R214" s="56">
        <f>1555.79008900623*Deflactores!$O$5</f>
        <v>3039.1598336808161</v>
      </c>
      <c r="S214" s="56">
        <f>1689.99746255371*Deflactores!$P$5</f>
        <v>3091.9990379612118</v>
      </c>
      <c r="T214" s="56">
        <f>1851.71456493836*Deflactores!$Q$5</f>
        <v>3203.6640227835937</v>
      </c>
      <c r="U214" s="56">
        <f>1888.51246366402*Deflactores!$R$5</f>
        <v>3138.9454499309336</v>
      </c>
      <c r="V214" s="56">
        <f>1679.42034290053*Deflactores!$S$5</f>
        <v>2705.3770339873599</v>
      </c>
    </row>
    <row r="215" spans="3:22" x14ac:dyDescent="0.2">
      <c r="C215" s="88" t="s">
        <v>130</v>
      </c>
      <c r="D215" s="57">
        <f>0.989630488*Deflactores!$A$5</f>
        <v>3.6850998879126369</v>
      </c>
      <c r="E215" s="57">
        <f>0.83378949585*Deflactores!$B$5</f>
        <v>2.8842003523222122</v>
      </c>
      <c r="F215" s="57">
        <f>1.54010826742*Deflactores!$C$5</f>
        <v>4.9793149863365684</v>
      </c>
      <c r="G215" s="57">
        <f>0.983742357059999*Deflactores!$D$5</f>
        <v>2.9866569253683921</v>
      </c>
      <c r="H215" s="57">
        <f>1.48043865177*Deflactores!$E$5</f>
        <v>4.2604389192857495</v>
      </c>
      <c r="I215" s="57">
        <f>1.694636206*Deflactores!$F$5</f>
        <v>4.6510454048374426</v>
      </c>
      <c r="J215" s="57">
        <f>3.02920409623*Deflactores!$G$5</f>
        <v>7.9575247495567547</v>
      </c>
      <c r="K215" s="57">
        <f>3.1189435935*Deflactores!$H$5</f>
        <v>7.7518391733916365</v>
      </c>
      <c r="L215" s="57">
        <f>3.44737295337*Deflactores!$I$5</f>
        <v>7.9574360732175649</v>
      </c>
      <c r="M215" s="57">
        <f>3.3488631271*Deflactores!$J$5</f>
        <v>7.5783457646954178</v>
      </c>
      <c r="N215" s="57">
        <f>3.07297644742*Deflactores!$K$5</f>
        <v>6.7402759137143846</v>
      </c>
      <c r="O215" s="57">
        <f>2.08930841197*Deflactores!$L$5</f>
        <v>4.4180486786666577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49.68585955566*Deflactores!$A$5</f>
        <v>185.01587986586534</v>
      </c>
      <c r="E216" s="56">
        <f>52.48823874357*Deflactores!$B$5</f>
        <v>181.5645284936663</v>
      </c>
      <c r="F216" s="56">
        <f>58.84999644459*Deflactores!$C$5</f>
        <v>190.26757757316057</v>
      </c>
      <c r="G216" s="56">
        <f>60.52754329027*Deflactores!$D$5</f>
        <v>183.76255230453037</v>
      </c>
      <c r="H216" s="56">
        <f>70.79079810713*Deflactores!$E$5</f>
        <v>203.72331607414219</v>
      </c>
      <c r="I216" s="56">
        <f>45.91322633855*Deflactores!$F$5</f>
        <v>126.01200164796573</v>
      </c>
      <c r="J216" s="56">
        <f>66.6796259750599*Deflactores!$G$5</f>
        <v>175.16309800587274</v>
      </c>
      <c r="K216" s="56">
        <f>42.1491944836999*Deflactores!$H$5</f>
        <v>104.7578345458294</v>
      </c>
      <c r="L216" s="56">
        <f>27.26696899589*Deflactores!$I$5</f>
        <v>62.939277423724825</v>
      </c>
      <c r="M216" s="56">
        <f>29.6609502162*Deflactores!$J$5</f>
        <v>67.121565712491048</v>
      </c>
      <c r="N216" s="56">
        <f>7.29869181578*Deflactores!$K$5</f>
        <v>16.008972892984385</v>
      </c>
      <c r="O216" s="56">
        <f>5.66976045124*Deflactores!$L$5</f>
        <v>11.989267609533291</v>
      </c>
      <c r="P216" s="56">
        <f>8.84448758266*Deflactores!$M$5</f>
        <v>18.257068734218574</v>
      </c>
      <c r="Q216" s="56">
        <f>8.39705543843*Deflactores!$N$5</f>
        <v>17.003595512476238</v>
      </c>
      <c r="R216" s="56">
        <f>11.14250181288*Deflactores!$O$5</f>
        <v>21.766332229337767</v>
      </c>
      <c r="S216" s="56">
        <f>10.0504867117299*Deflactores!$P$5</f>
        <v>18.388249646690319</v>
      </c>
      <c r="T216" s="56">
        <f>11.9507252883499*Deflactores!$Q$5</f>
        <v>20.676031488541614</v>
      </c>
      <c r="U216" s="56">
        <f>11.05721038262*Deflactores!$R$5</f>
        <v>18.378475592432693</v>
      </c>
      <c r="V216" s="56">
        <f>11.8052603547599*Deflactores!$S$5</f>
        <v>19.01708549561171</v>
      </c>
    </row>
    <row r="217" spans="3:22" x14ac:dyDescent="0.2">
      <c r="C217" s="88" t="s">
        <v>132</v>
      </c>
      <c r="D217" s="57">
        <f>19.6132986696*Deflactores!$A$5</f>
        <v>73.034294724497244</v>
      </c>
      <c r="E217" s="57">
        <f>19.14075995399*Deflactores!$B$5</f>
        <v>66.210700515882309</v>
      </c>
      <c r="F217" s="57">
        <f>23.30623954141*Deflactores!$C$5</f>
        <v>75.351266062676885</v>
      </c>
      <c r="G217" s="57">
        <f>24.0441809363299*Deflactores!$D$5</f>
        <v>72.998503106968002</v>
      </c>
      <c r="H217" s="57">
        <f>23.3487703042699*Deflactores!$E$5</f>
        <v>67.193604816276704</v>
      </c>
      <c r="I217" s="57">
        <f>23.78670927328*Deflactores!$F$5</f>
        <v>65.284256567862514</v>
      </c>
      <c r="J217" s="57">
        <f>30.18958552318*Deflactores!$G$5</f>
        <v>79.306103632485232</v>
      </c>
      <c r="K217" s="57">
        <f>32.54820599553*Deflactores!$H$5</f>
        <v>80.895486146524306</v>
      </c>
      <c r="L217" s="57">
        <f>33.34835557517*Deflactores!$I$5</f>
        <v>76.976704065898161</v>
      </c>
      <c r="M217" s="57">
        <f>31.0637797348499*Deflactores!$J$5</f>
        <v>70.296113831588514</v>
      </c>
      <c r="N217" s="57">
        <f>32.60986443218*Deflactores!$K$5</f>
        <v>71.526576120117284</v>
      </c>
      <c r="O217" s="57">
        <f>30.82219993171*Deflactores!$L$5</f>
        <v>65.176581351861344</v>
      </c>
      <c r="P217" s="57">
        <f>33.81395881538*Deflactores!$M$5</f>
        <v>69.799834586093809</v>
      </c>
      <c r="Q217" s="57">
        <f>36.76324356908*Deflactores!$N$5</f>
        <v>74.443634195197845</v>
      </c>
      <c r="R217" s="57">
        <f>39.9176258071299*Deflactores!$O$5</f>
        <v>77.977129348099467</v>
      </c>
      <c r="S217" s="57">
        <f>41.13587161388*Deflactores!$P$5</f>
        <v>75.261696111434588</v>
      </c>
      <c r="T217" s="57">
        <f>44.8384191343399*Deflactores!$Q$5</f>
        <v>77.575255354735503</v>
      </c>
      <c r="U217" s="57">
        <f>45.9804248912299*Deflactores!$R$5</f>
        <v>76.425254413303406</v>
      </c>
      <c r="V217" s="57">
        <f>50.9001707147799*Deflactores!$S$5</f>
        <v>81.995048744004393</v>
      </c>
    </row>
    <row r="218" spans="3:22" x14ac:dyDescent="0.2">
      <c r="C218" s="87" t="s">
        <v>133</v>
      </c>
      <c r="D218" s="56">
        <f>0.11023688475*Deflactores!$A$5</f>
        <v>0.41049051798822844</v>
      </c>
      <c r="E218" s="56">
        <f>0.109448148*Deflactores!$B$5</f>
        <v>0.37859722219312197</v>
      </c>
      <c r="F218" s="56">
        <f>0.2248409222*Deflactores!$C$5</f>
        <v>0.7269318639056972</v>
      </c>
      <c r="G218" s="56">
        <f>0.0488681294799999*Deflactores!$D$5</f>
        <v>0.14836439266215234</v>
      </c>
      <c r="H218" s="56">
        <f>0.21256479943*Deflactores!$E$5</f>
        <v>0.61172365587658117</v>
      </c>
      <c r="I218" s="56">
        <f>0.1591493854*Deflactores!$F$5</f>
        <v>0.43679641390086832</v>
      </c>
      <c r="J218" s="56">
        <f>0.173017925599999*Deflactores!$G$5</f>
        <v>0.45450698643661969</v>
      </c>
      <c r="K218" s="56">
        <f>0.43943893938*Deflactores!$H$5</f>
        <v>1.0921839021708351</v>
      </c>
      <c r="L218" s="56">
        <f>0.092154046*Deflactores!$I$5</f>
        <v>0.21271557787691622</v>
      </c>
      <c r="M218" s="56">
        <f>0.135209484*Deflactores!$J$5</f>
        <v>0.30597375333920462</v>
      </c>
      <c r="N218" s="56">
        <f>0.098582883*Deflactores!$K$5</f>
        <v>0.21623199629378931</v>
      </c>
      <c r="O218" s="56">
        <f>0.283499635*Deflactores!$L$5</f>
        <v>0.59948793612200069</v>
      </c>
      <c r="P218" s="56">
        <f>0.317228090779999*Deflactores!$M$5</f>
        <v>0.65483217695394369</v>
      </c>
      <c r="Q218" s="56">
        <f>0.15923612012*Deflactores!$N$5</f>
        <v>0.3224447661861331</v>
      </c>
      <c r="R218" s="56">
        <f>0.17737333378*Deflactores!$O$5</f>
        <v>0.34649013089842234</v>
      </c>
      <c r="S218" s="56">
        <f>0.74580149316*Deflactores!$P$5</f>
        <v>1.3645094448107598</v>
      </c>
      <c r="T218" s="56">
        <f>0.98598614302*Deflactores!$Q$5</f>
        <v>1.7058613639308293</v>
      </c>
      <c r="U218" s="56">
        <f>1.127453427*Deflactores!$R$5</f>
        <v>1.8739695251067743</v>
      </c>
      <c r="V218" s="56">
        <f>2.20701456291*Deflactores!$S$5</f>
        <v>3.5552781871512731</v>
      </c>
    </row>
    <row r="219" spans="3:22" x14ac:dyDescent="0.2">
      <c r="C219" s="88" t="s">
        <v>134</v>
      </c>
      <c r="D219" s="57">
        <f>79.9160354450899*Deflactores!$A$5</f>
        <v>297.58437804022378</v>
      </c>
      <c r="E219" s="57">
        <f>92.1360217102*Deflactores!$B$5</f>
        <v>318.71203415344132</v>
      </c>
      <c r="F219" s="57">
        <f>99.69981202314*Deflactores!$C$5</f>
        <v>322.33887619692746</v>
      </c>
      <c r="G219" s="57">
        <f>89.11250620003*Deflactores!$D$5</f>
        <v>270.54693931718225</v>
      </c>
      <c r="H219" s="57">
        <f>100.495015813179*Deflactores!$E$5</f>
        <v>289.20676723267707</v>
      </c>
      <c r="I219" s="57">
        <f>95.59790637858*Deflactores!$F$5</f>
        <v>262.3750168914865</v>
      </c>
      <c r="J219" s="57">
        <f>106.899505513219*Deflactores!$G$5</f>
        <v>280.81814028163478</v>
      </c>
      <c r="K219" s="57">
        <f>122.88818469346*Deflactores!$H$5</f>
        <v>305.42695483144519</v>
      </c>
      <c r="L219" s="57">
        <f>130.00370759976*Deflactores!$I$5</f>
        <v>300.0824704780145</v>
      </c>
      <c r="M219" s="57">
        <f>139.642243668559*Deflactores!$J$5</f>
        <v>316.00491441840558</v>
      </c>
      <c r="N219" s="57">
        <f>146.56634292729*Deflactores!$K$5</f>
        <v>321.47906366917698</v>
      </c>
      <c r="O219" s="57">
        <f>154.15239543219*Deflactores!$L$5</f>
        <v>325.97044220499998</v>
      </c>
      <c r="P219" s="57">
        <f>144.77502252751*Deflactores!$M$5</f>
        <v>298.8491433313601</v>
      </c>
      <c r="Q219" s="57">
        <f>150.79621866457*Deflactores!$N$5</f>
        <v>305.35440974326525</v>
      </c>
      <c r="R219" s="57">
        <f>136.23438349185*Deflactores!$O$5</f>
        <v>266.12720392065785</v>
      </c>
      <c r="S219" s="57">
        <f>140.13023866428*Deflactores!$P$5</f>
        <v>256.38059981729623</v>
      </c>
      <c r="T219" s="57">
        <f>144.75386870806*Deflactores!$Q$5</f>
        <v>250.43965745022305</v>
      </c>
      <c r="U219" s="57">
        <f>152.51290151378*Deflactores!$R$5</f>
        <v>253.49564139684375</v>
      </c>
      <c r="V219" s="57">
        <f>171.64475958478*Deflactores!$S$5</f>
        <v>276.50242093825187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113.88445927903*Deflactores!$A$5</f>
        <v>424.0730385866454</v>
      </c>
      <c r="E221" s="57">
        <f>125.20553268788*Deflactores!$B$5</f>
        <v>433.10433063555814</v>
      </c>
      <c r="F221" s="57">
        <f>131.91191890473*Deflactores!$C$5</f>
        <v>426.48364960670199</v>
      </c>
      <c r="G221" s="57">
        <f>129.18089112529*Deflactores!$D$5</f>
        <v>392.19517217664776</v>
      </c>
      <c r="H221" s="57">
        <f>130.961650268149*Deflactores!$E$5</f>
        <v>376.88431808317466</v>
      </c>
      <c r="I221" s="57">
        <f>133.68393769252*Deflactores!$F$5</f>
        <v>366.90474445426202</v>
      </c>
      <c r="J221" s="57">
        <f>139.83944531141*Deflactores!$G$5</f>
        <v>367.34924807963256</v>
      </c>
      <c r="K221" s="57">
        <f>149.64844428798*Deflactores!$H$5</f>
        <v>371.93704787937497</v>
      </c>
      <c r="L221" s="57">
        <f>187.01965777983*Deflactores!$I$5</f>
        <v>431.6901569246308</v>
      </c>
      <c r="M221" s="57">
        <f>219.13666398*Deflactores!$J$5</f>
        <v>495.8976662627652</v>
      </c>
      <c r="N221" s="57">
        <f>239.57538406994*Deflactores!$K$5</f>
        <v>525.48537823036088</v>
      </c>
      <c r="O221" s="57">
        <f>178.27370357667*Deflactores!$L$5</f>
        <v>376.97732705018552</v>
      </c>
      <c r="P221" s="57">
        <f>253.658750477719*Deflactores!$M$5</f>
        <v>523.61035042743663</v>
      </c>
      <c r="Q221" s="57">
        <f>282.71044608271*Deflactores!$N$5</f>
        <v>572.47378055192485</v>
      </c>
      <c r="R221" s="57">
        <f>303.00007117735*Deflactores!$O$5</f>
        <v>591.89581707185118</v>
      </c>
      <c r="S221" s="57">
        <f>314.528355226*Deflactores!$P$5</f>
        <v>575.45729701911102</v>
      </c>
      <c r="T221" s="57">
        <f>348.55094492572*Deflactores!$Q$5</f>
        <v>603.03037169388244</v>
      </c>
      <c r="U221" s="57">
        <f>388.68512879075*Deflactores!$R$5</f>
        <v>646.04361366322507</v>
      </c>
      <c r="V221" s="57">
        <f>548.51459210751*Deflactores!$S$5</f>
        <v>883.60176567332076</v>
      </c>
    </row>
    <row r="222" spans="3:22" x14ac:dyDescent="0.2">
      <c r="C222" s="87" t="s">
        <v>137</v>
      </c>
      <c r="D222" s="56">
        <f>4.32719042338*Deflactores!$A$5</f>
        <v>16.113215121737717</v>
      </c>
      <c r="E222" s="56">
        <f>4.41397300131*Deflactores!$B$5</f>
        <v>15.268581037400502</v>
      </c>
      <c r="F222" s="56">
        <f>4.72732939017*Deflactores!$C$5</f>
        <v>15.283900863187535</v>
      </c>
      <c r="G222" s="56">
        <f>4.35309191942*Deflactores!$D$5</f>
        <v>13.216054015155086</v>
      </c>
      <c r="H222" s="56">
        <f>4.83561542547999*Deflactores!$E$5</f>
        <v>13.916040447054037</v>
      </c>
      <c r="I222" s="56">
        <f>4.8255488529*Deflactores!$F$5</f>
        <v>13.24405010269156</v>
      </c>
      <c r="J222" s="56">
        <f>5.13966661814*Deflactores!$G$5</f>
        <v>13.501574347275131</v>
      </c>
      <c r="K222" s="56">
        <f>5.54355744935999*Deflactores!$H$5</f>
        <v>13.777987484433099</v>
      </c>
      <c r="L222" s="56">
        <f>5.45643915872*Deflactores!$I$5</f>
        <v>12.594884968993759</v>
      </c>
      <c r="M222" s="56">
        <f>6.14778380220999*Deflactores!$J$5</f>
        <v>13.912193353834242</v>
      </c>
      <c r="N222" s="56">
        <f>6.47718154230999*Deflactores!$K$5</f>
        <v>14.207069753183969</v>
      </c>
      <c r="O222" s="56">
        <f>6.65450745214*Deflactores!$L$5</f>
        <v>14.071612255838994</v>
      </c>
      <c r="P222" s="56">
        <f>5.76585045261*Deflactores!$M$5</f>
        <v>11.902049388469671</v>
      </c>
      <c r="Q222" s="56">
        <f>4.50394190487*Deflactores!$N$5</f>
        <v>9.1202454150308654</v>
      </c>
      <c r="R222" s="56">
        <f>6.5366395896*Deflactores!$O$5</f>
        <v>12.769005682925794</v>
      </c>
      <c r="S222" s="56">
        <f>4.1461670507*Deflactores!$P$5</f>
        <v>7.5857773849074306</v>
      </c>
      <c r="T222" s="56">
        <f>3.35292102964*Deflactores!$Q$5</f>
        <v>5.8009115860952143</v>
      </c>
      <c r="U222" s="56">
        <f>3.50324981675*Deflactores!$R$5</f>
        <v>5.8228422019115396</v>
      </c>
      <c r="V222" s="56">
        <f>3.20113486482999*Deflactores!$S$5</f>
        <v>5.1567058733194262</v>
      </c>
    </row>
    <row r="223" spans="3:22" x14ac:dyDescent="0.2">
      <c r="C223" s="88" t="s">
        <v>138</v>
      </c>
      <c r="D223" s="57">
        <f>9.14765210991*Deflactores!$A$5</f>
        <v>34.063230845908556</v>
      </c>
      <c r="E223" s="57">
        <f>10.46735626378*Deflactores!$B$5</f>
        <v>36.208123002436587</v>
      </c>
      <c r="F223" s="57">
        <f>11.81232658489*Deflactores!$C$5</f>
        <v>38.190363646431024</v>
      </c>
      <c r="G223" s="57">
        <f>10.07290727452*Deflactores!$D$5</f>
        <v>30.581501400375256</v>
      </c>
      <c r="H223" s="57">
        <f>23.05132606584*Deflactores!$E$5</f>
        <v>66.337613243637776</v>
      </c>
      <c r="I223" s="57">
        <f>12.2586326969799*Deflactores!$F$5</f>
        <v>33.644658997022745</v>
      </c>
      <c r="J223" s="57">
        <f>18.02747696714*Deflactores!$G$5</f>
        <v>47.357025007531476</v>
      </c>
      <c r="K223" s="57">
        <f>26.5530356990899*Deflactores!$H$5</f>
        <v>65.995057664280793</v>
      </c>
      <c r="L223" s="57">
        <f>36.97247406045*Deflactores!$I$5</f>
        <v>85.342114933379221</v>
      </c>
      <c r="M223" s="57">
        <f>34.01290374117*Deflactores!$J$5</f>
        <v>76.9698656615749</v>
      </c>
      <c r="N223" s="57">
        <f>33.40501669123*Deflactores!$K$5</f>
        <v>73.27066551068522</v>
      </c>
      <c r="O223" s="57">
        <f>24.36573035028*Deflactores!$L$5</f>
        <v>51.523739703560992</v>
      </c>
      <c r="P223" s="57">
        <f>15.6600304078699*Deflactores!$M$5</f>
        <v>32.325926048781533</v>
      </c>
      <c r="Q223" s="57">
        <f>18.6531412231899*Deflactores!$N$5</f>
        <v>37.771629676833328</v>
      </c>
      <c r="R223" s="57">
        <f>43.64793996951*Deflactores!$O$5</f>
        <v>85.264115587070734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101.0040160649*Deflactores!$A$5</f>
        <v>376.10996507566085</v>
      </c>
      <c r="E224" s="56">
        <f>101.54874720031*Deflactores!$B$5</f>
        <v>351.27203438133046</v>
      </c>
      <c r="F224" s="56">
        <f>89.46913587249*Deflactores!$C$5</f>
        <v>289.26213727218573</v>
      </c>
      <c r="G224" s="56">
        <f>92.72976635554*Deflactores!$D$5</f>
        <v>281.52899678048016</v>
      </c>
      <c r="H224" s="56">
        <f>100.63384246076*Deflactores!$E$5</f>
        <v>289.60628561304418</v>
      </c>
      <c r="I224" s="56">
        <f>108.57204692775*Deflactores!$F$5</f>
        <v>297.9834363087524</v>
      </c>
      <c r="J224" s="56">
        <f>140.95876118233*Deflactores!$G$5</f>
        <v>370.28961903598463</v>
      </c>
      <c r="K224" s="56">
        <f>141.71845052634*Deflactores!$H$5</f>
        <v>352.22779875594023</v>
      </c>
      <c r="L224" s="56">
        <f>154.18068720947*Deflactores!$I$5</f>
        <v>355.8892463302422</v>
      </c>
      <c r="M224" s="56">
        <f>265.71613046435*Deflactores!$J$5</f>
        <v>601.30516999049371</v>
      </c>
      <c r="N224" s="56">
        <f>265.113801744659*Deflactores!$K$5</f>
        <v>581.50142146160908</v>
      </c>
      <c r="O224" s="56">
        <f>432.184207154239*Deflactores!$L$5</f>
        <v>913.8961267848473</v>
      </c>
      <c r="P224" s="56">
        <f>436.97529158026*Deflactores!$M$5</f>
        <v>902.01810551207097</v>
      </c>
      <c r="Q224" s="56">
        <f>606.00493753843*Deflactores!$N$5</f>
        <v>1227.1281179481509</v>
      </c>
      <c r="R224" s="56">
        <f>478.05756633181*Deflactores!$O$5</f>
        <v>933.86207050006578</v>
      </c>
      <c r="S224" s="56">
        <f>401.06530819554*Deflactores!$P$5</f>
        <v>733.78426570318902</v>
      </c>
      <c r="T224" s="56">
        <f>439.958477991419*Deflactores!$Q$5</f>
        <v>761.17516929865235</v>
      </c>
      <c r="U224" s="56">
        <f>394.71175610716*Deflactores!$R$5</f>
        <v>656.06062692485432</v>
      </c>
      <c r="V224" s="56">
        <f>407.551479611999*Deflactores!$S$5</f>
        <v>656.52438817407756</v>
      </c>
    </row>
    <row r="225" spans="2:22" x14ac:dyDescent="0.2">
      <c r="C225" s="88" t="s">
        <v>140</v>
      </c>
      <c r="D225" s="57">
        <f>9.14788739097*Deflactores!$A$5</f>
        <v>34.064106965044289</v>
      </c>
      <c r="E225" s="57">
        <f>3.30876914995*Deflactores!$B$5</f>
        <v>11.445518557786537</v>
      </c>
      <c r="F225" s="57">
        <f>6.28558981750999*Deflactores!$C$5</f>
        <v>20.321903491059459</v>
      </c>
      <c r="G225" s="57">
        <f>6.07553758341*Deflactores!$D$5</f>
        <v>18.445425541151842</v>
      </c>
      <c r="H225" s="57">
        <f>1875.45905381793*Deflactores!$E$5</f>
        <v>5397.2373221001935</v>
      </c>
      <c r="I225" s="57">
        <f>2024.92842263116*Deflactores!$F$5</f>
        <v>5557.5550680777715</v>
      </c>
      <c r="J225" s="57">
        <f>66.20080437893*Deflactores!$G$5</f>
        <v>173.90526440312277</v>
      </c>
      <c r="K225" s="57">
        <f>50.16433814383*Deflactores!$H$5</f>
        <v>124.67871568470086</v>
      </c>
      <c r="L225" s="57">
        <f>60.01830363774*Deflactores!$I$5</f>
        <v>138.53790143401935</v>
      </c>
      <c r="M225" s="57">
        <f>59.5657534531999*Deflactores!$J$5</f>
        <v>134.79496123624926</v>
      </c>
      <c r="N225" s="57">
        <f>889.90497780512*Deflactores!$K$5</f>
        <v>1951.9202929232792</v>
      </c>
      <c r="O225" s="57">
        <f>658.26268197178*Deflactores!$L$5</f>
        <v>1391.9613569922067</v>
      </c>
      <c r="P225" s="57">
        <f>93.53042855979*Deflactores!$M$5</f>
        <v>193.06844483617263</v>
      </c>
      <c r="Q225" s="57">
        <f>133.806897349209*Deflactores!$N$5</f>
        <v>270.95192784993372</v>
      </c>
      <c r="R225" s="57">
        <f>322.84943688554*Deflactores!$O$5</f>
        <v>630.67058200360725</v>
      </c>
      <c r="S225" s="57">
        <f>606.142487264839*Deflactores!$P$5</f>
        <v>1108.9910068020204</v>
      </c>
      <c r="T225" s="57">
        <f>400.11826718696*Deflactores!$Q$5</f>
        <v>692.24734833148932</v>
      </c>
      <c r="U225" s="57">
        <f>499.48718751915*Deflactores!$R$5</f>
        <v>830.21058358287269</v>
      </c>
      <c r="V225" s="57">
        <f>410.830616538089*Deflactores!$S$5</f>
        <v>661.80674751231334</v>
      </c>
    </row>
    <row r="226" spans="2:22" x14ac:dyDescent="0.2">
      <c r="C226" s="87" t="s">
        <v>141</v>
      </c>
      <c r="D226" s="56">
        <f>3.65994243305*Deflactores!$A$5</f>
        <v>13.628575123080948</v>
      </c>
      <c r="E226" s="56">
        <f>4.61355744431*Deflactores!$B$5</f>
        <v>15.958972945290633</v>
      </c>
      <c r="F226" s="56">
        <f>8.66981265944*Deflactores!$C$5</f>
        <v>28.030320346372999</v>
      </c>
      <c r="G226" s="56">
        <f>6.99117091621999*Deflactores!$D$5</f>
        <v>21.22530242142356</v>
      </c>
      <c r="H226" s="56">
        <f>8.87624118617999*Deflactores!$E$5</f>
        <v>25.544242148335584</v>
      </c>
      <c r="I226" s="56">
        <f>7.6787925419*Deflactores!$F$5</f>
        <v>21.074973283501308</v>
      </c>
      <c r="J226" s="56">
        <f>19.31408241802*Deflactores!$G$5</f>
        <v>50.736854953963338</v>
      </c>
      <c r="K226" s="56">
        <f>17.15512698518*Deflactores!$H$5</f>
        <v>42.637444827591523</v>
      </c>
      <c r="L226" s="56">
        <f>21.61274863805*Deflactores!$I$5</f>
        <v>49.887861853090413</v>
      </c>
      <c r="M226" s="56">
        <f>23.8206849563799*Deflactores!$J$5</f>
        <v>53.905274745477811</v>
      </c>
      <c r="N226" s="56">
        <f>22.64513221534*Deflactores!$K$5</f>
        <v>49.669902078840273</v>
      </c>
      <c r="O226" s="56">
        <f>18.50534974018*Deflactores!$L$5</f>
        <v>39.131386969709183</v>
      </c>
      <c r="P226" s="56">
        <f>13.30519105253*Deflactores!$M$5</f>
        <v>27.46499277631337</v>
      </c>
      <c r="Q226" s="56">
        <f>17.40140932276*Deflactores!$N$5</f>
        <v>35.236938429284216</v>
      </c>
      <c r="R226" s="56">
        <f>17.58395874182*Deflactores!$O$5</f>
        <v>34.34940324075172</v>
      </c>
      <c r="S226" s="56">
        <f>23.46684912854*Deflactores!$P$5</f>
        <v>42.934665014102393</v>
      </c>
      <c r="T226" s="56">
        <f>29.64830318043*Deflactores!$Q$5</f>
        <v>51.294731938821144</v>
      </c>
      <c r="U226" s="56">
        <f>16.47969322342*Deflactores!$R$5</f>
        <v>27.391324682893266</v>
      </c>
      <c r="V226" s="56">
        <f>16.09895499432*Deflactores!$S$5</f>
        <v>25.933795131722466</v>
      </c>
    </row>
    <row r="227" spans="2:22" x14ac:dyDescent="0.2">
      <c r="C227" s="88" t="s">
        <v>142</v>
      </c>
      <c r="D227" s="57">
        <f>17.11538825423*Deflactores!$A$5</f>
        <v>63.732793302184774</v>
      </c>
      <c r="E227" s="57">
        <f>18.93347451514*Deflactores!$B$5</f>
        <v>65.49366973204765</v>
      </c>
      <c r="F227" s="57">
        <f>18.97453319326*Deflactores!$C$5</f>
        <v>61.346451731094227</v>
      </c>
      <c r="G227" s="57">
        <f>16.74985254325*Deflactores!$D$5</f>
        <v>50.852809923427813</v>
      </c>
      <c r="H227" s="57">
        <f>24.09323610293*Deflactores!$E$5</f>
        <v>69.336044868687196</v>
      </c>
      <c r="I227" s="57">
        <f>20.0509440689399*Deflactores!$F$5</f>
        <v>55.031192502737952</v>
      </c>
      <c r="J227" s="57">
        <f>27.85770142458*Deflactores!$G$5</f>
        <v>73.180393763413932</v>
      </c>
      <c r="K227" s="57">
        <f>31.57022338012*Deflactores!$H$5</f>
        <v>78.464802896968052</v>
      </c>
      <c r="L227" s="57">
        <f>32.31373379355*Deflactores!$I$5</f>
        <v>74.588527097940158</v>
      </c>
      <c r="M227" s="57">
        <f>30.18241545352*Deflactores!$J$5</f>
        <v>68.301621069397228</v>
      </c>
      <c r="N227" s="57">
        <f>49.85474270836*Deflactores!$K$5</f>
        <v>109.35154473563041</v>
      </c>
      <c r="O227" s="57">
        <f>38.39564517507*Deflactores!$L$5</f>
        <v>81.191378190223659</v>
      </c>
      <c r="P227" s="57">
        <f>46.5499770145399*Deflactores!$M$5</f>
        <v>96.08992290259404</v>
      </c>
      <c r="Q227" s="57">
        <f>42.7943446655*Deflactores!$N$5</f>
        <v>86.656296632680991</v>
      </c>
      <c r="R227" s="57">
        <f>87.54519632043*Deflactores!$O$5</f>
        <v>171.01525852931888</v>
      </c>
      <c r="S227" s="57">
        <f>94.07442889497*Deflactores!$P$5</f>
        <v>172.11744401110499</v>
      </c>
      <c r="T227" s="57">
        <f>92.06421400116*Deflactores!$Q$5</f>
        <v>159.28092577874386</v>
      </c>
      <c r="U227" s="57">
        <f>96.00889631835*Deflactores!$R$5</f>
        <v>159.57887175744409</v>
      </c>
      <c r="V227" s="57">
        <f>85.84921855177*Deflactores!$S$5</f>
        <v>138.29444500749167</v>
      </c>
    </row>
    <row r="228" spans="2:22" x14ac:dyDescent="0.2">
      <c r="C228" s="87" t="s">
        <v>143</v>
      </c>
      <c r="D228" s="56">
        <f>0*Deflactores!$A$5</f>
        <v>0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0*Deflactores!$E$5</f>
        <v>0</v>
      </c>
      <c r="I228" s="56">
        <f>0*Deflactores!$F$5</f>
        <v>0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0*Deflactores!$M$5</f>
        <v>0</v>
      </c>
      <c r="Q228" s="56">
        <f>0*Deflactores!$N$5</f>
        <v>0</v>
      </c>
      <c r="R228" s="56">
        <f>0*Deflactores!$O$5</f>
        <v>0</v>
      </c>
      <c r="S228" s="56">
        <f>0*Deflactores!$P$5</f>
        <v>0</v>
      </c>
      <c r="T228" s="56">
        <f>0*Deflactores!$Q$5</f>
        <v>0</v>
      </c>
      <c r="U228" s="56">
        <f>0*Deflactores!$R$5</f>
        <v>0</v>
      </c>
      <c r="V228" s="56">
        <f>0*Deflactores!$S$5</f>
        <v>0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11.73012959609*Deflactores!$A$5</f>
        <v>43.679635766993435</v>
      </c>
      <c r="E230" s="56">
        <f>8.33102160404*Deflactores!$B$5</f>
        <v>28.818227580428601</v>
      </c>
      <c r="F230" s="56">
        <f>25.26442395*Deflactores!$C$5</f>
        <v>81.68226056349647</v>
      </c>
      <c r="G230" s="56">
        <f>10.670263889*Deflactores!$D$5</f>
        <v>32.395085268902825</v>
      </c>
      <c r="H230" s="56">
        <f>8.2390841915*Deflactores!$E$5</f>
        <v>23.71061773263672</v>
      </c>
      <c r="I230" s="56">
        <f>8.204922429*Deflactores!$F$5</f>
        <v>22.518972877679751</v>
      </c>
      <c r="J230" s="56">
        <f>9.037173594*Deflactores!$G$5</f>
        <v>23.740075034823786</v>
      </c>
      <c r="K230" s="56">
        <f>10.66352442101*Deflactores!$H$5</f>
        <v>26.503180918524585</v>
      </c>
      <c r="L230" s="56">
        <f>12.63695472*Deflactores!$I$5</f>
        <v>29.169388025233573</v>
      </c>
      <c r="M230" s="56">
        <f>14.93343051942*Deflactores!$J$5</f>
        <v>33.793766909554698</v>
      </c>
      <c r="N230" s="56">
        <f>16.26970466*Deflactores!$K$5</f>
        <v>35.686019831071143</v>
      </c>
      <c r="O230" s="56">
        <f>17.24273469134*Deflactores!$L$5</f>
        <v>36.461462933490687</v>
      </c>
      <c r="P230" s="56">
        <f>19.02806826192*Deflactores!$M$5</f>
        <v>39.278335447987146</v>
      </c>
      <c r="Q230" s="56">
        <f>22.27158307674*Deflactores!$N$5</f>
        <v>45.098784072122676</v>
      </c>
      <c r="R230" s="56">
        <f>28.3649973045799*Deflactores!$O$5</f>
        <v>55.409634692819189</v>
      </c>
      <c r="S230" s="56">
        <f>36.38013936175*Deflactores!$P$5</f>
        <v>66.56066556304124</v>
      </c>
      <c r="T230" s="56">
        <f>37.04320382648*Deflactores!$Q$5</f>
        <v>64.088700080772966</v>
      </c>
      <c r="U230" s="56">
        <f>43.69339481125*Deflactores!$R$5</f>
        <v>72.623922517680157</v>
      </c>
      <c r="V230" s="56">
        <f>42.87321765019*Deflactores!$S$5</f>
        <v>69.064435770524312</v>
      </c>
    </row>
    <row r="231" spans="2:22" x14ac:dyDescent="0.2">
      <c r="C231" s="88" t="s">
        <v>146</v>
      </c>
      <c r="D231" s="57">
        <f>49.10885355145*Deflactores!$A$5</f>
        <v>182.86727512174878</v>
      </c>
      <c r="E231" s="57">
        <f>48.3269701766199*Deflactores!$B$5</f>
        <v>167.17008921775584</v>
      </c>
      <c r="F231" s="57">
        <f>41.84735682618*Deflactores!$C$5</f>
        <v>135.29644336773595</v>
      </c>
      <c r="G231" s="57">
        <f>32.39578010862*Deflactores!$D$5</f>
        <v>98.354086636345144</v>
      </c>
      <c r="H231" s="57">
        <f>36.88412598935*Deflactores!$E$5</f>
        <v>106.14594916242385</v>
      </c>
      <c r="I231" s="57">
        <f>37.54430604182*Deflactores!$F$5</f>
        <v>103.04292536378014</v>
      </c>
      <c r="J231" s="57">
        <f>39.63115126022*Deflactores!$G$5</f>
        <v>104.10849087359846</v>
      </c>
      <c r="K231" s="57">
        <f>46.16025115441*Deflactores!$H$5</f>
        <v>114.72693635693734</v>
      </c>
      <c r="L231" s="57">
        <f>44.69114059587*Deflactores!$I$5</f>
        <v>103.1588108223593</v>
      </c>
      <c r="M231" s="57">
        <f>66.87363828204*Deflactores!$J$5</f>
        <v>151.33241766238899</v>
      </c>
      <c r="N231" s="57">
        <f>96.5155869858899*Deflactores!$K$5</f>
        <v>211.69758291026895</v>
      </c>
      <c r="O231" s="57">
        <f>101.061509194299*Deflactores!$L$5</f>
        <v>213.70452758524681</v>
      </c>
      <c r="P231" s="57">
        <f>166.95239475513*Deflactores!$M$5</f>
        <v>344.62837082417946</v>
      </c>
      <c r="Q231" s="57">
        <f>171.066976306461*Deflactores!$N$5</f>
        <v>346.40162756877896</v>
      </c>
      <c r="R231" s="57">
        <f>164.131031949572*Deflactores!$O$5</f>
        <v>320.62194205154401</v>
      </c>
      <c r="S231" s="57">
        <f>190.454327771214*Deflactores!$P$5</f>
        <v>348.45294818034535</v>
      </c>
      <c r="T231" s="57">
        <f>271.44880194499*Deflactores!$Q$5</f>
        <v>469.63542723325833</v>
      </c>
      <c r="U231" s="57">
        <f>231.5280910448*Deflactores!$R$5</f>
        <v>384.82883322159773</v>
      </c>
      <c r="V231" s="57">
        <f>193.66879292967*Deflactores!$S$5</f>
        <v>311.98092056398031</v>
      </c>
    </row>
    <row r="232" spans="2:22" x14ac:dyDescent="0.2">
      <c r="C232" s="90" t="s">
        <v>147</v>
      </c>
      <c r="D232" s="58">
        <f>110.2408201747*Deflactores!$A$5</f>
        <v>410.50517238024315</v>
      </c>
      <c r="E232" s="58">
        <f>103.879931681889*Deflactores!$B$5</f>
        <v>359.3359439611026</v>
      </c>
      <c r="F232" s="58">
        <f>137.82552158069*Deflactores!$C$5</f>
        <v>445.60288365702974</v>
      </c>
      <c r="G232" s="58">
        <f>121.644655357829*Deflactores!$D$5</f>
        <v>369.31504448410436</v>
      </c>
      <c r="H232" s="58">
        <f>109.3500030899*Deflactores!$E$5</f>
        <v>314.68984441282043</v>
      </c>
      <c r="I232" s="58">
        <f>109.35737421542*Deflactores!$F$5</f>
        <v>300.13882096280304</v>
      </c>
      <c r="J232" s="58">
        <f>116.71735372872*Deflactores!$G$5</f>
        <v>306.60899744423813</v>
      </c>
      <c r="K232" s="58">
        <f>117.59180771176*Deflactores!$H$5</f>
        <v>292.26331101007065</v>
      </c>
      <c r="L232" s="58">
        <f>150.96326166598*Deflactores!$I$5</f>
        <v>348.46258886411835</v>
      </c>
      <c r="M232" s="58">
        <f>197.259442329009*Deflactores!$J$5</f>
        <v>446.39037266797988</v>
      </c>
      <c r="N232" s="58">
        <f>230.339817258289*Deflactores!$K$5</f>
        <v>505.22805781310387</v>
      </c>
      <c r="O232" s="58">
        <f>251.87660437556*Deflactores!$L$5</f>
        <v>532.61791929475373</v>
      </c>
      <c r="P232" s="58">
        <f>369.41365445737*Deflactores!$M$5</f>
        <v>762.55525464355696</v>
      </c>
      <c r="Q232" s="58">
        <f>359.92775319518*Deflactores!$N$5</f>
        <v>728.83476522449735</v>
      </c>
      <c r="R232" s="58">
        <f>381.38003954462*Deflactores!$O$5</f>
        <v>745.00725113371584</v>
      </c>
      <c r="S232" s="58">
        <f>437.209988743379*Deflactores!$P$5</f>
        <v>799.91413865131574</v>
      </c>
      <c r="T232" s="58">
        <f>465.83705978912*Deflactores!$Q$5</f>
        <v>805.94788051222815</v>
      </c>
      <c r="U232" s="58">
        <f>511.34427968206*Deflactores!$R$5</f>
        <v>849.91856338723562</v>
      </c>
      <c r="V232" s="58">
        <f>449.09022237876*Deflactores!$S$5</f>
        <v>723.43911930554384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69.69384622766*Deflactores!$A$5</f>
        <v>259.51987942569372</v>
      </c>
      <c r="E234" s="56">
        <f>68.54247504151*Deflactores!$B$5</f>
        <v>237.09849026369164</v>
      </c>
      <c r="F234" s="56">
        <f>75.5738525470999*Deflactores!$C$5</f>
        <v>244.33737843207288</v>
      </c>
      <c r="G234" s="56">
        <f>102.19788722247*Deflactores!$D$5</f>
        <v>310.27435734618041</v>
      </c>
      <c r="H234" s="56">
        <f>83.8057349989299*Deflactores!$E$5</f>
        <v>241.17798776862776</v>
      </c>
      <c r="I234" s="56">
        <f>4.89416323202*Deflactores!$F$5</f>
        <v>13.432366976591664</v>
      </c>
      <c r="J234" s="56">
        <f>93.8924549382899*Deflactores!$G$5</f>
        <v>246.64945320057922</v>
      </c>
      <c r="K234" s="56">
        <f>98.25002903027*Deflactores!$H$5</f>
        <v>244.19115030196602</v>
      </c>
      <c r="L234" s="56">
        <f>152.58607115025*Deflactores!$I$5</f>
        <v>352.20845648701828</v>
      </c>
      <c r="M234" s="56">
        <f>184.26080857589*Deflactores!$J$5</f>
        <v>416.97497487145034</v>
      </c>
      <c r="N234" s="56">
        <f>245.420638014349*Deflactores!$K$5</f>
        <v>538.30637606264895</v>
      </c>
      <c r="O234" s="56">
        <f>281.77650133092*Deflactores!$L$5</f>
        <v>595.8442000482695</v>
      </c>
      <c r="P234" s="56">
        <f>369.10400701566*Deflactores!$M$5</f>
        <v>761.91607068023075</v>
      </c>
      <c r="Q234" s="56">
        <f>271.052177570759*Deflactores!$N$5</f>
        <v>548.86640013070939</v>
      </c>
      <c r="R234" s="56">
        <f>344.63250471769*Deflactores!$O$5</f>
        <v>673.2227394428553</v>
      </c>
      <c r="S234" s="56">
        <f>365.37643468918*Deflactores!$P$5</f>
        <v>668.48833183779857</v>
      </c>
      <c r="T234" s="56">
        <f>107.06109703337*Deflactores!$Q$5</f>
        <v>185.22713559633758</v>
      </c>
      <c r="U234" s="56">
        <f>122.37217220256*Deflactores!$R$5</f>
        <v>203.39795501700644</v>
      </c>
      <c r="V234" s="56">
        <f>217.740064606889*Deflactores!$S$5</f>
        <v>350.7573149608391</v>
      </c>
    </row>
    <row r="235" spans="2:22" x14ac:dyDescent="0.2">
      <c r="C235" s="88" t="s">
        <v>150</v>
      </c>
      <c r="D235" s="57">
        <f>136.5582448083*Deflactores!$A$5</f>
        <v>508.50370793812164</v>
      </c>
      <c r="E235" s="57">
        <f>136.45933519078*Deflactores!$B$5</f>
        <v>472.03288671042151</v>
      </c>
      <c r="F235" s="57">
        <f>165.07268401068*Deflactores!$C$5</f>
        <v>533.69552434525554</v>
      </c>
      <c r="G235" s="57">
        <f>177.294886773089*Deflactores!$D$5</f>
        <v>538.27000292613764</v>
      </c>
      <c r="H235" s="57">
        <f>184.2995456892*Deflactores!$E$5</f>
        <v>530.38128687208678</v>
      </c>
      <c r="I235" s="57">
        <f>199.75864413266*Deflactores!$F$5</f>
        <v>548.25131233491788</v>
      </c>
      <c r="J235" s="57">
        <f>206.16919114096*Deflactores!$G$5</f>
        <v>541.59323339820287</v>
      </c>
      <c r="K235" s="57">
        <f>195.05166025675*Deflactores!$H$5</f>
        <v>484.78244491642533</v>
      </c>
      <c r="L235" s="57">
        <f>199.62384839937*Deflactores!$I$5</f>
        <v>460.78391685901562</v>
      </c>
      <c r="M235" s="57">
        <f>214.61492733295*Deflactores!$J$5</f>
        <v>485.66515377488884</v>
      </c>
      <c r="N235" s="57">
        <f>314.11734229852*Deflactores!$K$5</f>
        <v>688.98593679501664</v>
      </c>
      <c r="O235" s="57">
        <f>164.91686248816*Deflactores!$L$5</f>
        <v>348.73296935547319</v>
      </c>
      <c r="P235" s="57">
        <f>300.854295660297*Deflactores!$M$5</f>
        <v>621.03287539502787</v>
      </c>
      <c r="Q235" s="57">
        <f>315.74595048908*Deflactores!$N$5</f>
        <v>639.368939050672</v>
      </c>
      <c r="R235" s="57">
        <f>346.96288516176*Deflactores!$O$5</f>
        <v>677.77502364421366</v>
      </c>
      <c r="S235" s="57">
        <f>372.676065064389*Deflactores!$P$5</f>
        <v>681.8436478058552</v>
      </c>
      <c r="T235" s="57">
        <f>477.504938930269*Deflactores!$Q$5</f>
        <v>826.13455794862364</v>
      </c>
      <c r="U235" s="57">
        <f>649.40988656276*Deflactores!$R$5</f>
        <v>1079.4009824067523</v>
      </c>
      <c r="V235" s="57">
        <f>659.017204041309*Deflactores!$S$5</f>
        <v>1061.610344517256</v>
      </c>
    </row>
    <row r="236" spans="2:22" x14ac:dyDescent="0.2">
      <c r="C236" s="87" t="s">
        <v>151</v>
      </c>
      <c r="D236" s="56">
        <f>22.211046206*Deflactores!$A$5</f>
        <v>82.7075609297043</v>
      </c>
      <c r="E236" s="56">
        <f>16.0397031667*Deflactores!$B$5</f>
        <v>55.483689534105622</v>
      </c>
      <c r="F236" s="56">
        <f>5.81271046644*Deflactores!$C$5</f>
        <v>18.793040040792821</v>
      </c>
      <c r="G236" s="56">
        <f>6.84004114453*Deflactores!$D$5</f>
        <v>20.766470110292605</v>
      </c>
      <c r="H236" s="56">
        <f>11.08497780221*Deflactores!$E$5</f>
        <v>31.900592970529406</v>
      </c>
      <c r="I236" s="56">
        <f>7.22431628364*Deflactores!$F$5</f>
        <v>19.827631992725248</v>
      </c>
      <c r="J236" s="56">
        <f>9.91762342587*Deflactores!$G$5</f>
        <v>26.052960236771114</v>
      </c>
      <c r="K236" s="56">
        <f>13.86999891267*Deflactores!$H$5</f>
        <v>34.472569856731752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179</v>
      </c>
      <c r="D237" s="44">
        <f t="shared" ref="D237:V237" si="63">+SUM(D208:D236)</f>
        <v>4931.5059764093521</v>
      </c>
      <c r="E237" s="44">
        <f t="shared" si="63"/>
        <v>5052.7455737246173</v>
      </c>
      <c r="F237" s="44">
        <f t="shared" si="63"/>
        <v>5165.6842128638582</v>
      </c>
      <c r="G237" s="44">
        <f t="shared" si="63"/>
        <v>5164.5258774061094</v>
      </c>
      <c r="H237" s="44">
        <f t="shared" si="63"/>
        <v>10440.909824175702</v>
      </c>
      <c r="I237" s="44">
        <f t="shared" si="63"/>
        <v>10429.937069087553</v>
      </c>
      <c r="J237" s="44">
        <f t="shared" si="63"/>
        <v>4927.5848301905598</v>
      </c>
      <c r="K237" s="44">
        <f t="shared" si="63"/>
        <v>5250.5823381023438</v>
      </c>
      <c r="L237" s="44">
        <f t="shared" si="63"/>
        <v>5483.5506724919696</v>
      </c>
      <c r="M237" s="44">
        <f t="shared" si="63"/>
        <v>6454.6916494080415</v>
      </c>
      <c r="N237" s="44">
        <f t="shared" si="63"/>
        <v>9143.2100737312503</v>
      </c>
      <c r="O237" s="44">
        <f t="shared" si="63"/>
        <v>8238.9491748456367</v>
      </c>
      <c r="P237" s="44">
        <f t="shared" si="63"/>
        <v>8049.8210629461109</v>
      </c>
      <c r="Q237" s="44">
        <f t="shared" si="63"/>
        <v>8432.9211992916826</v>
      </c>
      <c r="R237" s="44">
        <f t="shared" si="63"/>
        <v>8715.9154438555379</v>
      </c>
      <c r="S237" s="44">
        <f t="shared" si="63"/>
        <v>9017.1679300766828</v>
      </c>
      <c r="T237" s="44">
        <f t="shared" si="63"/>
        <v>8547.4473630853026</v>
      </c>
      <c r="U237" s="44">
        <f t="shared" si="63"/>
        <v>8763.6326282967639</v>
      </c>
      <c r="V237" s="44">
        <f t="shared" si="63"/>
        <v>8342.879708499524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55" t="s">
        <v>200</v>
      </c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</row>
    <row r="243" spans="3:22" ht="3.75" customHeight="1" x14ac:dyDescent="0.2">
      <c r="H243" s="27"/>
      <c r="I243" s="27"/>
      <c r="J243" s="27"/>
      <c r="L243" s="177"/>
      <c r="M243" s="156"/>
      <c r="N243" s="156"/>
      <c r="O243" s="156"/>
      <c r="P243" s="156"/>
      <c r="Q243" s="156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76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60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91.358170211359152</v>
      </c>
      <c r="E247" s="60">
        <f t="shared" si="64"/>
        <v>80.212585328030329</v>
      </c>
      <c r="F247" s="60">
        <f t="shared" si="64"/>
        <v>80.419498940411813</v>
      </c>
      <c r="G247" s="60">
        <f t="shared" si="64"/>
        <v>58.124491736537919</v>
      </c>
      <c r="H247" s="60">
        <f t="shared" si="64"/>
        <v>60.468480930618838</v>
      </c>
      <c r="I247" s="60">
        <f t="shared" si="64"/>
        <v>72.78230800303399</v>
      </c>
      <c r="J247" s="60">
        <f t="shared" si="64"/>
        <v>74.653310039848648</v>
      </c>
      <c r="K247" s="60">
        <f t="shared" si="64"/>
        <v>78.18073559043377</v>
      </c>
      <c r="L247" s="60">
        <f t="shared" si="64"/>
        <v>81.082048865135917</v>
      </c>
      <c r="M247" s="60">
        <f t="shared" si="64"/>
        <v>78.128258589949311</v>
      </c>
      <c r="N247" s="60">
        <f t="shared" si="64"/>
        <v>80.00266221051136</v>
      </c>
      <c r="O247" s="60">
        <f t="shared" si="64"/>
        <v>73.142242468104811</v>
      </c>
      <c r="P247" s="60">
        <f t="shared" si="64"/>
        <v>74.213463204151765</v>
      </c>
      <c r="Q247" s="60">
        <f t="shared" si="64"/>
        <v>74.190088184298887</v>
      </c>
      <c r="R247" s="60">
        <f t="shared" si="64"/>
        <v>85.320559435186226</v>
      </c>
      <c r="S247" s="60">
        <f t="shared" si="64"/>
        <v>75.590009189514376</v>
      </c>
      <c r="T247" s="60">
        <f t="shared" si="64"/>
        <v>73.803131488881775</v>
      </c>
      <c r="U247" s="60">
        <f t="shared" si="64"/>
        <v>81.77491957887058</v>
      </c>
      <c r="V247" s="60">
        <f t="shared" si="64"/>
        <v>85.679961801783051</v>
      </c>
    </row>
    <row r="248" spans="3:22" x14ac:dyDescent="0.2">
      <c r="C248" s="88" t="s">
        <v>124</v>
      </c>
      <c r="D248" s="62" t="str">
        <f t="shared" ref="D248:V248" si="65">+IFERROR(IF(D209&gt;0,+((D209/D14)*100)," "),"")</f>
        <v xml:space="preserve"> </v>
      </c>
      <c r="E248" s="62" t="str">
        <f t="shared" si="65"/>
        <v xml:space="preserve"> </v>
      </c>
      <c r="F248" s="62" t="str">
        <f t="shared" si="65"/>
        <v xml:space="preserve"> </v>
      </c>
      <c r="G248" s="62" t="str">
        <f t="shared" si="65"/>
        <v xml:space="preserve"> </v>
      </c>
      <c r="H248" s="62" t="str">
        <f t="shared" si="65"/>
        <v xml:space="preserve"> </v>
      </c>
      <c r="I248" s="62" t="str">
        <f t="shared" si="65"/>
        <v xml:space="preserve"> </v>
      </c>
      <c r="J248" s="62" t="str">
        <f t="shared" si="65"/>
        <v xml:space="preserve"> </v>
      </c>
      <c r="K248" s="62" t="str">
        <f t="shared" si="65"/>
        <v xml:space="preserve"> </v>
      </c>
      <c r="L248" s="62" t="str">
        <f t="shared" si="65"/>
        <v xml:space="preserve"> </v>
      </c>
      <c r="M248" s="62" t="str">
        <f t="shared" si="65"/>
        <v xml:space="preserve"> </v>
      </c>
      <c r="N248" s="62" t="str">
        <f t="shared" si="65"/>
        <v xml:space="preserve"> </v>
      </c>
      <c r="O248" s="62" t="str">
        <f t="shared" si="65"/>
        <v xml:space="preserve"> </v>
      </c>
      <c r="P248" s="62">
        <f t="shared" si="65"/>
        <v>81.655503734028144</v>
      </c>
      <c r="Q248" s="62">
        <f t="shared" si="65"/>
        <v>86.228087106180269</v>
      </c>
      <c r="R248" s="62">
        <f t="shared" si="65"/>
        <v>69.128338541812369</v>
      </c>
      <c r="S248" s="62">
        <f t="shared" si="65"/>
        <v>68.10202743034047</v>
      </c>
      <c r="T248" s="62">
        <f t="shared" si="65"/>
        <v>91.115926791877641</v>
      </c>
      <c r="U248" s="62">
        <f t="shared" si="65"/>
        <v>95.679411609901408</v>
      </c>
      <c r="V248" s="62">
        <f t="shared" si="65"/>
        <v>96.878101311490809</v>
      </c>
    </row>
    <row r="249" spans="3:22" x14ac:dyDescent="0.2">
      <c r="C249" s="87" t="s">
        <v>125</v>
      </c>
      <c r="D249" s="60">
        <f t="shared" ref="D249:V249" si="66">+IFERROR(IF(D210&gt;0,+((D210/D15)*100)," "),"")</f>
        <v>75.324683760368529</v>
      </c>
      <c r="E249" s="60">
        <f t="shared" si="66"/>
        <v>62.923747174609957</v>
      </c>
      <c r="F249" s="60">
        <f t="shared" si="66"/>
        <v>91.02823143421837</v>
      </c>
      <c r="G249" s="60">
        <f t="shared" si="66"/>
        <v>78.603556540860183</v>
      </c>
      <c r="H249" s="60">
        <f t="shared" si="66"/>
        <v>65.714335023288442</v>
      </c>
      <c r="I249" s="60">
        <f t="shared" si="66"/>
        <v>68.263603967310289</v>
      </c>
      <c r="J249" s="60">
        <f t="shared" si="66"/>
        <v>69.501788101752453</v>
      </c>
      <c r="K249" s="60">
        <f t="shared" si="66"/>
        <v>51.065386838654966</v>
      </c>
      <c r="L249" s="60">
        <f t="shared" si="66"/>
        <v>84.724202782307273</v>
      </c>
      <c r="M249" s="60">
        <f t="shared" si="66"/>
        <v>75.589441382275126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93.924161925984649</v>
      </c>
      <c r="E250" s="62">
        <f t="shared" si="67"/>
        <v>87.383209906928485</v>
      </c>
      <c r="F250" s="62">
        <f t="shared" si="67"/>
        <v>86.050696046880262</v>
      </c>
      <c r="G250" s="62">
        <f t="shared" si="67"/>
        <v>87.603284201444126</v>
      </c>
      <c r="H250" s="62">
        <f t="shared" si="67"/>
        <v>88.896038157724774</v>
      </c>
      <c r="I250" s="62">
        <f t="shared" si="67"/>
        <v>90.67068598687959</v>
      </c>
      <c r="J250" s="62">
        <f t="shared" si="67"/>
        <v>89.90721996145659</v>
      </c>
      <c r="K250" s="62">
        <f t="shared" si="67"/>
        <v>91.558183624944604</v>
      </c>
      <c r="L250" s="62">
        <f t="shared" si="67"/>
        <v>90.23797799206919</v>
      </c>
      <c r="M250" s="62">
        <f t="shared" si="67"/>
        <v>92.520836381682216</v>
      </c>
      <c r="N250" s="62">
        <f t="shared" si="67"/>
        <v>90.1563265543261</v>
      </c>
      <c r="O250" s="62">
        <f t="shared" si="67"/>
        <v>82.375575943203657</v>
      </c>
      <c r="P250" s="62">
        <f t="shared" si="67"/>
        <v>88.353159689718069</v>
      </c>
      <c r="Q250" s="62">
        <f t="shared" si="67"/>
        <v>87.065700154426779</v>
      </c>
      <c r="R250" s="62">
        <f t="shared" si="67"/>
        <v>91.273890492778833</v>
      </c>
      <c r="S250" s="62">
        <f t="shared" si="67"/>
        <v>93.990373195203674</v>
      </c>
      <c r="T250" s="62">
        <f t="shared" si="67"/>
        <v>93.993966637393683</v>
      </c>
      <c r="U250" s="62">
        <f t="shared" si="67"/>
        <v>95.12012920486373</v>
      </c>
      <c r="V250" s="62">
        <f t="shared" si="67"/>
        <v>92.876164663780003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79.813276821751671</v>
      </c>
      <c r="E252" s="62">
        <f t="shared" si="69"/>
        <v>86.442029575526021</v>
      </c>
      <c r="F252" s="62">
        <f t="shared" si="69"/>
        <v>71.055745658739227</v>
      </c>
      <c r="G252" s="62">
        <f t="shared" si="69"/>
        <v>44.137604925133758</v>
      </c>
      <c r="H252" s="62">
        <f t="shared" si="69"/>
        <v>57.002604427146728</v>
      </c>
      <c r="I252" s="62">
        <f t="shared" si="69"/>
        <v>73.367197721102613</v>
      </c>
      <c r="J252" s="62">
        <f t="shared" si="69"/>
        <v>23.536218101954155</v>
      </c>
      <c r="K252" s="62">
        <f t="shared" si="69"/>
        <v>49.157390006104066</v>
      </c>
      <c r="L252" s="62">
        <f t="shared" si="69"/>
        <v>72.715006655230411</v>
      </c>
      <c r="M252" s="62">
        <f t="shared" si="69"/>
        <v>66.316837735804853</v>
      </c>
      <c r="N252" s="62">
        <f t="shared" si="69"/>
        <v>73.629018315971123</v>
      </c>
      <c r="O252" s="62">
        <f t="shared" si="69"/>
        <v>74.077634007603123</v>
      </c>
      <c r="P252" s="62">
        <f t="shared" si="69"/>
        <v>80.051527288933499</v>
      </c>
      <c r="Q252" s="62">
        <f t="shared" si="69"/>
        <v>75.419308572049388</v>
      </c>
      <c r="R252" s="62">
        <f t="shared" si="69"/>
        <v>85.064550432625836</v>
      </c>
      <c r="S252" s="62">
        <f t="shared" si="69"/>
        <v>91.16611668832067</v>
      </c>
      <c r="T252" s="62">
        <f t="shared" si="69"/>
        <v>88.030887407217278</v>
      </c>
      <c r="U252" s="62">
        <f t="shared" si="69"/>
        <v>92.83840697306816</v>
      </c>
      <c r="V252" s="62">
        <f t="shared" si="69"/>
        <v>93.629594289348148</v>
      </c>
    </row>
    <row r="253" spans="3:22" x14ac:dyDescent="0.2">
      <c r="C253" s="87" t="s">
        <v>129</v>
      </c>
      <c r="D253" s="60">
        <f t="shared" ref="D253:V253" si="70">+IFERROR(IF(D214&gt;0,+((D214/D19)*100)," "),"")</f>
        <v>69.04311777051042</v>
      </c>
      <c r="E253" s="60">
        <f t="shared" si="70"/>
        <v>75.659677157598765</v>
      </c>
      <c r="F253" s="60">
        <f t="shared" si="70"/>
        <v>72.547306278510675</v>
      </c>
      <c r="G253" s="60">
        <f t="shared" si="70"/>
        <v>76.085180545085294</v>
      </c>
      <c r="H253" s="60">
        <f t="shared" si="70"/>
        <v>79.724885731621256</v>
      </c>
      <c r="I253" s="60">
        <f t="shared" si="70"/>
        <v>77.526883283074483</v>
      </c>
      <c r="J253" s="60">
        <f t="shared" si="70"/>
        <v>65.873664797065885</v>
      </c>
      <c r="K253" s="60">
        <f t="shared" si="70"/>
        <v>82.854179560584498</v>
      </c>
      <c r="L253" s="60">
        <f t="shared" si="70"/>
        <v>86.89892223468749</v>
      </c>
      <c r="M253" s="60">
        <f t="shared" si="70"/>
        <v>83.522805177366379</v>
      </c>
      <c r="N253" s="60">
        <f t="shared" si="70"/>
        <v>85.846593993436898</v>
      </c>
      <c r="O253" s="60">
        <f t="shared" si="70"/>
        <v>76.681215433552012</v>
      </c>
      <c r="P253" s="60">
        <f t="shared" si="70"/>
        <v>73.969334230741453</v>
      </c>
      <c r="Q253" s="60">
        <f t="shared" si="70"/>
        <v>74.863611479310549</v>
      </c>
      <c r="R253" s="60">
        <f t="shared" si="70"/>
        <v>80.711594118504863</v>
      </c>
      <c r="S253" s="60">
        <f t="shared" si="70"/>
        <v>79.623746364071252</v>
      </c>
      <c r="T253" s="60">
        <f t="shared" si="70"/>
        <v>85.095872724437555</v>
      </c>
      <c r="U253" s="60">
        <f t="shared" si="70"/>
        <v>88.892562800151794</v>
      </c>
      <c r="V253" s="60">
        <f t="shared" si="70"/>
        <v>83.885837545577658</v>
      </c>
    </row>
    <row r="254" spans="3:22" x14ac:dyDescent="0.2">
      <c r="C254" s="88" t="s">
        <v>130</v>
      </c>
      <c r="D254" s="62">
        <f t="shared" ref="D254:V254" si="71">+IFERROR(IF(D215&gt;0,+((D215/D20)*100)," "),"")</f>
        <v>88.565146357091962</v>
      </c>
      <c r="E254" s="62">
        <f t="shared" si="71"/>
        <v>77.26325397950616</v>
      </c>
      <c r="F254" s="62">
        <f t="shared" si="71"/>
        <v>56.019112248669686</v>
      </c>
      <c r="G254" s="62">
        <f t="shared" si="71"/>
        <v>66.952551602493386</v>
      </c>
      <c r="H254" s="62">
        <f t="shared" si="71"/>
        <v>81.251212724327772</v>
      </c>
      <c r="I254" s="62">
        <f t="shared" si="71"/>
        <v>85.194844321484695</v>
      </c>
      <c r="J254" s="62">
        <f t="shared" si="71"/>
        <v>90.654291834780295</v>
      </c>
      <c r="K254" s="62">
        <f t="shared" si="71"/>
        <v>89.320483282865069</v>
      </c>
      <c r="L254" s="62">
        <f t="shared" si="71"/>
        <v>88.911205340161644</v>
      </c>
      <c r="M254" s="62">
        <f t="shared" si="71"/>
        <v>86.087624680190316</v>
      </c>
      <c r="N254" s="62">
        <f t="shared" si="71"/>
        <v>82.446692532602199</v>
      </c>
      <c r="O254" s="62">
        <f t="shared" si="71"/>
        <v>68.5582565015753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86.45283493804213</v>
      </c>
      <c r="E255" s="60">
        <f t="shared" si="72"/>
        <v>88.235754172262176</v>
      </c>
      <c r="F255" s="60">
        <f t="shared" si="72"/>
        <v>85.358365631169733</v>
      </c>
      <c r="G255" s="60">
        <f t="shared" si="72"/>
        <v>80.281069267932892</v>
      </c>
      <c r="H255" s="60">
        <f t="shared" si="72"/>
        <v>83.989401755373933</v>
      </c>
      <c r="I255" s="60">
        <f t="shared" si="72"/>
        <v>85.221801564197904</v>
      </c>
      <c r="J255" s="60">
        <f t="shared" si="72"/>
        <v>79.943678993755398</v>
      </c>
      <c r="K255" s="60">
        <f t="shared" si="72"/>
        <v>82.5795253652106</v>
      </c>
      <c r="L255" s="60">
        <f t="shared" si="72"/>
        <v>86.194023282344773</v>
      </c>
      <c r="M255" s="60">
        <f t="shared" si="72"/>
        <v>89.971256235658046</v>
      </c>
      <c r="N255" s="60">
        <f t="shared" si="72"/>
        <v>84.142669332748071</v>
      </c>
      <c r="O255" s="60">
        <f t="shared" si="72"/>
        <v>80.237959183344742</v>
      </c>
      <c r="P255" s="60">
        <f t="shared" si="72"/>
        <v>80.050355155902992</v>
      </c>
      <c r="Q255" s="60">
        <f t="shared" si="72"/>
        <v>72.734492489838814</v>
      </c>
      <c r="R255" s="60">
        <f t="shared" si="72"/>
        <v>83.379500978029427</v>
      </c>
      <c r="S255" s="60">
        <f t="shared" si="72"/>
        <v>86.508271733694315</v>
      </c>
      <c r="T255" s="60">
        <f t="shared" si="72"/>
        <v>88.836323485223588</v>
      </c>
      <c r="U255" s="60">
        <f t="shared" si="72"/>
        <v>77.168019220993187</v>
      </c>
      <c r="V255" s="60">
        <f t="shared" si="72"/>
        <v>84.510928756804987</v>
      </c>
    </row>
    <row r="256" spans="3:22" x14ac:dyDescent="0.2">
      <c r="C256" s="88" t="s">
        <v>132</v>
      </c>
      <c r="D256" s="62">
        <f t="shared" ref="D256:V256" si="73">+IFERROR(IF(D217&gt;0,+((D217/D22)*100)," "),"")</f>
        <v>82.581298349565486</v>
      </c>
      <c r="E256" s="62">
        <f t="shared" si="73"/>
        <v>76.241687018482324</v>
      </c>
      <c r="F256" s="62">
        <f t="shared" si="73"/>
        <v>81.02588523478488</v>
      </c>
      <c r="G256" s="62">
        <f t="shared" si="73"/>
        <v>83.473537210798426</v>
      </c>
      <c r="H256" s="62">
        <f t="shared" si="73"/>
        <v>77.718356159445534</v>
      </c>
      <c r="I256" s="62">
        <f t="shared" si="73"/>
        <v>90.006051458042435</v>
      </c>
      <c r="J256" s="62">
        <f t="shared" si="73"/>
        <v>66.593496320554038</v>
      </c>
      <c r="K256" s="62">
        <f t="shared" si="73"/>
        <v>48.302694448361052</v>
      </c>
      <c r="L256" s="62">
        <f t="shared" si="73"/>
        <v>54.708049386612132</v>
      </c>
      <c r="M256" s="62">
        <f t="shared" si="73"/>
        <v>36.252058314190187</v>
      </c>
      <c r="N256" s="62">
        <f t="shared" si="73"/>
        <v>57.138243166425383</v>
      </c>
      <c r="O256" s="62">
        <f t="shared" si="73"/>
        <v>53.457364874448245</v>
      </c>
      <c r="P256" s="62">
        <f t="shared" si="73"/>
        <v>61.731790825440527</v>
      </c>
      <c r="Q256" s="62">
        <f t="shared" si="73"/>
        <v>44.300056477685025</v>
      </c>
      <c r="R256" s="62">
        <f t="shared" si="73"/>
        <v>49.522248501282775</v>
      </c>
      <c r="S256" s="62">
        <f t="shared" si="73"/>
        <v>52.314575091561558</v>
      </c>
      <c r="T256" s="62">
        <f t="shared" si="73"/>
        <v>75.036354021607821</v>
      </c>
      <c r="U256" s="62">
        <f t="shared" si="73"/>
        <v>77.548168150453904</v>
      </c>
      <c r="V256" s="62">
        <f t="shared" si="73"/>
        <v>79.699129834904056</v>
      </c>
    </row>
    <row r="257" spans="3:22" x14ac:dyDescent="0.2">
      <c r="C257" s="87" t="s">
        <v>133</v>
      </c>
      <c r="D257" s="60">
        <f t="shared" ref="D257:V257" si="74">+IFERROR(IF(D218&gt;0,+((D218/D23)*100)," "),"")</f>
        <v>48.873205038815549</v>
      </c>
      <c r="E257" s="60">
        <f t="shared" si="74"/>
        <v>32.655861478276464</v>
      </c>
      <c r="F257" s="60">
        <f t="shared" si="74"/>
        <v>74.790810853604341</v>
      </c>
      <c r="G257" s="60">
        <f t="shared" si="74"/>
        <v>22.575940656311875</v>
      </c>
      <c r="H257" s="60">
        <f t="shared" si="74"/>
        <v>71.092476805833897</v>
      </c>
      <c r="I257" s="60">
        <f t="shared" si="74"/>
        <v>69.214496583691471</v>
      </c>
      <c r="J257" s="60">
        <f t="shared" si="74"/>
        <v>72.090802333332931</v>
      </c>
      <c r="K257" s="60">
        <f t="shared" si="74"/>
        <v>48.151207800093722</v>
      </c>
      <c r="L257" s="60">
        <f t="shared" si="74"/>
        <v>35.580712741312745</v>
      </c>
      <c r="M257" s="60">
        <f t="shared" si="74"/>
        <v>46.785288581314873</v>
      </c>
      <c r="N257" s="60">
        <f t="shared" si="74"/>
        <v>14.313774985578508</v>
      </c>
      <c r="O257" s="60">
        <f t="shared" si="74"/>
        <v>23.475913787850782</v>
      </c>
      <c r="P257" s="60">
        <f t="shared" si="74"/>
        <v>18.513434845102005</v>
      </c>
      <c r="Q257" s="60">
        <f t="shared" si="74"/>
        <v>22.586683704964539</v>
      </c>
      <c r="R257" s="60">
        <f t="shared" si="74"/>
        <v>24.504393049321468</v>
      </c>
      <c r="S257" s="60">
        <f t="shared" si="74"/>
        <v>24.282738605084973</v>
      </c>
      <c r="T257" s="60">
        <f t="shared" si="74"/>
        <v>77.630168631496119</v>
      </c>
      <c r="U257" s="60">
        <f t="shared" si="74"/>
        <v>95.916553071963534</v>
      </c>
      <c r="V257" s="60">
        <f t="shared" si="74"/>
        <v>42.871300755827505</v>
      </c>
    </row>
    <row r="258" spans="3:22" x14ac:dyDescent="0.2">
      <c r="C258" s="88" t="s">
        <v>134</v>
      </c>
      <c r="D258" s="62">
        <f t="shared" ref="D258:V258" si="75">+IFERROR(IF(D219&gt;0,+((D219/D24)*100)," "),"")</f>
        <v>64.424496020597061</v>
      </c>
      <c r="E258" s="62">
        <f t="shared" si="75"/>
        <v>83.612990825523099</v>
      </c>
      <c r="F258" s="62">
        <f t="shared" si="75"/>
        <v>88.886402536697148</v>
      </c>
      <c r="G258" s="62">
        <f t="shared" si="75"/>
        <v>84.731249013092281</v>
      </c>
      <c r="H258" s="62">
        <f t="shared" si="75"/>
        <v>91.226019241201001</v>
      </c>
      <c r="I258" s="62">
        <f t="shared" si="75"/>
        <v>85.20936945159427</v>
      </c>
      <c r="J258" s="62">
        <f t="shared" si="75"/>
        <v>92.470825182726074</v>
      </c>
      <c r="K258" s="62">
        <f t="shared" si="75"/>
        <v>83.29418021573106</v>
      </c>
      <c r="L258" s="62">
        <f t="shared" si="75"/>
        <v>88.02616949678287</v>
      </c>
      <c r="M258" s="62">
        <f t="shared" si="75"/>
        <v>87.079446955965551</v>
      </c>
      <c r="N258" s="62">
        <f t="shared" si="75"/>
        <v>89.194288638156436</v>
      </c>
      <c r="O258" s="62">
        <f t="shared" si="75"/>
        <v>89.236331054113137</v>
      </c>
      <c r="P258" s="62">
        <f t="shared" si="75"/>
        <v>85.711564337046568</v>
      </c>
      <c r="Q258" s="62">
        <f t="shared" si="75"/>
        <v>75.284151559242957</v>
      </c>
      <c r="R258" s="62">
        <f t="shared" si="75"/>
        <v>67.423071227636484</v>
      </c>
      <c r="S258" s="62">
        <f t="shared" si="75"/>
        <v>68.543622276653977</v>
      </c>
      <c r="T258" s="62">
        <f t="shared" si="75"/>
        <v>74.265316750264859</v>
      </c>
      <c r="U258" s="62">
        <f t="shared" si="75"/>
        <v>74.152409073831208</v>
      </c>
      <c r="V258" s="62">
        <f t="shared" si="75"/>
        <v>78.07870171299831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93.855226302828896</v>
      </c>
      <c r="E260" s="62">
        <f t="shared" si="77"/>
        <v>96.680354516125902</v>
      </c>
      <c r="F260" s="62">
        <f t="shared" si="77"/>
        <v>89.866479294552917</v>
      </c>
      <c r="G260" s="62">
        <f t="shared" si="77"/>
        <v>95.217251183219602</v>
      </c>
      <c r="H260" s="62">
        <f t="shared" si="77"/>
        <v>92.556602404256765</v>
      </c>
      <c r="I260" s="62">
        <f t="shared" si="77"/>
        <v>90.844457036613946</v>
      </c>
      <c r="J260" s="62">
        <f t="shared" si="77"/>
        <v>68.597778636479248</v>
      </c>
      <c r="K260" s="62">
        <f t="shared" si="77"/>
        <v>70.295197469543879</v>
      </c>
      <c r="L260" s="62">
        <f t="shared" si="77"/>
        <v>72.488513107731649</v>
      </c>
      <c r="M260" s="62">
        <f t="shared" si="77"/>
        <v>73.811334958303249</v>
      </c>
      <c r="N260" s="62">
        <f t="shared" si="77"/>
        <v>78.334273022651175</v>
      </c>
      <c r="O260" s="62">
        <f t="shared" si="77"/>
        <v>57.322077092608126</v>
      </c>
      <c r="P260" s="62">
        <f t="shared" si="77"/>
        <v>78.46239091230413</v>
      </c>
      <c r="Q260" s="62">
        <f t="shared" si="77"/>
        <v>80.422446629356713</v>
      </c>
      <c r="R260" s="62">
        <f t="shared" si="77"/>
        <v>82.147824340574203</v>
      </c>
      <c r="S260" s="62">
        <f t="shared" si="77"/>
        <v>85.013936139463368</v>
      </c>
      <c r="T260" s="62">
        <f t="shared" si="77"/>
        <v>85.889186265441339</v>
      </c>
      <c r="U260" s="62">
        <f t="shared" si="77"/>
        <v>97.033238018329399</v>
      </c>
      <c r="V260" s="62">
        <f t="shared" si="77"/>
        <v>85.583639496685336</v>
      </c>
    </row>
    <row r="261" spans="3:22" x14ac:dyDescent="0.2">
      <c r="C261" s="87" t="s">
        <v>137</v>
      </c>
      <c r="D261" s="60">
        <f t="shared" ref="D261:V261" si="78">+IFERROR(IF(D222&gt;0,+((D222/D27)*100)," "),"")</f>
        <v>83.394172988976507</v>
      </c>
      <c r="E261" s="60">
        <f t="shared" si="78"/>
        <v>81.280405211284659</v>
      </c>
      <c r="F261" s="60">
        <f t="shared" si="78"/>
        <v>95.351250618838606</v>
      </c>
      <c r="G261" s="60">
        <f t="shared" si="78"/>
        <v>82.475822173722307</v>
      </c>
      <c r="H261" s="60">
        <f t="shared" si="78"/>
        <v>86.164869781010765</v>
      </c>
      <c r="I261" s="60">
        <f t="shared" si="78"/>
        <v>88.161511400013808</v>
      </c>
      <c r="J261" s="60">
        <f t="shared" si="78"/>
        <v>89.42876762320742</v>
      </c>
      <c r="K261" s="60">
        <f t="shared" si="78"/>
        <v>91.03599651101176</v>
      </c>
      <c r="L261" s="60">
        <f t="shared" si="78"/>
        <v>84.10825845053489</v>
      </c>
      <c r="M261" s="60">
        <f t="shared" si="78"/>
        <v>90.896821563027743</v>
      </c>
      <c r="N261" s="60">
        <f t="shared" si="78"/>
        <v>93.343193332747404</v>
      </c>
      <c r="O261" s="60">
        <f t="shared" si="78"/>
        <v>93.094472844725857</v>
      </c>
      <c r="P261" s="60">
        <f t="shared" si="78"/>
        <v>70.694119858249252</v>
      </c>
      <c r="Q261" s="60">
        <f t="shared" si="78"/>
        <v>76.566399851591186</v>
      </c>
      <c r="R261" s="60">
        <f t="shared" si="78"/>
        <v>89.690444423710218</v>
      </c>
      <c r="S261" s="60">
        <f t="shared" si="78"/>
        <v>62.553647474726567</v>
      </c>
      <c r="T261" s="60">
        <f t="shared" si="78"/>
        <v>62.585459810243727</v>
      </c>
      <c r="U261" s="60">
        <f t="shared" si="78"/>
        <v>91.288861938309324</v>
      </c>
      <c r="V261" s="60">
        <f t="shared" si="78"/>
        <v>64.863401823627029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85.284681032272161</v>
      </c>
      <c r="E262" s="62">
        <f t="shared" si="79"/>
        <v>78.751078126129698</v>
      </c>
      <c r="F262" s="62">
        <f t="shared" si="79"/>
        <v>85.935224732965565</v>
      </c>
      <c r="G262" s="62">
        <f t="shared" si="79"/>
        <v>74.91904291451074</v>
      </c>
      <c r="H262" s="62">
        <f t="shared" si="79"/>
        <v>71.81905476369262</v>
      </c>
      <c r="I262" s="62">
        <f t="shared" si="79"/>
        <v>75.290401912453135</v>
      </c>
      <c r="J262" s="62">
        <f t="shared" si="79"/>
        <v>80.435342226393331</v>
      </c>
      <c r="K262" s="62">
        <f t="shared" si="79"/>
        <v>87.334020849526041</v>
      </c>
      <c r="L262" s="62">
        <f t="shared" si="79"/>
        <v>82.666236021129109</v>
      </c>
      <c r="M262" s="62">
        <f t="shared" si="79"/>
        <v>72.845046351858443</v>
      </c>
      <c r="N262" s="62">
        <f t="shared" si="79"/>
        <v>68.84881903616855</v>
      </c>
      <c r="O262" s="62">
        <f t="shared" si="79"/>
        <v>71.685095740732578</v>
      </c>
      <c r="P262" s="62">
        <f t="shared" si="79"/>
        <v>76.96392363812528</v>
      </c>
      <c r="Q262" s="62">
        <f t="shared" si="79"/>
        <v>91.605534435105369</v>
      </c>
      <c r="R262" s="62">
        <f t="shared" si="79"/>
        <v>81.154889454033295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94.414388769557959</v>
      </c>
      <c r="E263" s="60">
        <f t="shared" si="80"/>
        <v>56.391758730514304</v>
      </c>
      <c r="F263" s="60">
        <f t="shared" si="80"/>
        <v>75.341871536539102</v>
      </c>
      <c r="G263" s="60">
        <f t="shared" si="80"/>
        <v>68.365470907840901</v>
      </c>
      <c r="H263" s="60">
        <f t="shared" si="80"/>
        <v>79.748907952727592</v>
      </c>
      <c r="I263" s="60">
        <f t="shared" si="80"/>
        <v>81.770634594720434</v>
      </c>
      <c r="J263" s="60">
        <f t="shared" si="80"/>
        <v>69.104786013315504</v>
      </c>
      <c r="K263" s="60">
        <f t="shared" si="80"/>
        <v>82.335577460453095</v>
      </c>
      <c r="L263" s="60">
        <f t="shared" si="80"/>
        <v>80.459127552275206</v>
      </c>
      <c r="M263" s="60">
        <f t="shared" si="80"/>
        <v>58.218629620424281</v>
      </c>
      <c r="N263" s="60">
        <f t="shared" si="80"/>
        <v>45.721500852674602</v>
      </c>
      <c r="O263" s="60">
        <f t="shared" si="80"/>
        <v>70.070705738096109</v>
      </c>
      <c r="P263" s="60">
        <f t="shared" si="80"/>
        <v>74.594484909181645</v>
      </c>
      <c r="Q263" s="60">
        <f t="shared" si="80"/>
        <v>83.834840217429218</v>
      </c>
      <c r="R263" s="60">
        <f t="shared" si="80"/>
        <v>73.637882614238464</v>
      </c>
      <c r="S263" s="60">
        <f t="shared" si="80"/>
        <v>79.713763357148835</v>
      </c>
      <c r="T263" s="60">
        <f t="shared" si="80"/>
        <v>91.707270417857885</v>
      </c>
      <c r="U263" s="60">
        <f t="shared" si="80"/>
        <v>86.109011889665425</v>
      </c>
      <c r="V263" s="60">
        <f t="shared" si="80"/>
        <v>87.618647331652099</v>
      </c>
    </row>
    <row r="264" spans="3:22" x14ac:dyDescent="0.2">
      <c r="C264" s="88" t="s">
        <v>140</v>
      </c>
      <c r="D264" s="62">
        <f t="shared" ref="D264:V264" si="81">+IFERROR(IF(D225&gt;0,+((D225/D30)*100)," "),"")</f>
        <v>64.074532702557548</v>
      </c>
      <c r="E264" s="62">
        <f t="shared" si="81"/>
        <v>72.4010943723069</v>
      </c>
      <c r="F264" s="62">
        <f t="shared" si="81"/>
        <v>66.945184877395121</v>
      </c>
      <c r="G264" s="62">
        <f t="shared" si="81"/>
        <v>61.848700610917753</v>
      </c>
      <c r="H264" s="62">
        <f t="shared" si="81"/>
        <v>82.26080441918856</v>
      </c>
      <c r="I264" s="62">
        <f t="shared" si="81"/>
        <v>99.216419117508508</v>
      </c>
      <c r="J264" s="62">
        <f t="shared" si="81"/>
        <v>51.213225733122023</v>
      </c>
      <c r="K264" s="62">
        <f t="shared" si="81"/>
        <v>62.466600373240531</v>
      </c>
      <c r="L264" s="62">
        <f t="shared" si="81"/>
        <v>81.094966535206765</v>
      </c>
      <c r="M264" s="62">
        <f t="shared" si="81"/>
        <v>76.580382933326362</v>
      </c>
      <c r="N264" s="62">
        <f t="shared" si="81"/>
        <v>96.878960491379544</v>
      </c>
      <c r="O264" s="62">
        <f t="shared" si="81"/>
        <v>96.042313242594489</v>
      </c>
      <c r="P264" s="62">
        <f t="shared" si="81"/>
        <v>61.170722965552706</v>
      </c>
      <c r="Q264" s="62">
        <f t="shared" si="81"/>
        <v>50.169666471555864</v>
      </c>
      <c r="R264" s="62">
        <f t="shared" si="81"/>
        <v>87.18751409906119</v>
      </c>
      <c r="S264" s="62">
        <f t="shared" si="81"/>
        <v>90.977520138984758</v>
      </c>
      <c r="T264" s="62">
        <f t="shared" si="81"/>
        <v>90.053762497292922</v>
      </c>
      <c r="U264" s="62">
        <f t="shared" si="81"/>
        <v>92.461347432624805</v>
      </c>
      <c r="V264" s="62">
        <f t="shared" si="81"/>
        <v>86.381320093969265</v>
      </c>
    </row>
    <row r="265" spans="3:22" x14ac:dyDescent="0.2">
      <c r="C265" s="87" t="s">
        <v>141</v>
      </c>
      <c r="D265" s="60">
        <f t="shared" ref="D265:V265" si="82">+IFERROR(IF(D226&gt;0,+((D226/D31)*100)," "),"")</f>
        <v>39.850320662837312</v>
      </c>
      <c r="E265" s="60">
        <f t="shared" si="82"/>
        <v>55.037769485162421</v>
      </c>
      <c r="F265" s="60">
        <f t="shared" si="82"/>
        <v>79.939207928625663</v>
      </c>
      <c r="G265" s="60">
        <f t="shared" si="82"/>
        <v>58.598920112778096</v>
      </c>
      <c r="H265" s="60">
        <f t="shared" si="82"/>
        <v>62.172643114326931</v>
      </c>
      <c r="I265" s="60">
        <f t="shared" si="82"/>
        <v>52.728144151485445</v>
      </c>
      <c r="J265" s="60">
        <f t="shared" si="82"/>
        <v>77.524280567271092</v>
      </c>
      <c r="K265" s="60">
        <f t="shared" si="82"/>
        <v>85.117430348756102</v>
      </c>
      <c r="L265" s="60">
        <f t="shared" si="82"/>
        <v>84.299667049106787</v>
      </c>
      <c r="M265" s="60">
        <f t="shared" si="82"/>
        <v>85.487923541986049</v>
      </c>
      <c r="N265" s="60">
        <f t="shared" si="82"/>
        <v>73.586673965631803</v>
      </c>
      <c r="O265" s="60">
        <f t="shared" si="82"/>
        <v>72.76437148756834</v>
      </c>
      <c r="P265" s="60">
        <f t="shared" si="82"/>
        <v>50.793145717701194</v>
      </c>
      <c r="Q265" s="60">
        <f t="shared" si="82"/>
        <v>64.495049563618835</v>
      </c>
      <c r="R265" s="60">
        <f t="shared" si="82"/>
        <v>58.998653676754799</v>
      </c>
      <c r="S265" s="60">
        <f t="shared" si="82"/>
        <v>74.862263423390658</v>
      </c>
      <c r="T265" s="60">
        <f t="shared" si="82"/>
        <v>69.656824813775302</v>
      </c>
      <c r="U265" s="60">
        <f t="shared" si="82"/>
        <v>67.817802314666949</v>
      </c>
      <c r="V265" s="60">
        <f t="shared" si="82"/>
        <v>73.770586052879978</v>
      </c>
    </row>
    <row r="266" spans="3:22" x14ac:dyDescent="0.2">
      <c r="C266" s="88" t="s">
        <v>142</v>
      </c>
      <c r="D266" s="62">
        <f t="shared" ref="D266:V266" si="83">+IFERROR(IF(D227&gt;0,+((D227/D32)*100)," "),"")</f>
        <v>91.873404237065628</v>
      </c>
      <c r="E266" s="62">
        <f t="shared" si="83"/>
        <v>93.583426937518098</v>
      </c>
      <c r="F266" s="62">
        <f t="shared" si="83"/>
        <v>83.291960415646386</v>
      </c>
      <c r="G266" s="62">
        <f t="shared" si="83"/>
        <v>71.242306652141053</v>
      </c>
      <c r="H266" s="62">
        <f t="shared" si="83"/>
        <v>76.946610158569314</v>
      </c>
      <c r="I266" s="62">
        <f t="shared" si="83"/>
        <v>78.687268302504449</v>
      </c>
      <c r="J266" s="62">
        <f t="shared" si="83"/>
        <v>64.4261222896059</v>
      </c>
      <c r="K266" s="62">
        <f t="shared" si="83"/>
        <v>69.867962362108088</v>
      </c>
      <c r="L266" s="62">
        <f t="shared" si="83"/>
        <v>78.997367070872343</v>
      </c>
      <c r="M266" s="62">
        <f t="shared" si="83"/>
        <v>67.558243776367917</v>
      </c>
      <c r="N266" s="62">
        <f t="shared" si="83"/>
        <v>89.13851770171506</v>
      </c>
      <c r="O266" s="62">
        <f t="shared" si="83"/>
        <v>79.690228695502057</v>
      </c>
      <c r="P266" s="62">
        <f t="shared" si="83"/>
        <v>85.22421903103556</v>
      </c>
      <c r="Q266" s="62">
        <f t="shared" si="83"/>
        <v>54.029741982599568</v>
      </c>
      <c r="R266" s="62">
        <f t="shared" si="83"/>
        <v>83.240813836922726</v>
      </c>
      <c r="S266" s="62">
        <f t="shared" si="83"/>
        <v>87.479441295168542</v>
      </c>
      <c r="T266" s="62">
        <f t="shared" si="83"/>
        <v>91.535894724216107</v>
      </c>
      <c r="U266" s="62">
        <f t="shared" si="83"/>
        <v>89.268376868911332</v>
      </c>
      <c r="V266" s="62">
        <f t="shared" si="83"/>
        <v>90.498044261768257</v>
      </c>
    </row>
    <row r="267" spans="3:22" x14ac:dyDescent="0.2">
      <c r="C267" s="87" t="s">
        <v>143</v>
      </c>
      <c r="D267" s="60" t="str">
        <f t="shared" ref="D267:V267" si="84">+IFERROR(IF(D228&gt;0,+((D228/D33)*100)," "),"")</f>
        <v xml:space="preserve"> 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 t="str">
        <f t="shared" si="84"/>
        <v xml:space="preserve"> </v>
      </c>
      <c r="I267" s="60" t="str">
        <f t="shared" si="84"/>
        <v xml:space="preserve"> 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 t="str">
        <f t="shared" si="84"/>
        <v xml:space="preserve"> </v>
      </c>
      <c r="Q267" s="60" t="str">
        <f t="shared" si="84"/>
        <v xml:space="preserve"> </v>
      </c>
      <c r="R267" s="60" t="str">
        <f t="shared" si="84"/>
        <v xml:space="preserve"> </v>
      </c>
      <c r="S267" s="60" t="str">
        <f t="shared" si="84"/>
        <v xml:space="preserve"> </v>
      </c>
      <c r="T267" s="60" t="str">
        <f t="shared" si="84"/>
        <v xml:space="preserve"> </v>
      </c>
      <c r="U267" s="60" t="str">
        <f t="shared" si="84"/>
        <v xml:space="preserve"> </v>
      </c>
      <c r="V267" s="60" t="str">
        <f t="shared" si="84"/>
        <v xml:space="preserve"> 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83.083943755497486</v>
      </c>
      <c r="E269" s="60">
        <f t="shared" si="86"/>
        <v>57.096497214306162</v>
      </c>
      <c r="F269" s="60">
        <f t="shared" si="86"/>
        <v>85.44391793897455</v>
      </c>
      <c r="G269" s="60">
        <f t="shared" si="86"/>
        <v>70.216079293161243</v>
      </c>
      <c r="H269" s="60">
        <f t="shared" si="86"/>
        <v>52.846357117043887</v>
      </c>
      <c r="I269" s="60">
        <f t="shared" si="86"/>
        <v>70.417730526212836</v>
      </c>
      <c r="J269" s="60">
        <f t="shared" si="86"/>
        <v>55.072807576511508</v>
      </c>
      <c r="K269" s="60">
        <f t="shared" si="86"/>
        <v>60.819937159824747</v>
      </c>
      <c r="L269" s="60">
        <f t="shared" si="86"/>
        <v>63.784346456692909</v>
      </c>
      <c r="M269" s="60">
        <f t="shared" si="86"/>
        <v>68.710580307613142</v>
      </c>
      <c r="N269" s="60">
        <f t="shared" si="86"/>
        <v>73.757776520895234</v>
      </c>
      <c r="O269" s="60">
        <f t="shared" si="86"/>
        <v>72.914741861762096</v>
      </c>
      <c r="P269" s="60">
        <f t="shared" si="86"/>
        <v>82.355885748221326</v>
      </c>
      <c r="Q269" s="60">
        <f t="shared" si="86"/>
        <v>86.117850686194402</v>
      </c>
      <c r="R269" s="60">
        <f t="shared" si="86"/>
        <v>80.93647578776438</v>
      </c>
      <c r="S269" s="60">
        <f t="shared" si="86"/>
        <v>91.552205123329401</v>
      </c>
      <c r="T269" s="60">
        <f t="shared" si="86"/>
        <v>92.078434263299769</v>
      </c>
      <c r="U269" s="60">
        <f t="shared" si="86"/>
        <v>95.261476712547932</v>
      </c>
      <c r="V269" s="60">
        <f t="shared" si="86"/>
        <v>87.991509089655509</v>
      </c>
    </row>
    <row r="270" spans="3:22" x14ac:dyDescent="0.2">
      <c r="C270" s="88" t="s">
        <v>146</v>
      </c>
      <c r="D270" s="62">
        <f t="shared" ref="D270:V270" si="87">+IFERROR(IF(D231&gt;0,+((D231/D36)*100)," "),"")</f>
        <v>96.985793553187406</v>
      </c>
      <c r="E270" s="62">
        <f t="shared" si="87"/>
        <v>91.105002937651605</v>
      </c>
      <c r="F270" s="62">
        <f t="shared" si="87"/>
        <v>80.592600890646139</v>
      </c>
      <c r="G270" s="62">
        <f t="shared" si="87"/>
        <v>88.072171165338759</v>
      </c>
      <c r="H270" s="62">
        <f t="shared" si="87"/>
        <v>77.564710211740376</v>
      </c>
      <c r="I270" s="62">
        <f t="shared" si="87"/>
        <v>86.814876882840124</v>
      </c>
      <c r="J270" s="62">
        <f t="shared" si="87"/>
        <v>72.768552843229699</v>
      </c>
      <c r="K270" s="62">
        <f t="shared" si="87"/>
        <v>86.830060918547332</v>
      </c>
      <c r="L270" s="62">
        <f t="shared" si="87"/>
        <v>78.889921616716691</v>
      </c>
      <c r="M270" s="62">
        <f t="shared" si="87"/>
        <v>93.591399631638126</v>
      </c>
      <c r="N270" s="62">
        <f t="shared" si="87"/>
        <v>87.319613745475507</v>
      </c>
      <c r="O270" s="62">
        <f t="shared" si="87"/>
        <v>92.424613876744928</v>
      </c>
      <c r="P270" s="62">
        <f t="shared" si="87"/>
        <v>94.463940042817057</v>
      </c>
      <c r="Q270" s="62">
        <f t="shared" si="87"/>
        <v>96.843337299785986</v>
      </c>
      <c r="R270" s="62">
        <f t="shared" si="87"/>
        <v>97.26266083649746</v>
      </c>
      <c r="S270" s="62">
        <f t="shared" si="87"/>
        <v>95.601078412408981</v>
      </c>
      <c r="T270" s="62">
        <f t="shared" si="87"/>
        <v>95.324738336361222</v>
      </c>
      <c r="U270" s="62">
        <f t="shared" si="87"/>
        <v>87.511964362469499</v>
      </c>
      <c r="V270" s="62">
        <f t="shared" si="87"/>
        <v>76.357583340431475</v>
      </c>
    </row>
    <row r="271" spans="3:22" x14ac:dyDescent="0.2">
      <c r="C271" s="90" t="s">
        <v>147</v>
      </c>
      <c r="D271" s="61">
        <f t="shared" ref="D271:V271" si="88">+IFERROR(IF(D232&gt;0,+((D232/D37)*100)," "),"")</f>
        <v>73.009042056439455</v>
      </c>
      <c r="E271" s="61">
        <f t="shared" si="88"/>
        <v>73.898607038761014</v>
      </c>
      <c r="F271" s="61">
        <f t="shared" si="88"/>
        <v>79.908261278628743</v>
      </c>
      <c r="G271" s="61">
        <f t="shared" si="88"/>
        <v>81.580444244238464</v>
      </c>
      <c r="H271" s="61">
        <f t="shared" si="88"/>
        <v>74.216262211802388</v>
      </c>
      <c r="I271" s="61">
        <f t="shared" si="88"/>
        <v>79.224049190723861</v>
      </c>
      <c r="J271" s="61">
        <f t="shared" si="88"/>
        <v>69.518138817266561</v>
      </c>
      <c r="K271" s="61">
        <f t="shared" si="88"/>
        <v>61.729492750040535</v>
      </c>
      <c r="L271" s="61">
        <f t="shared" si="88"/>
        <v>85.939000968702459</v>
      </c>
      <c r="M271" s="61">
        <f t="shared" si="88"/>
        <v>82.098892853775439</v>
      </c>
      <c r="N271" s="61">
        <f t="shared" si="88"/>
        <v>86.018890446053419</v>
      </c>
      <c r="O271" s="61">
        <f t="shared" si="88"/>
        <v>78.601479511331078</v>
      </c>
      <c r="P271" s="61">
        <f t="shared" si="88"/>
        <v>87.633001325249467</v>
      </c>
      <c r="Q271" s="61">
        <f t="shared" si="88"/>
        <v>74.161328164813241</v>
      </c>
      <c r="R271" s="61">
        <f t="shared" si="88"/>
        <v>82.995164950954475</v>
      </c>
      <c r="S271" s="61">
        <f t="shared" si="88"/>
        <v>89.672374476289079</v>
      </c>
      <c r="T271" s="61">
        <f t="shared" si="88"/>
        <v>91.304764333541797</v>
      </c>
      <c r="U271" s="61">
        <f t="shared" si="88"/>
        <v>91.415333190123746</v>
      </c>
      <c r="V271" s="61">
        <f t="shared" si="88"/>
        <v>84.928646231123409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35.810577076807228</v>
      </c>
      <c r="E273" s="60">
        <f t="shared" si="90"/>
        <v>37.457455828316633</v>
      </c>
      <c r="F273" s="60">
        <f t="shared" si="90"/>
        <v>42.007833001388981</v>
      </c>
      <c r="G273" s="60">
        <f t="shared" si="90"/>
        <v>54.295731882441487</v>
      </c>
      <c r="H273" s="60">
        <f t="shared" si="90"/>
        <v>48.449196474727309</v>
      </c>
      <c r="I273" s="60">
        <f t="shared" si="90"/>
        <v>4.3396397279436352</v>
      </c>
      <c r="J273" s="60">
        <f t="shared" si="90"/>
        <v>45.536861602546153</v>
      </c>
      <c r="K273" s="60">
        <f t="shared" si="90"/>
        <v>47.044353321936079</v>
      </c>
      <c r="L273" s="60">
        <f t="shared" si="90"/>
        <v>57.548259603527619</v>
      </c>
      <c r="M273" s="60">
        <f t="shared" si="90"/>
        <v>61.441323418788173</v>
      </c>
      <c r="N273" s="60">
        <f t="shared" si="90"/>
        <v>64.888963805724146</v>
      </c>
      <c r="O273" s="60">
        <f t="shared" si="90"/>
        <v>68.734880621978334</v>
      </c>
      <c r="P273" s="60">
        <f t="shared" si="90"/>
        <v>74.847090942267641</v>
      </c>
      <c r="Q273" s="60">
        <f t="shared" si="90"/>
        <v>68.851317981795873</v>
      </c>
      <c r="R273" s="60">
        <f t="shared" si="90"/>
        <v>79.753795329517416</v>
      </c>
      <c r="S273" s="60">
        <f t="shared" si="90"/>
        <v>83.382744583793624</v>
      </c>
      <c r="T273" s="60">
        <f t="shared" si="90"/>
        <v>86.170484485587423</v>
      </c>
      <c r="U273" s="60">
        <f t="shared" si="90"/>
        <v>94.340876459376602</v>
      </c>
      <c r="V273" s="60">
        <f t="shared" si="90"/>
        <v>76.121932168842406</v>
      </c>
    </row>
    <row r="274" spans="3:22" x14ac:dyDescent="0.2">
      <c r="C274" s="88" t="s">
        <v>150</v>
      </c>
      <c r="D274" s="62">
        <f t="shared" ref="D274:V274" si="91">+IFERROR(IF(D235&gt;0,+((D235/D40)*100)," "),"")</f>
        <v>95.689081518728401</v>
      </c>
      <c r="E274" s="62">
        <f t="shared" si="91"/>
        <v>85.128344838551584</v>
      </c>
      <c r="F274" s="62">
        <f t="shared" si="91"/>
        <v>91.037412889874076</v>
      </c>
      <c r="G274" s="62">
        <f t="shared" si="91"/>
        <v>93.828761420972</v>
      </c>
      <c r="H274" s="62">
        <f t="shared" si="91"/>
        <v>92.392673182396507</v>
      </c>
      <c r="I274" s="62">
        <f t="shared" si="91"/>
        <v>94.43549824379744</v>
      </c>
      <c r="J274" s="62">
        <f t="shared" si="91"/>
        <v>90.398172547571406</v>
      </c>
      <c r="K274" s="62">
        <f t="shared" si="91"/>
        <v>85.400192802155601</v>
      </c>
      <c r="L274" s="62">
        <f t="shared" si="91"/>
        <v>81.952451391414499</v>
      </c>
      <c r="M274" s="62">
        <f t="shared" si="91"/>
        <v>82.094325914355053</v>
      </c>
      <c r="N274" s="62">
        <f t="shared" si="91"/>
        <v>92.086040130605923</v>
      </c>
      <c r="O274" s="62">
        <f t="shared" si="91"/>
        <v>66.51796607654714</v>
      </c>
      <c r="P274" s="62">
        <f t="shared" si="91"/>
        <v>91.924602062889321</v>
      </c>
      <c r="Q274" s="62">
        <f t="shared" si="91"/>
        <v>87.679365399598652</v>
      </c>
      <c r="R274" s="62">
        <f t="shared" si="91"/>
        <v>90.595732249028771</v>
      </c>
      <c r="S274" s="62">
        <f t="shared" si="91"/>
        <v>92.589031555803416</v>
      </c>
      <c r="T274" s="62">
        <f t="shared" si="91"/>
        <v>93.829376085656747</v>
      </c>
      <c r="U274" s="62">
        <f t="shared" si="91"/>
        <v>88.827295048236152</v>
      </c>
      <c r="V274" s="62">
        <f t="shared" si="91"/>
        <v>93.914935265662905</v>
      </c>
    </row>
    <row r="275" spans="3:22" x14ac:dyDescent="0.2">
      <c r="C275" s="87" t="s">
        <v>151</v>
      </c>
      <c r="D275" s="60">
        <f t="shared" ref="D275:V275" si="92">+IFERROR(IF(D236&gt;0,+((D236/D41)*100)," "),"")</f>
        <v>83.128727152620442</v>
      </c>
      <c r="E275" s="60">
        <f t="shared" si="92"/>
        <v>71.863155497689817</v>
      </c>
      <c r="F275" s="60">
        <f t="shared" si="92"/>
        <v>52.779563715997114</v>
      </c>
      <c r="G275" s="60">
        <f t="shared" si="92"/>
        <v>46.602539581465372</v>
      </c>
      <c r="H275" s="60">
        <f t="shared" si="92"/>
        <v>41.464590635791666</v>
      </c>
      <c r="I275" s="60">
        <f t="shared" si="92"/>
        <v>81.630692470508492</v>
      </c>
      <c r="J275" s="60">
        <f t="shared" si="92"/>
        <v>42.062504191862857</v>
      </c>
      <c r="K275" s="60">
        <f t="shared" si="92"/>
        <v>56.29212552312972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179</v>
      </c>
      <c r="D276" s="64">
        <f t="shared" ref="D276:V276" si="93">+IFERROR(IF(D237&gt;0,+((D237/D42)*100)," "),"")</f>
        <v>73.474903513078289</v>
      </c>
      <c r="E276" s="64">
        <f t="shared" si="93"/>
        <v>73.804017373107527</v>
      </c>
      <c r="F276" s="64">
        <f t="shared" si="93"/>
        <v>75.747692171229232</v>
      </c>
      <c r="G276" s="64">
        <f t="shared" si="93"/>
        <v>77.340907723757553</v>
      </c>
      <c r="H276" s="64">
        <f t="shared" si="93"/>
        <v>80.523758326549697</v>
      </c>
      <c r="I276" s="64">
        <f t="shared" si="93"/>
        <v>87.833952786361422</v>
      </c>
      <c r="J276" s="64">
        <f t="shared" si="93"/>
        <v>68.529440369524025</v>
      </c>
      <c r="K276" s="64">
        <f t="shared" si="93"/>
        <v>76.180676597430903</v>
      </c>
      <c r="L276" s="64">
        <f t="shared" si="93"/>
        <v>80.884235485553887</v>
      </c>
      <c r="M276" s="64">
        <f t="shared" si="93"/>
        <v>76.646757844187675</v>
      </c>
      <c r="N276" s="64">
        <f t="shared" si="93"/>
        <v>81.348556100997399</v>
      </c>
      <c r="O276" s="64">
        <f t="shared" si="93"/>
        <v>76.871784953195061</v>
      </c>
      <c r="P276" s="64">
        <f t="shared" si="93"/>
        <v>77.776987881219483</v>
      </c>
      <c r="Q276" s="64">
        <f t="shared" si="93"/>
        <v>75.96158667392416</v>
      </c>
      <c r="R276" s="64">
        <f t="shared" si="93"/>
        <v>81.01304043111935</v>
      </c>
      <c r="S276" s="64">
        <f t="shared" si="93"/>
        <v>83.571170625211749</v>
      </c>
      <c r="T276" s="64">
        <f t="shared" si="93"/>
        <v>87.855159926889158</v>
      </c>
      <c r="U276" s="64">
        <f t="shared" si="93"/>
        <v>89.380956517109809</v>
      </c>
      <c r="V276" s="64">
        <f t="shared" si="93"/>
        <v>85.284936692090696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D2:V2"/>
    <mergeCell ref="K206:K207"/>
    <mergeCell ref="H245:H246"/>
    <mergeCell ref="D204:V204"/>
    <mergeCell ref="D51:D52"/>
    <mergeCell ref="A5:C6"/>
    <mergeCell ref="H206:H207"/>
    <mergeCell ref="I168:I169"/>
    <mergeCell ref="N51:N52"/>
    <mergeCell ref="K168:K169"/>
    <mergeCell ref="E129:E130"/>
    <mergeCell ref="O6:O7"/>
    <mergeCell ref="C90:C91"/>
    <mergeCell ref="E90:E91"/>
    <mergeCell ref="M6:M7"/>
    <mergeCell ref="R129:R130"/>
    <mergeCell ref="E6:E7"/>
    <mergeCell ref="C11:C12"/>
    <mergeCell ref="T129:T130"/>
    <mergeCell ref="E11:E12"/>
    <mergeCell ref="V90:V91"/>
    <mergeCell ref="T51:T52"/>
    <mergeCell ref="V51:V52"/>
    <mergeCell ref="L51:L52"/>
    <mergeCell ref="D4:V4"/>
    <mergeCell ref="H168:H169"/>
    <mergeCell ref="D127:V127"/>
    <mergeCell ref="H6:H7"/>
    <mergeCell ref="J6:J7"/>
    <mergeCell ref="Q206:Q207"/>
    <mergeCell ref="K51:K52"/>
    <mergeCell ref="R168:R169"/>
    <mergeCell ref="M51:M52"/>
    <mergeCell ref="L88:Q88"/>
    <mergeCell ref="T168:T169"/>
    <mergeCell ref="R90:R91"/>
    <mergeCell ref="V6:V7"/>
    <mergeCell ref="Q51:Q52"/>
    <mergeCell ref="E168:E169"/>
    <mergeCell ref="G168:G169"/>
    <mergeCell ref="T6:T7"/>
    <mergeCell ref="L11:L12"/>
    <mergeCell ref="N11:N12"/>
    <mergeCell ref="I90:I91"/>
    <mergeCell ref="U51:U52"/>
    <mergeCell ref="T90:T91"/>
    <mergeCell ref="D6:D7"/>
    <mergeCell ref="F206:F207"/>
    <mergeCell ref="I129:I130"/>
    <mergeCell ref="F6:F7"/>
    <mergeCell ref="M245:M246"/>
    <mergeCell ref="O245:O246"/>
    <mergeCell ref="S90:S91"/>
    <mergeCell ref="Q245:Q246"/>
    <mergeCell ref="E206:E207"/>
    <mergeCell ref="G245:G246"/>
    <mergeCell ref="D245:D246"/>
    <mergeCell ref="D242:V242"/>
    <mergeCell ref="V129:V130"/>
    <mergeCell ref="U129:U130"/>
    <mergeCell ref="F11:F12"/>
    <mergeCell ref="S51:S52"/>
    <mergeCell ref="I245:I246"/>
    <mergeCell ref="F90:F91"/>
    <mergeCell ref="D129:D130"/>
    <mergeCell ref="A7:C7"/>
    <mergeCell ref="I11:I12"/>
    <mergeCell ref="F168:F169"/>
    <mergeCell ref="D90:D91"/>
    <mergeCell ref="D87:V87"/>
    <mergeCell ref="S11:S12"/>
    <mergeCell ref="U11:U12"/>
    <mergeCell ref="L166:Q166"/>
    <mergeCell ref="E51:E52"/>
    <mergeCell ref="M11:M12"/>
    <mergeCell ref="F129:F130"/>
    <mergeCell ref="H129:H130"/>
    <mergeCell ref="K11:K12"/>
    <mergeCell ref="F51:F52"/>
    <mergeCell ref="H51:H52"/>
    <mergeCell ref="M168:M169"/>
    <mergeCell ref="G6:G7"/>
    <mergeCell ref="R51:R52"/>
    <mergeCell ref="O168:O169"/>
    <mergeCell ref="L129:L130"/>
    <mergeCell ref="Q6:Q7"/>
    <mergeCell ref="S6:S7"/>
    <mergeCell ref="U168:U169"/>
    <mergeCell ref="S129:S130"/>
    <mergeCell ref="F245:F246"/>
    <mergeCell ref="O11:O12"/>
    <mergeCell ref="O129:O130"/>
    <mergeCell ref="J90:J91"/>
    <mergeCell ref="L90:L91"/>
    <mergeCell ref="Q129:Q130"/>
    <mergeCell ref="C206:C207"/>
    <mergeCell ref="Q11:Q12"/>
    <mergeCell ref="N168:N169"/>
    <mergeCell ref="P168:P169"/>
    <mergeCell ref="N90:N91"/>
    <mergeCell ref="J129:J130"/>
    <mergeCell ref="J51:J52"/>
    <mergeCell ref="N206:N207"/>
    <mergeCell ref="L243:Q243"/>
    <mergeCell ref="D48:V48"/>
    <mergeCell ref="O90:O91"/>
    <mergeCell ref="R11:R12"/>
    <mergeCell ref="U90:U91"/>
    <mergeCell ref="D11:D12"/>
    <mergeCell ref="P90:P91"/>
    <mergeCell ref="C168:C169"/>
    <mergeCell ref="P11:P12"/>
    <mergeCell ref="V245:V246"/>
    <mergeCell ref="D206:D207"/>
    <mergeCell ref="V11:V12"/>
    <mergeCell ref="C129:C130"/>
    <mergeCell ref="J206:J207"/>
    <mergeCell ref="C51:C52"/>
    <mergeCell ref="G206:G207"/>
    <mergeCell ref="G129:G130"/>
    <mergeCell ref="O51:O52"/>
    <mergeCell ref="S206:S207"/>
    <mergeCell ref="D168:D169"/>
    <mergeCell ref="U206:U207"/>
    <mergeCell ref="P206:P207"/>
    <mergeCell ref="V168:V169"/>
    <mergeCell ref="C245:C246"/>
    <mergeCell ref="G90:G91"/>
    <mergeCell ref="G11:G12"/>
    <mergeCell ref="I206:I207"/>
    <mergeCell ref="O206:O207"/>
    <mergeCell ref="L245:L246"/>
    <mergeCell ref="H90:H91"/>
    <mergeCell ref="L168:L169"/>
    <mergeCell ref="S245:S246"/>
    <mergeCell ref="T11:T12"/>
    <mergeCell ref="U245:U246"/>
    <mergeCell ref="S168:S169"/>
    <mergeCell ref="U6:U7"/>
    <mergeCell ref="P51:P52"/>
    <mergeCell ref="V206:V207"/>
    <mergeCell ref="L6:L7"/>
    <mergeCell ref="N6:N7"/>
    <mergeCell ref="L206:L207"/>
    <mergeCell ref="R206:R207"/>
    <mergeCell ref="N245:N246"/>
    <mergeCell ref="P245:P246"/>
    <mergeCell ref="R245:R246"/>
    <mergeCell ref="T245:T246"/>
    <mergeCell ref="K245:K246"/>
    <mergeCell ref="G51:G52"/>
    <mergeCell ref="Q90:Q91"/>
    <mergeCell ref="I51:I52"/>
    <mergeCell ref="M206:M207"/>
    <mergeCell ref="I6:I7"/>
    <mergeCell ref="Q168:Q169"/>
    <mergeCell ref="N129:N130"/>
    <mergeCell ref="K6:K7"/>
    <mergeCell ref="P129:P130"/>
    <mergeCell ref="J245:J246"/>
    <mergeCell ref="D165:V165"/>
    <mergeCell ref="D9:V9"/>
    <mergeCell ref="K129:K130"/>
    <mergeCell ref="M129:M130"/>
    <mergeCell ref="P6:P7"/>
    <mergeCell ref="R6:R7"/>
    <mergeCell ref="T206:T207"/>
    <mergeCell ref="H11:H12"/>
    <mergeCell ref="J11:J12"/>
    <mergeCell ref="M90:M91"/>
    <mergeCell ref="E245:E246"/>
    <mergeCell ref="K90:K91"/>
    <mergeCell ref="J168:J169"/>
  </mergeCells>
  <pageMargins left="0.7" right="0.7" top="0.75" bottom="0.75" header="0.3" footer="0.3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K300"/>
  <sheetViews>
    <sheetView showGridLines="0" zoomScaleNormal="100" workbookViewId="0">
      <pane xSplit="3" ySplit="9" topLeftCell="D2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M256" sqref="M256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1.75" customHeight="1" x14ac:dyDescent="0.2">
      <c r="A7" s="165" t="s">
        <v>30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.75" customHeight="1" x14ac:dyDescent="0.25">
      <c r="A8" s="175"/>
      <c r="B8" s="175"/>
      <c r="C8" s="175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s="102" customFormat="1" ht="16.5" customHeight="1" x14ac:dyDescent="0.25">
      <c r="A9" s="162" t="s">
        <v>227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1" ht="16.5" customHeight="1" x14ac:dyDescent="0.2"/>
    <row r="11" spans="1:11" ht="16.5" customHeight="1" x14ac:dyDescent="0.2">
      <c r="D11" s="155" t="s">
        <v>194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9.874373218*Deflactores!$T$5</f>
        <v>15.324297478359382</v>
      </c>
      <c r="E15" s="42">
        <f>12.656793*Deflactores!$U$5</f>
        <v>19.331175423666728</v>
      </c>
      <c r="F15" s="42">
        <f>12.815104*Deflactores!$V$5</f>
        <v>18.531499253019419</v>
      </c>
      <c r="G15" s="42">
        <f>11.783882*Deflactores!$W$5</f>
        <v>15.063899512429874</v>
      </c>
      <c r="H15" s="42">
        <f>13.049784*Deflactores!$X$5</f>
        <v>15.265522086839466</v>
      </c>
      <c r="I15" s="42">
        <f>14.082037*Deflactores!$Y$5</f>
        <v>15.658785675770098</v>
      </c>
      <c r="J15" s="42">
        <f>26.355375*Deflactores!$Z$5</f>
        <v>27.883986749999998</v>
      </c>
      <c r="K15" s="42">
        <f>26.503734*Deflactores!$AA$5</f>
        <v>26.503734000000001</v>
      </c>
    </row>
    <row r="16" spans="1:11" x14ac:dyDescent="0.2">
      <c r="C16" s="88" t="s">
        <v>124</v>
      </c>
      <c r="D16" s="50">
        <f>29.89485674*Deflactores!$T$5</f>
        <v>46.394608310084337</v>
      </c>
      <c r="E16" s="50">
        <f>31.933676269*Deflactores!$U$5</f>
        <v>48.773452949623355</v>
      </c>
      <c r="F16" s="50">
        <f>53.758368*Deflactores!$V$5</f>
        <v>77.738203016966779</v>
      </c>
      <c r="G16" s="50">
        <f>75.27867342*Deflactores!$W$5</f>
        <v>96.232325801285668</v>
      </c>
      <c r="H16" s="50">
        <f>85.976565*Deflactores!$X$5</f>
        <v>100.5746265193423</v>
      </c>
      <c r="I16" s="50">
        <f>94.262862*Deflactores!$Y$5</f>
        <v>104.81736081524949</v>
      </c>
      <c r="J16" s="50">
        <f>98.776155587*Deflactores!$Z$5</f>
        <v>104.50517261104601</v>
      </c>
      <c r="K16" s="50">
        <f>101.20535*Deflactores!$AA$5</f>
        <v>101.20535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205.5672126*Deflactores!$T$5</f>
        <v>319.02512170970959</v>
      </c>
      <c r="E18" s="50">
        <f>204.496845306*Deflactores!$U$5</f>
        <v>312.33539097911483</v>
      </c>
      <c r="F18" s="50">
        <f>248.883319*Deflactores!$V$5</f>
        <v>359.90195944859238</v>
      </c>
      <c r="G18" s="50">
        <f>262.595747833*Deflactores!$W$5</f>
        <v>335.68869390814393</v>
      </c>
      <c r="H18" s="50">
        <f>304.598815736*Deflactores!$X$5</f>
        <v>356.31700488246031</v>
      </c>
      <c r="I18" s="50">
        <f>357.45903811*Deflactores!$Y$5</f>
        <v>397.48329489770731</v>
      </c>
      <c r="J18" s="50">
        <f>373.421393077*Deflactores!$Z$5</f>
        <v>395.07983387546602</v>
      </c>
      <c r="K18" s="50">
        <f>453.90556*Deflactores!$AA$5</f>
        <v>453.90555999999998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3.008807644*Deflactores!$T$5</f>
        <v>4.6694471004769786</v>
      </c>
      <c r="E20" s="50">
        <f>3.601877047*Deflactores!$U$5</f>
        <v>5.5012764331403448</v>
      </c>
      <c r="F20" s="50">
        <f>5.287641468*Deflactores!$V$5</f>
        <v>7.6462839407683703</v>
      </c>
      <c r="G20" s="50">
        <f>5.253762918*Deflactores!$W$5</f>
        <v>6.7161362154578894</v>
      </c>
      <c r="H20" s="50">
        <f>4.02640611*Deflactores!$X$5</f>
        <v>4.7100543122238943</v>
      </c>
      <c r="I20" s="50">
        <f>3.745704146*Deflactores!$Y$5</f>
        <v>4.1651061154758695</v>
      </c>
      <c r="J20" s="50">
        <f>4.085617327*Deflactores!$Z$5</f>
        <v>4.3225831319659997</v>
      </c>
      <c r="K20" s="50">
        <f>4.421809*Deflactores!$AA$5</f>
        <v>4.4218089999999997</v>
      </c>
    </row>
    <row r="21" spans="3:11" x14ac:dyDescent="0.2">
      <c r="C21" s="87" t="s">
        <v>129</v>
      </c>
      <c r="D21" s="42">
        <f>2129.2867849904*Deflactores!$T$5</f>
        <v>3304.4957274302151</v>
      </c>
      <c r="E21" s="42">
        <f>1837.981881088*Deflactores!$U$5</f>
        <v>2807.2158696782894</v>
      </c>
      <c r="F21" s="42">
        <f>2276.758078836*Deflactores!$V$5</f>
        <v>3292.3447704564287</v>
      </c>
      <c r="G21" s="42">
        <f>2685.358156853*Deflactores!$W$5</f>
        <v>3432.8216651963667</v>
      </c>
      <c r="H21" s="42">
        <f>2586.2987*Deflactores!$X$5</f>
        <v>3025.4293809011856</v>
      </c>
      <c r="I21" s="42">
        <f>2838.220639961*Deflactores!$Y$5</f>
        <v>3156.0127772492251</v>
      </c>
      <c r="J21" s="42">
        <f>2656.312023546*Deflactores!$Z$5</f>
        <v>2810.3781209116682</v>
      </c>
      <c r="K21" s="42">
        <f>3027.441*Deflactores!$AA$5</f>
        <v>3027.4409999999998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14.585796765*Deflactores!$T$5</f>
        <v>22.636078630115225</v>
      </c>
      <c r="E23" s="42">
        <f>15.311722411*Deflactores!$U$5</f>
        <v>23.386144654931961</v>
      </c>
      <c r="F23" s="42">
        <f>18.039302416*Deflactores!$V$5</f>
        <v>26.086040288638738</v>
      </c>
      <c r="G23" s="42">
        <f>20.096160999*Deflactores!$W$5</f>
        <v>25.68988300074189</v>
      </c>
      <c r="H23" s="42">
        <f>22.864865121*Deflactores!$X$5</f>
        <v>26.747117309928718</v>
      </c>
      <c r="I23" s="42">
        <f>30.246772527*Deflactores!$Y$5</f>
        <v>33.633467117297315</v>
      </c>
      <c r="J23" s="42">
        <f>37.088374354*Deflactores!$Z$5</f>
        <v>39.239500066532003</v>
      </c>
      <c r="K23" s="42">
        <f>37.25972*Deflactores!$AA$5</f>
        <v>37.259720000000002</v>
      </c>
    </row>
    <row r="24" spans="3:11" x14ac:dyDescent="0.2">
      <c r="C24" s="88" t="s">
        <v>132</v>
      </c>
      <c r="D24" s="50">
        <f>61.777593414*Deflactores!$T$5</f>
        <v>95.874259365397961</v>
      </c>
      <c r="E24" s="50">
        <f>63.72627*Deflactores!$U$5</f>
        <v>97.331425461880457</v>
      </c>
      <c r="F24" s="50">
        <f>134.605204304*Deflactores!$V$5</f>
        <v>194.64814667224726</v>
      </c>
      <c r="G24" s="50">
        <f>139.755764043*Deflactores!$W$5</f>
        <v>178.65647210542437</v>
      </c>
      <c r="H24" s="50">
        <f>147.139003912*Deflactores!$X$5</f>
        <v>172.12190746254456</v>
      </c>
      <c r="I24" s="50">
        <f>167.415010744*Deflactores!$Y$5</f>
        <v>186.16026730699858</v>
      </c>
      <c r="J24" s="50">
        <f>175.717042415*Deflactores!$Z$5</f>
        <v>185.90863087507003</v>
      </c>
      <c r="K24" s="50">
        <f>197.326067*Deflactores!$AA$5</f>
        <v>197.32606699999999</v>
      </c>
    </row>
    <row r="25" spans="3:11" x14ac:dyDescent="0.2">
      <c r="C25" s="87" t="s">
        <v>133</v>
      </c>
      <c r="D25" s="42">
        <f>9.915022743*Deflactores!$T$5</f>
        <v>15.387382536995657</v>
      </c>
      <c r="E25" s="42">
        <f>11.41443845*Deflactores!$U$5</f>
        <v>17.433682611353174</v>
      </c>
      <c r="F25" s="42">
        <f>18.820796584*Deflactores!$V$5</f>
        <v>27.21613323135157</v>
      </c>
      <c r="G25" s="42">
        <f>17.2776*Deflactores!$W$5</f>
        <v>22.086781776663955</v>
      </c>
      <c r="H25" s="42">
        <f>18.4991*Deflactores!$X$5</f>
        <v>21.640083823353088</v>
      </c>
      <c r="I25" s="42">
        <f>20.047849*Deflactores!$Y$5</f>
        <v>22.292582440395652</v>
      </c>
      <c r="J25" s="42">
        <f>20.995068*Deflactores!$Z$5</f>
        <v>22.212781944</v>
      </c>
      <c r="K25" s="42">
        <f>26.177724*Deflactores!$AA$5</f>
        <v>26.177724000000001</v>
      </c>
    </row>
    <row r="26" spans="3:11" x14ac:dyDescent="0.2">
      <c r="C26" s="88" t="s">
        <v>134</v>
      </c>
      <c r="D26" s="50">
        <f>215.16*Deflactores!$T$5</f>
        <v>333.9124188088598</v>
      </c>
      <c r="E26" s="50">
        <f>247.162*Deflactores!$U$5</f>
        <v>377.49941711650939</v>
      </c>
      <c r="F26" s="50">
        <f>271.830916*Deflactores!$V$5</f>
        <v>393.08572265988511</v>
      </c>
      <c r="G26" s="50">
        <f>283.744*Deflactores!$W$5</f>
        <v>362.7235153283869</v>
      </c>
      <c r="H26" s="50">
        <f>326.497*Deflactores!$X$5</f>
        <v>381.93330746216378</v>
      </c>
      <c r="I26" s="50">
        <f>418.507*Deflactores!$Y$5</f>
        <v>465.36672335185006</v>
      </c>
      <c r="J26" s="50">
        <f>373.316251716*Deflactores!$Z$5</f>
        <v>394.96859431552804</v>
      </c>
      <c r="K26" s="50">
        <f>518.4256*Deflactores!$AA$5</f>
        <v>518.42560000000003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1066.74352675*Deflactores!$Y$5</f>
        <v>1186.1855111155705</v>
      </c>
      <c r="J27" s="42">
        <f>1145.058398943*Deflactores!$Z$5</f>
        <v>1211.4717860816941</v>
      </c>
      <c r="K27" s="42">
        <f>1280.212407*Deflactores!$AA$5</f>
        <v>1280.212407</v>
      </c>
    </row>
    <row r="28" spans="3:11" x14ac:dyDescent="0.2">
      <c r="C28" s="88" t="s">
        <v>136</v>
      </c>
      <c r="D28" s="50">
        <f>633.043686631*Deflactores!$T$5</f>
        <v>982.43701717157035</v>
      </c>
      <c r="E28" s="50">
        <f>623.557101081*Deflactores!$U$5</f>
        <v>952.38120017210508</v>
      </c>
      <c r="F28" s="50">
        <f>734.06*Deflactores!$V$5</f>
        <v>1061.4999567441228</v>
      </c>
      <c r="G28" s="50">
        <f>748.195203527*Deflactores!$W$5</f>
        <v>956.45368492426735</v>
      </c>
      <c r="H28" s="50">
        <f>858.57009*Deflactores!$X$5</f>
        <v>1004.347709662838</v>
      </c>
      <c r="I28" s="50">
        <f>64.1165088*Deflactores!$Y$5</f>
        <v>71.295556855718218</v>
      </c>
      <c r="J28" s="50">
        <f>36.758051233*Deflactores!$Z$5</f>
        <v>38.890018204514007</v>
      </c>
      <c r="K28" s="50">
        <f>67.6371*Deflactores!$AA$5</f>
        <v>67.637100000000004</v>
      </c>
    </row>
    <row r="29" spans="3:11" x14ac:dyDescent="0.2">
      <c r="C29" s="87" t="s">
        <v>137</v>
      </c>
      <c r="D29" s="42">
        <f>3.943*Deflactores!$T$5</f>
        <v>6.119244596408878</v>
      </c>
      <c r="E29" s="42">
        <f>5.780000001*Deflactores!$U$5</f>
        <v>8.8280020039930243</v>
      </c>
      <c r="F29" s="42">
        <f>9.694*Deflactores!$V$5</f>
        <v>14.018173692446839</v>
      </c>
      <c r="G29" s="42">
        <f>11.851*Deflactores!$W$5</f>
        <v>15.149699659399717</v>
      </c>
      <c r="H29" s="42">
        <f>5.182*Deflactores!$X$5</f>
        <v>6.0618578402525376</v>
      </c>
      <c r="I29" s="42">
        <f>9.174*Deflactores!$Y$5</f>
        <v>10.201201700401361</v>
      </c>
      <c r="J29" s="42">
        <f>10.360683497*Deflactores!$Z$5</f>
        <v>10.961603139826</v>
      </c>
      <c r="K29" s="42">
        <f>14.809*Deflactores!$AA$5</f>
        <v>14.808999999999999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106.570360693*Deflactores!$T$5</f>
        <v>165.38932381637974</v>
      </c>
      <c r="E31" s="42">
        <f>116.069788985*Deflactores!$U$5</f>
        <v>177.27756567220584</v>
      </c>
      <c r="F31" s="42">
        <f>131.144217016*Deflactores!$V$5</f>
        <v>189.64332709822881</v>
      </c>
      <c r="G31" s="42">
        <f>164.184372976*Deflactores!$W$5</f>
        <v>209.88473034792531</v>
      </c>
      <c r="H31" s="42">
        <f>173.596287573*Deflactores!$X$5</f>
        <v>203.07140425764649</v>
      </c>
      <c r="I31" s="42">
        <f>228.9817870285*Deflactores!$Y$5</f>
        <v>254.62060117681236</v>
      </c>
      <c r="J31" s="42">
        <f>217.966224135*Deflactores!$Z$5</f>
        <v>230.60826513483002</v>
      </c>
      <c r="K31" s="42">
        <f>204.946*Deflactores!$AA$5</f>
        <v>204.946</v>
      </c>
    </row>
    <row r="32" spans="3:11" x14ac:dyDescent="0.2">
      <c r="C32" s="88" t="s">
        <v>161</v>
      </c>
      <c r="D32" s="50">
        <f>381.510950756*Deflactores!$T$5</f>
        <v>592.07680037648151</v>
      </c>
      <c r="E32" s="50">
        <f>426.408096533*Deflactores!$U$5</f>
        <v>651.26843080638514</v>
      </c>
      <c r="F32" s="50">
        <f>483.1908*Deflactores!$V$5</f>
        <v>698.72628027566975</v>
      </c>
      <c r="G32" s="50">
        <f>510.897690805*Deflactores!$W$5</f>
        <v>653.10493396140498</v>
      </c>
      <c r="H32" s="50">
        <f>921.63345482*Deflactores!$X$5</f>
        <v>1078.1186769470569</v>
      </c>
      <c r="I32" s="50">
        <f>787.673307*Deflactores!$Y$5</f>
        <v>875.86813589809935</v>
      </c>
      <c r="J32" s="50">
        <f>587.400996647*Deflactores!$Z$5</f>
        <v>621.47025445252609</v>
      </c>
      <c r="K32" s="50">
        <f>831.803341596*Deflactores!$AA$5</f>
        <v>831.803341596</v>
      </c>
    </row>
    <row r="33" spans="1:11" x14ac:dyDescent="0.2">
      <c r="C33" s="87" t="s">
        <v>140</v>
      </c>
      <c r="D33" s="42">
        <f>499.77574832*Deflactores!$T$5</f>
        <v>775.61502595063735</v>
      </c>
      <c r="E33" s="42">
        <f>983.662354914*Deflactores!$U$5</f>
        <v>1502.3829133098452</v>
      </c>
      <c r="F33" s="42">
        <f>1038.318977773*Deflactores!$V$5</f>
        <v>1501.4788300583618</v>
      </c>
      <c r="G33" s="42">
        <f>701.423139864*Deflactores!$W$5</f>
        <v>896.66272070649893</v>
      </c>
      <c r="H33" s="42">
        <f>1473.487164118*Deflactores!$X$5</f>
        <v>1723.6722729294047</v>
      </c>
      <c r="I33" s="42">
        <f>4176.090428099*Deflactores!$Y$5</f>
        <v>4643.68222979653</v>
      </c>
      <c r="J33" s="42">
        <f>3440.721141471*Deflactores!$Z$5</f>
        <v>3640.2829676763181</v>
      </c>
      <c r="K33" s="42">
        <f>2908.906357256*Deflactores!$AA$5</f>
        <v>2908.9063572559999</v>
      </c>
    </row>
    <row r="34" spans="1:11" x14ac:dyDescent="0.2">
      <c r="C34" s="88" t="s">
        <v>141</v>
      </c>
      <c r="D34" s="50">
        <f>20.727*Deflactores!$T$5</f>
        <v>32.166772191165812</v>
      </c>
      <c r="E34" s="50">
        <f>21.347*Deflactores!$U$5</f>
        <v>32.604041305646199</v>
      </c>
      <c r="F34" s="50">
        <f>20.93313*Deflactores!$V$5</f>
        <v>30.270708919596622</v>
      </c>
      <c r="G34" s="50">
        <f>30.577919*Deflactores!$W$5</f>
        <v>39.089215176732097</v>
      </c>
      <c r="H34" s="50">
        <f>49.815*Deflactores!$X$5</f>
        <v>58.273147107715189</v>
      </c>
      <c r="I34" s="50">
        <f>17.75*Deflactores!$Y$5</f>
        <v>19.737446063017675</v>
      </c>
      <c r="J34" s="50">
        <f>18.674*Deflactores!$Z$5</f>
        <v>19.757092</v>
      </c>
      <c r="K34" s="50">
        <f>21.23473*Deflactores!$AA$5</f>
        <v>21.234729999999999</v>
      </c>
    </row>
    <row r="35" spans="1:11" x14ac:dyDescent="0.2">
      <c r="C35" s="87" t="s">
        <v>142</v>
      </c>
      <c r="D35" s="42">
        <f>118.935174232*Deflactores!$T$5</f>
        <v>184.57860061935438</v>
      </c>
      <c r="E35" s="42">
        <f>320.837245378999*Deflactores!$U$5</f>
        <v>490.0262707043907</v>
      </c>
      <c r="F35" s="42">
        <f>702.192626879*Deflactores!$V$5</f>
        <v>1015.4175994579468</v>
      </c>
      <c r="G35" s="42">
        <f>274.193814522*Deflactores!$W$5</f>
        <v>350.51505682840713</v>
      </c>
      <c r="H35" s="42">
        <f>298.9227*Deflactores!$X$5</f>
        <v>349.67713481753322</v>
      </c>
      <c r="I35" s="42">
        <f>264.349662781*Deflactores!$Y$5</f>
        <v>293.9485752629239</v>
      </c>
      <c r="J35" s="42">
        <f>221.0677439*Deflactores!$Z$5</f>
        <v>233.88967304620002</v>
      </c>
      <c r="K35" s="42">
        <f>322.816369*Deflactores!$AA$5</f>
        <v>322.81636900000001</v>
      </c>
    </row>
    <row r="36" spans="1:11" x14ac:dyDescent="0.2">
      <c r="C36" s="88" t="s">
        <v>143</v>
      </c>
      <c r="D36" s="50">
        <f>0.0846*Deflactores!$T$5</f>
        <v>0.13129294771904412</v>
      </c>
      <c r="E36" s="50">
        <f>0*Deflactores!$U$5</f>
        <v>0</v>
      </c>
      <c r="F36" s="50">
        <f>0.018*Deflactores!$V$5</f>
        <v>2.6029206361052513E-2</v>
      </c>
      <c r="G36" s="50">
        <f>0*Deflactores!$W$5</f>
        <v>0</v>
      </c>
      <c r="H36" s="50">
        <f>0.004*Deflactores!$X$5</f>
        <v>4.6791646779255399E-3</v>
      </c>
      <c r="I36" s="50">
        <f>0*Deflactores!$Y$5</f>
        <v>0</v>
      </c>
      <c r="J36" s="50">
        <f>0*Deflactores!$Z$5</f>
        <v>0</v>
      </c>
      <c r="K36" s="50">
        <f>0.000913356*Deflactores!$AA$5</f>
        <v>9.1335600000000004E-4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47.42121333*Deflactores!$T$5</f>
        <v>73.59421846937741</v>
      </c>
      <c r="E38" s="50">
        <f>47.11509959*Deflactores!$U$5</f>
        <v>71.960587115378942</v>
      </c>
      <c r="F38" s="50">
        <f>53.82265*Deflactores!$V$5</f>
        <v>77.831159097150177</v>
      </c>
      <c r="G38" s="50">
        <f>73.978749484*Deflactores!$W$5</f>
        <v>94.570570910519933</v>
      </c>
      <c r="H38" s="50">
        <f>81.155268588*Deflactores!$X$5</f>
        <v>94.934716551132425</v>
      </c>
      <c r="I38" s="50">
        <f>96.114030035*Deflactores!$Y$5</f>
        <v>106.87580189944076</v>
      </c>
      <c r="J38" s="50">
        <f>87.185964925*Deflactores!$Z$5</f>
        <v>92.242750890650001</v>
      </c>
      <c r="K38" s="50">
        <f>88.648459*Deflactores!$AA$5</f>
        <v>88.648459000000003</v>
      </c>
    </row>
    <row r="39" spans="1:11" x14ac:dyDescent="0.2">
      <c r="C39" s="87" t="s">
        <v>146</v>
      </c>
      <c r="D39" s="42">
        <f>213.806*Deflactores!$T$5</f>
        <v>331.81111087491672</v>
      </c>
      <c r="E39" s="42">
        <f>186.496106801*Deflactores!$U$5</f>
        <v>284.84221527530838</v>
      </c>
      <c r="F39" s="42">
        <f>226.136*Deflactores!$V$5</f>
        <v>327.00781164794284</v>
      </c>
      <c r="G39" s="42">
        <f>199.145*Deflactores!$W$5</f>
        <v>254.57657064139369</v>
      </c>
      <c r="H39" s="42">
        <f>213.837*Deflactores!$X$5</f>
        <v>250.14463430839089</v>
      </c>
      <c r="I39" s="42">
        <f>353.233*Deflactores!$Y$5</f>
        <v>392.78407240439003</v>
      </c>
      <c r="J39" s="42">
        <f>435.329523308*Deflactores!$Z$5</f>
        <v>460.57863565986401</v>
      </c>
      <c r="K39" s="42">
        <f>460.011*Deflactores!$AA$5</f>
        <v>460.01100000000002</v>
      </c>
    </row>
    <row r="40" spans="1:11" x14ac:dyDescent="0.2">
      <c r="C40" s="88" t="s">
        <v>162</v>
      </c>
      <c r="D40" s="50">
        <f>496.706518021*Deflactores!$T$5</f>
        <v>770.85180735507822</v>
      </c>
      <c r="E40" s="50">
        <f>420.49039*Deflactores!$U$5</f>
        <v>642.23010466048049</v>
      </c>
      <c r="F40" s="50">
        <f>456.000145114*Deflactores!$V$5</f>
        <v>659.40677099123332</v>
      </c>
      <c r="G40" s="50">
        <f>512.9522203*Deflactores!$W$5</f>
        <v>655.73133720084707</v>
      </c>
      <c r="H40" s="50">
        <f>606.636703*Deflactores!$X$5</f>
        <v>709.63825825270158</v>
      </c>
      <c r="I40" s="50">
        <f>652.97083*Deflactores!$Y$5</f>
        <v>726.08318523092305</v>
      </c>
      <c r="J40" s="50">
        <f>714.164442887*Deflactores!$Z$5</f>
        <v>755.58598057444601</v>
      </c>
      <c r="K40" s="50">
        <f>756.023144*Deflactores!$AA$5</f>
        <v>756.023144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435.849175605*Deflactores!$T$5</f>
        <v>676.40570952831865</v>
      </c>
      <c r="E42" s="50">
        <f>262.970153947*Deflactores!$U$5</f>
        <v>401.64377952125011</v>
      </c>
      <c r="F42" s="50">
        <f>773.413823779*Deflactores!$V$5</f>
        <v>1118.4082234241275</v>
      </c>
      <c r="G42" s="50">
        <f>824.248113649*Deflactores!$W$5</f>
        <v>1053.6757545024986</v>
      </c>
      <c r="H42" s="50">
        <f>920.652094339*Deflactores!$X$5</f>
        <v>1076.9706901223051</v>
      </c>
      <c r="I42" s="50">
        <f>672.997724775*Deflactores!$Y$5</f>
        <v>748.35246722705233</v>
      </c>
      <c r="J42" s="50">
        <f>690.863663458*Deflactores!$Z$5</f>
        <v>730.9337559385641</v>
      </c>
      <c r="K42" s="50">
        <f>469.230332*Deflactores!$AA$5</f>
        <v>469.23033199999998</v>
      </c>
    </row>
    <row r="43" spans="1:11" x14ac:dyDescent="0.2">
      <c r="C43" s="87" t="s">
        <v>163</v>
      </c>
      <c r="D43" s="42">
        <f>88.206781199*Deflactores!$T$5</f>
        <v>136.89040558422545</v>
      </c>
      <c r="E43" s="42">
        <f>91.463310045*Deflactores!$U$5</f>
        <v>139.69520488397924</v>
      </c>
      <c r="F43" s="42">
        <f>93.62579693*Deflactores!$V$5</f>
        <v>135.38917716716486</v>
      </c>
      <c r="G43" s="42">
        <f>99.411152*Deflactores!$W$5</f>
        <v>127.08202646147443</v>
      </c>
      <c r="H43" s="42">
        <f>113.731571*Deflactores!$X$5</f>
        <v>133.04218744704517</v>
      </c>
      <c r="I43" s="42">
        <f>124.606214*Deflactores!$Y$5</f>
        <v>138.5582212924979</v>
      </c>
      <c r="J43" s="42">
        <f>127.990194*Deflactores!$Z$5</f>
        <v>135.413625252</v>
      </c>
      <c r="K43" s="42">
        <f>136.827084*Deflactores!$AA$5</f>
        <v>136.82708400000001</v>
      </c>
    </row>
    <row r="44" spans="1:11" x14ac:dyDescent="0.2">
      <c r="C44" s="88" t="s">
        <v>150</v>
      </c>
      <c r="D44" s="50">
        <f>799.28190692*Deflactores!$T$5</f>
        <v>1240.4264493856438</v>
      </c>
      <c r="E44" s="50">
        <f>741.767168476*Deflactores!$U$5</f>
        <v>1132.9276900812165</v>
      </c>
      <c r="F44" s="50">
        <f>777.83016*Deflactores!$V$5</f>
        <v>1124.7945415828053</v>
      </c>
      <c r="G44" s="50">
        <f>836.381418*Deflactores!$W$5</f>
        <v>1069.1863373051094</v>
      </c>
      <c r="H44" s="50">
        <f>1115.23707028*Deflactores!$X$5</f>
        <v>1304.5944766918346</v>
      </c>
      <c r="I44" s="50">
        <f>1009.215115092*Deflactores!$Y$5</f>
        <v>1122.2157126822831</v>
      </c>
      <c r="J44" s="50">
        <f>1044.209790286*Deflactores!$Z$5</f>
        <v>1104.7739581225881</v>
      </c>
      <c r="K44" s="50">
        <f>1699.752795005*Deflactores!$AA$5</f>
        <v>1699.7527950050001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179</v>
      </c>
      <c r="D46" s="44">
        <f t="shared" ref="D46:K46" si="0">+SUM(D15:D45)</f>
        <v>10126.213120237491</v>
      </c>
      <c r="E46" s="44">
        <f t="shared" si="0"/>
        <v>10196.875840820694</v>
      </c>
      <c r="F46" s="44">
        <f t="shared" si="0"/>
        <v>12351.117348331054</v>
      </c>
      <c r="G46" s="44">
        <f t="shared" si="0"/>
        <v>10851.362011471379</v>
      </c>
      <c r="H46" s="44">
        <f t="shared" si="0"/>
        <v>12097.290850860578</v>
      </c>
      <c r="I46" s="44">
        <f t="shared" si="0"/>
        <v>14975.999083575633</v>
      </c>
      <c r="J46" s="44">
        <f t="shared" si="0"/>
        <v>13271.359570655297</v>
      </c>
      <c r="K46" s="44">
        <f t="shared" si="0"/>
        <v>13655.525596213001</v>
      </c>
    </row>
    <row r="47" spans="1:11" s="31" customFormat="1" x14ac:dyDescent="0.2">
      <c r="A47" s="5"/>
      <c r="B47" s="5"/>
      <c r="C47" s="72" t="str">
        <f>+'C1 Aprop Resumen 2000-2026'!B20</f>
        <v>* Información con corte a 30 de abril</v>
      </c>
      <c r="D47" s="121">
        <f>+D46-'C7 Ejec. Prop 19-26'!D14</f>
        <v>0</v>
      </c>
      <c r="E47" s="121">
        <f>+E46-'C7 Ejec. Prop 19-26'!E14</f>
        <v>0</v>
      </c>
      <c r="F47" s="121">
        <f>+F46-'C7 Ejec. Prop 19-26'!F14</f>
        <v>0</v>
      </c>
      <c r="G47" s="121">
        <f>+G46-'C7 Ejec. Prop 19-26'!G14</f>
        <v>0</v>
      </c>
      <c r="H47" s="121">
        <f>+H46-'C7 Ejec. Prop 19-26'!H14</f>
        <v>0</v>
      </c>
      <c r="I47" s="121">
        <f>+I46-'C7 Ejec. Prop 19-26'!I14</f>
        <v>0</v>
      </c>
      <c r="J47" s="121">
        <f>+J46-'C7 Ejec. Prop 19-26'!J14</f>
        <v>0</v>
      </c>
      <c r="K47" s="121">
        <f>+K46-'C7 Ejec. Prop 19-26'!K14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55" t="s">
        <v>195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76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10</v>
      </c>
    </row>
    <row r="57" spans="3:11" ht="12" customHeight="1" thickBot="1" x14ac:dyDescent="0.25">
      <c r="C57" s="160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7.71253461426*Deflactores!$T$5</f>
        <v>11.969283733940383</v>
      </c>
      <c r="E58" s="42">
        <f>9.21093058214*Deflactores!$U$5</f>
        <v>14.068185748045735</v>
      </c>
      <c r="F58" s="42">
        <f>12.64362467004*Deflactores!$V$5</f>
        <v>18.283528649342536</v>
      </c>
      <c r="G58" s="42">
        <f>11.60489584514*Deflactores!$W$5</f>
        <v>14.835092956922338</v>
      </c>
      <c r="H58" s="42">
        <f>10.0515727279*Deflactores!$X$5</f>
        <v>11.758241016497335</v>
      </c>
      <c r="I58" s="42">
        <f>13.22315631727*Deflactores!$Y$5</f>
        <v>14.703737160279891</v>
      </c>
      <c r="J58" s="42">
        <f>25.9781244264*Deflactores!$Z$5</f>
        <v>27.484855643131201</v>
      </c>
      <c r="K58" s="42">
        <f>7.92924701741*Deflactores!$AA$5</f>
        <v>7.9292470174099998</v>
      </c>
    </row>
    <row r="59" spans="3:11" x14ac:dyDescent="0.2">
      <c r="C59" s="88" t="s">
        <v>124</v>
      </c>
      <c r="D59" s="50">
        <f>28.804955961*Deflactores!$T$5</f>
        <v>44.703162849136433</v>
      </c>
      <c r="E59" s="50">
        <f>31.792820814*Deflactores!$U$5</f>
        <v>48.558319344294944</v>
      </c>
      <c r="F59" s="50">
        <f>53.650168*Deflactores!$V$5</f>
        <v>77.581738565396449</v>
      </c>
      <c r="G59" s="50">
        <f>74.76395442*Deflactores!$W$5</f>
        <v>95.574335905159899</v>
      </c>
      <c r="H59" s="50">
        <f>82.011565*Deflactores!$X$5</f>
        <v>95.936404532348618</v>
      </c>
      <c r="I59" s="50">
        <f>93.368973295*Deflactores!$Y$5</f>
        <v>103.82338447151551</v>
      </c>
      <c r="J59" s="50">
        <f>97.483247939*Deflactores!$Z$5</f>
        <v>103.137276319462</v>
      </c>
      <c r="K59" s="50">
        <f>100.201463494*Deflactores!$AA$5</f>
        <v>100.201463494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194.92602389727*Deflactores!$T$5</f>
        <v>302.51078326980399</v>
      </c>
      <c r="E61" s="50">
        <f>186.70607674911*Deflactores!$U$5</f>
        <v>285.16290993315835</v>
      </c>
      <c r="F61" s="50">
        <f>218.693388802729*Deflactores!$V$5</f>
        <v>316.24529705245141</v>
      </c>
      <c r="G61" s="50">
        <f>243.29557349899*Deflactores!$W$5</f>
        <v>311.01635870146885</v>
      </c>
      <c r="H61" s="50">
        <f>269.6757730166*Deflactores!$X$5</f>
        <v>315.464337897885</v>
      </c>
      <c r="I61" s="50">
        <f>319.07331026415*Deflactores!$Y$5</f>
        <v>354.79956346406561</v>
      </c>
      <c r="J61" s="50">
        <f>328.13047837618*Deflactores!$Z$5</f>
        <v>347.16204612199846</v>
      </c>
      <c r="K61" s="50">
        <f>127.75499010821*Deflactores!$AA$5</f>
        <v>127.75499010821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2.88480179123999*Deflactores!$T$5</f>
        <v>4.4769991815257315</v>
      </c>
      <c r="E63" s="50">
        <f>3.48691293764999*Deflactores!$U$5</f>
        <v>5.3256876117642946</v>
      </c>
      <c r="F63" s="50">
        <f>4.20654736953*Deflactores!$V$5</f>
        <v>6.0829494193910554</v>
      </c>
      <c r="G63" s="50">
        <f>4.93625700979*Deflactores!$W$5</f>
        <v>6.3102532393827548</v>
      </c>
      <c r="H63" s="50">
        <f>3.80838277876999*Deflactores!$X$5</f>
        <v>4.4550125446101134</v>
      </c>
      <c r="I63" s="50">
        <f>2.75182467234*Deflactores!$Y$5</f>
        <v>3.0599431574756082</v>
      </c>
      <c r="J63" s="50">
        <f>3.9810793465*Deflactores!$Z$5</f>
        <v>4.2119819485970007</v>
      </c>
      <c r="K63" s="50">
        <f>1.87725674484*Deflactores!$AA$5</f>
        <v>1.8772567448399999</v>
      </c>
    </row>
    <row r="64" spans="3:11" x14ac:dyDescent="0.2">
      <c r="C64" s="87" t="s">
        <v>129</v>
      </c>
      <c r="D64" s="42">
        <f>1994.92906809165*Deflactores!$T$5</f>
        <v>3095.9824803801234</v>
      </c>
      <c r="E64" s="42">
        <f>1801.13938940051*Deflactores!$U$5</f>
        <v>2750.9450062884994</v>
      </c>
      <c r="F64" s="42">
        <f>1762.10630138961*Deflactores!$V$5</f>
        <v>2548.1238082767309</v>
      </c>
      <c r="G64" s="42">
        <f>2517.34238723151*Deflactores!$W$5</f>
        <v>3218.0390774140305</v>
      </c>
      <c r="H64" s="42">
        <f>2318.18430862054*Deflactores!$X$5</f>
        <v>2711.7915334546174</v>
      </c>
      <c r="I64" s="42">
        <f>2557.75080101413*Deflactores!$Y$5</f>
        <v>2844.1390691637548</v>
      </c>
      <c r="J64" s="42">
        <f>2591.16656565197*Deflactores!$Z$5</f>
        <v>2741.4542264597844</v>
      </c>
      <c r="K64" s="42">
        <f>968.40480262033*Deflactores!$AA$5</f>
        <v>968.40480262032997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13.55138631989*Deflactores!$T$5</f>
        <v>21.030750066405293</v>
      </c>
      <c r="E66" s="42">
        <f>13.0555598677*Deflactores!$U$5</f>
        <v>19.940226410963021</v>
      </c>
      <c r="F66" s="42">
        <f>14.9628052668199*Deflactores!$V$5</f>
        <v>21.637219223905479</v>
      </c>
      <c r="G66" s="42">
        <f>18.37510635954*Deflactores!$W$5</f>
        <v>23.489776605903018</v>
      </c>
      <c r="H66" s="42">
        <f>20.9382675282*Deflactores!$X$5</f>
        <v>24.493400458727187</v>
      </c>
      <c r="I66" s="42">
        <f>27.39759694801*Deflactores!$Y$5</f>
        <v>30.465272789726484</v>
      </c>
      <c r="J66" s="42">
        <f>35.28134630775*Deflactores!$Z$5</f>
        <v>37.327664393599498</v>
      </c>
      <c r="K66" s="42">
        <f>16.59525230235*Deflactores!$AA$5</f>
        <v>16.595252302350001</v>
      </c>
    </row>
    <row r="67" spans="3:11" x14ac:dyDescent="0.2">
      <c r="C67" s="88" t="s">
        <v>132</v>
      </c>
      <c r="D67" s="50">
        <f>56.84781587905*Deflactores!$T$5</f>
        <v>88.223608961583452</v>
      </c>
      <c r="E67" s="50">
        <f>54.60947867311*Deflactores!$U$5</f>
        <v>83.407021986128427</v>
      </c>
      <c r="F67" s="50">
        <f>62.48851234716*Deflactores!$V$5</f>
        <v>90.362576837744754</v>
      </c>
      <c r="G67" s="50">
        <f>107.18058638526*Deflactores!$W$5</f>
        <v>137.01406573749347</v>
      </c>
      <c r="H67" s="50">
        <f>130.18242896214*Deflactores!$X$5</f>
        <v>152.28625582154908</v>
      </c>
      <c r="I67" s="50">
        <f>141.06959015706*Deflactores!$Y$5</f>
        <v>156.86498179475947</v>
      </c>
      <c r="J67" s="50">
        <f>154.669905045909*Deflactores!$Z$5</f>
        <v>163.64075953857173</v>
      </c>
      <c r="K67" s="50">
        <f>58.8251645198099*Deflactores!$AA$5</f>
        <v>58.825164519809903</v>
      </c>
    </row>
    <row r="68" spans="3:11" x14ac:dyDescent="0.2">
      <c r="C68" s="87" t="s">
        <v>133</v>
      </c>
      <c r="D68" s="42">
        <f>9.83768054737*Deflactores!$T$5</f>
        <v>15.267353165277861</v>
      </c>
      <c r="E68" s="42">
        <f>10.76858734012*Deflactores!$U$5</f>
        <v>16.447250969257095</v>
      </c>
      <c r="F68" s="42">
        <f>14.60461502976*Deflactores!$V$5</f>
        <v>21.11925213518623</v>
      </c>
      <c r="G68" s="42">
        <f>14.87513921492*Deflactores!$W$5</f>
        <v>19.01560134147303</v>
      </c>
      <c r="H68" s="42">
        <f>17.57692989348*Deflactores!$X$5</f>
        <v>20.561337375986284</v>
      </c>
      <c r="I68" s="42">
        <f>18.64101389746*Deflactores!$Y$5</f>
        <v>20.728225710483361</v>
      </c>
      <c r="J68" s="42">
        <f>20.75269195792*Deflactores!$Z$5</f>
        <v>21.956348091479359</v>
      </c>
      <c r="K68" s="42">
        <f>14.35444408696*Deflactores!$AA$5</f>
        <v>14.354444086959999</v>
      </c>
    </row>
    <row r="69" spans="3:11" x14ac:dyDescent="0.2">
      <c r="C69" s="88" t="s">
        <v>134</v>
      </c>
      <c r="D69" s="50">
        <f>194.35944013853*Deflactores!$T$5</f>
        <v>301.63148714906276</v>
      </c>
      <c r="E69" s="50">
        <f>207.82726675106*Deflactores!$U$5</f>
        <v>317.42206350265189</v>
      </c>
      <c r="F69" s="50">
        <f>226.64329356223*Deflactores!$V$5</f>
        <v>327.7413921377717</v>
      </c>
      <c r="G69" s="50">
        <f>251.234670822859*Deflactores!$W$5</f>
        <v>321.1652862201052</v>
      </c>
      <c r="H69" s="50">
        <f>282.107841877519*Deflactores!$X$5</f>
        <v>330.00726226977253</v>
      </c>
      <c r="I69" s="50">
        <f>315.71200651541*Deflactores!$Y$5</f>
        <v>351.06189859408391</v>
      </c>
      <c r="J69" s="50">
        <f>345.45254931019*Deflactores!$Z$5</f>
        <v>365.48879717018104</v>
      </c>
      <c r="K69" s="50">
        <f>98.70673005736*Deflactores!$AA$5</f>
        <v>98.706730057360005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884.21173110629*Deflactores!$Y$5</f>
        <v>983.21585076044437</v>
      </c>
      <c r="J70" s="42">
        <f>1132.28453313007*Deflactores!$Z$5</f>
        <v>1197.9570360516141</v>
      </c>
      <c r="K70" s="42">
        <f>294.04275755741*Deflactores!$AA$5</f>
        <v>294.04275755741003</v>
      </c>
    </row>
    <row r="71" spans="3:11" x14ac:dyDescent="0.2">
      <c r="C71" s="88" t="s">
        <v>136</v>
      </c>
      <c r="D71" s="50">
        <f>573.5275036828*Deflactores!$T$5</f>
        <v>890.0722997217465</v>
      </c>
      <c r="E71" s="50">
        <f>597.50635358736*Deflactores!$U$5</f>
        <v>912.59295604760973</v>
      </c>
      <c r="F71" s="50">
        <f>617.7963821701*Deflactores!$V$5</f>
        <v>893.37497336762203</v>
      </c>
      <c r="G71" s="50">
        <f>700.01234859974*Deflactores!$W$5</f>
        <v>894.85923881166786</v>
      </c>
      <c r="H71" s="50">
        <f>738.05660335117*Deflactores!$X$5</f>
        <v>863.3720971776238</v>
      </c>
      <c r="I71" s="50">
        <f>1.78110219585*Deflactores!$Y$5</f>
        <v>1.9805300576513645</v>
      </c>
      <c r="J71" s="50">
        <f>31.62720305825*Deflactores!$Z$5</f>
        <v>33.461580835628503</v>
      </c>
      <c r="K71" s="50">
        <f>0.216073099259999*Deflactores!$AA$5</f>
        <v>0.21607309925999901</v>
      </c>
    </row>
    <row r="72" spans="3:11" x14ac:dyDescent="0.2">
      <c r="C72" s="87" t="s">
        <v>137</v>
      </c>
      <c r="D72" s="42">
        <f>3.52410440795*Deflactores!$T$5</f>
        <v>5.4691495956197675</v>
      </c>
      <c r="E72" s="42">
        <f>5.16975902275*Deflactores!$U$5</f>
        <v>7.8959589974225004</v>
      </c>
      <c r="F72" s="42">
        <f>6.56614803276999*Deflactores!$V$5</f>
        <v>9.4950901190105057</v>
      </c>
      <c r="G72" s="42">
        <f>6.31634048772*Deflactores!$W$5</f>
        <v>8.0744799034228603</v>
      </c>
      <c r="H72" s="42">
        <f>2.04148818456*Deflactores!$X$5</f>
        <v>2.3881148508988717</v>
      </c>
      <c r="I72" s="42">
        <f>8.31679048944999*Deflactores!$Y$5</f>
        <v>9.2480114762218353</v>
      </c>
      <c r="J72" s="42">
        <f>7.9873882236*Deflactores!$Z$5</f>
        <v>8.4506567405687996</v>
      </c>
      <c r="K72" s="42">
        <f>6.85955401971999*Deflactores!$AA$5</f>
        <v>6.8595540197199902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105.34285262394*Deflactores!$T$5</f>
        <v>163.48432201099206</v>
      </c>
      <c r="E74" s="42">
        <f>114.65188405367*Deflactores!$U$5</f>
        <v>175.11194844502813</v>
      </c>
      <c r="F74" s="42">
        <f>130.98816436786*Deflactores!$V$5</f>
        <v>189.41766451036079</v>
      </c>
      <c r="G74" s="42">
        <f>162.83769024*Deflactores!$W$5</f>
        <v>208.16320144851611</v>
      </c>
      <c r="H74" s="42">
        <f>161.1216549083*Deflactores!$X$5</f>
        <v>188.4786891239564</v>
      </c>
      <c r="I74" s="42">
        <f>203.592628587*Deflactores!$Y$5</f>
        <v>226.38864932754385</v>
      </c>
      <c r="J74" s="42">
        <f>206.78910705747*Deflactores!$Z$5</f>
        <v>218.78287526680327</v>
      </c>
      <c r="K74" s="42">
        <f>139.15282743767*Deflactores!$AA$5</f>
        <v>139.15282743767</v>
      </c>
    </row>
    <row r="75" spans="3:11" x14ac:dyDescent="0.2">
      <c r="C75" s="88" t="s">
        <v>161</v>
      </c>
      <c r="D75" s="50">
        <f>356.28663884951*Deflactores!$T$5</f>
        <v>552.9305324759182</v>
      </c>
      <c r="E75" s="50">
        <f>394.12874294657*Deflactores!$U$5</f>
        <v>601.96701245010456</v>
      </c>
      <c r="F75" s="50">
        <f>396.377859088859*Deflactores!$V$5</f>
        <v>573.1889495097837</v>
      </c>
      <c r="G75" s="50">
        <f>444.00451440856*Deflactores!$W$5</f>
        <v>567.5921897483164</v>
      </c>
      <c r="H75" s="50">
        <f>665.16416154065*Deflactores!$X$5</f>
        <v>778.10316242574174</v>
      </c>
      <c r="I75" s="50">
        <f>567.30810453735*Deflactores!$Y$5</f>
        <v>630.82890785457687</v>
      </c>
      <c r="J75" s="50">
        <f>563.51699006391*Deflactores!$Z$5</f>
        <v>596.2009754876168</v>
      </c>
      <c r="K75" s="50">
        <f>228.04602431832*Deflactores!$AA$5</f>
        <v>228.04602431832001</v>
      </c>
    </row>
    <row r="76" spans="3:11" x14ac:dyDescent="0.2">
      <c r="C76" s="87" t="s">
        <v>140</v>
      </c>
      <c r="D76" s="42">
        <f>450.84923393479*Deflactores!$T$5</f>
        <v>699.68469149138866</v>
      </c>
      <c r="E76" s="42">
        <f>927.75444734521*Deflactores!$U$5</f>
        <v>1416.9927541453219</v>
      </c>
      <c r="F76" s="42">
        <f>948.09470274612*Deflactores!$V$5</f>
        <v>1371.0084815333055</v>
      </c>
      <c r="G76" s="42">
        <f>634.59372967311*Deflactores!$W$5</f>
        <v>811.23149188135267</v>
      </c>
      <c r="H76" s="42">
        <f>1433.01014668255*Deflactores!$X$5</f>
        <v>1676.3226153664712</v>
      </c>
      <c r="I76" s="42">
        <f>4148.71786395374*Deflactores!$Y$5</f>
        <v>4613.2447927022449</v>
      </c>
      <c r="J76" s="42">
        <f>3394.36981278354*Deflactores!$Z$5</f>
        <v>3591.2432619249857</v>
      </c>
      <c r="K76" s="42">
        <f>1742.14900665507*Deflactores!$AA$5</f>
        <v>1742.14900665507</v>
      </c>
    </row>
    <row r="77" spans="3:11" x14ac:dyDescent="0.2">
      <c r="C77" s="88" t="s">
        <v>141</v>
      </c>
      <c r="D77" s="50">
        <f>17.3557480164*Deflactores!$T$5</f>
        <v>26.934838261727059</v>
      </c>
      <c r="E77" s="50">
        <f>15.01673610455*Deflactores!$U$5</f>
        <v>22.935601453540862</v>
      </c>
      <c r="F77" s="50">
        <f>15.0011632230599*Deflactores!$V$5</f>
        <v>21.69268739938099</v>
      </c>
      <c r="G77" s="50">
        <f>16.50460117378*Deflactores!$W$5</f>
        <v>21.098620435485866</v>
      </c>
      <c r="H77" s="50">
        <f>25.5308261296699*Deflactores!$X$5</f>
        <v>29.865734956052453</v>
      </c>
      <c r="I77" s="50">
        <f>17.309933012*Deflactores!$Y$5</f>
        <v>19.248105305847833</v>
      </c>
      <c r="J77" s="50">
        <f>17.4729732990599*Deflactores!$Z$5</f>
        <v>18.486405750405375</v>
      </c>
      <c r="K77" s="50">
        <f>3.763030055*Deflactores!$AA$5</f>
        <v>3.7630300550000002</v>
      </c>
    </row>
    <row r="78" spans="3:11" x14ac:dyDescent="0.2">
      <c r="C78" s="87" t="s">
        <v>142</v>
      </c>
      <c r="D78" s="42">
        <f>113.770180735949*Deflactores!$T$5</f>
        <v>176.56291242731862</v>
      </c>
      <c r="E78" s="42">
        <f>284.60970579113*Deflactores!$U$5</f>
        <v>434.69464578637815</v>
      </c>
      <c r="F78" s="42">
        <f>274.31652586448*Deflactores!$V$5</f>
        <v>396.68008110964166</v>
      </c>
      <c r="G78" s="42">
        <f>178.89646683094*Deflactores!$W$5</f>
        <v>228.69190301379666</v>
      </c>
      <c r="H78" s="42">
        <f>274.336422537109*Deflactores!$X$5</f>
        <v>320.9163245510241</v>
      </c>
      <c r="I78" s="42">
        <f>236.92098174276*Deflactores!$Y$5</f>
        <v>263.44873793492513</v>
      </c>
      <c r="J78" s="42">
        <f>209.899957456349*Deflactores!$Z$5</f>
        <v>222.07415498881724</v>
      </c>
      <c r="K78" s="42">
        <f>98.86557298094*Deflactores!$AA$5</f>
        <v>98.865572980940001</v>
      </c>
    </row>
    <row r="79" spans="3:11" x14ac:dyDescent="0.2">
      <c r="C79" s="88" t="s">
        <v>143</v>
      </c>
      <c r="D79" s="50">
        <f>0.067335387*Deflactores!$T$5</f>
        <v>0.10449954426752488</v>
      </c>
      <c r="E79" s="50">
        <f>0*Deflactores!$U$5</f>
        <v>0</v>
      </c>
      <c r="F79" s="50">
        <f>0.01336564379*Deflactores!$V$5</f>
        <v>1.9327616686568336E-2</v>
      </c>
      <c r="G79" s="50">
        <f>0*Deflactores!$W$5</f>
        <v>0</v>
      </c>
      <c r="H79" s="50">
        <f>0.003899899*Deflactores!$X$5</f>
        <v>4.5620674120692836E-3</v>
      </c>
      <c r="I79" s="50">
        <f>0*Deflactores!$Y$5</f>
        <v>0</v>
      </c>
      <c r="J79" s="50">
        <f>0*Deflactores!$Z$5</f>
        <v>0</v>
      </c>
      <c r="K79" s="50">
        <f>0*Deflactores!$AA$5</f>
        <v>0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46.05946159165*Deflactores!$T$5</f>
        <v>71.48088041039982</v>
      </c>
      <c r="E81" s="50">
        <f>44.30268957297*Deflactores!$U$5</f>
        <v>67.665092087334756</v>
      </c>
      <c r="F81" s="50">
        <f>50.7642537817399*Deflactores!$V$5</f>
        <v>73.408513191652702</v>
      </c>
      <c r="G81" s="50">
        <f>57.84630625542*Deflactores!$W$5</f>
        <v>73.947697761814865</v>
      </c>
      <c r="H81" s="50">
        <f>59.49940671554*Deflactores!$X$5</f>
        <v>69.6018805652201</v>
      </c>
      <c r="I81" s="50">
        <f>72.29122490594*Deflactores!$Y$5</f>
        <v>80.385586051294126</v>
      </c>
      <c r="J81" s="50">
        <f>84.30636134128*Deflactores!$Z$5</f>
        <v>89.196130299074241</v>
      </c>
      <c r="K81" s="50">
        <f>37.53502702048*Deflactores!$AA$5</f>
        <v>37.535027020480001</v>
      </c>
    </row>
    <row r="82" spans="1:11" x14ac:dyDescent="0.2">
      <c r="C82" s="87" t="s">
        <v>146</v>
      </c>
      <c r="D82" s="42">
        <f>208.685515397029*Deflactores!$T$5</f>
        <v>323.86449719555452</v>
      </c>
      <c r="E82" s="42">
        <f>167.505448204969*Deflactores!$U$5</f>
        <v>255.8370989926261</v>
      </c>
      <c r="F82" s="42">
        <f>217.890083149009*Deflactores!$V$5</f>
        <v>315.08366323958035</v>
      </c>
      <c r="G82" s="42">
        <f>192.57403503984*Deflactores!$W$5</f>
        <v>246.17659210634486</v>
      </c>
      <c r="H82" s="42">
        <f>204.33640947513*Deflactores!$X$5</f>
        <v>239.03092740753948</v>
      </c>
      <c r="I82" s="42">
        <f>342.76973073427*Deflactores!$Y$5</f>
        <v>381.1492435156477</v>
      </c>
      <c r="J82" s="42">
        <f>422.54889920085*Deflactores!$Z$5</f>
        <v>447.05673535449927</v>
      </c>
      <c r="K82" s="42">
        <f>378.184469091617*Deflactores!$AA$5</f>
        <v>378.18446909161702</v>
      </c>
    </row>
    <row r="83" spans="1:11" x14ac:dyDescent="0.2">
      <c r="C83" s="88" t="s">
        <v>162</v>
      </c>
      <c r="D83" s="50">
        <f>464.21390632858*Deflactores!$T$5</f>
        <v>720.42567534339844</v>
      </c>
      <c r="E83" s="50">
        <f>382.42027888954*Deflactores!$U$5</f>
        <v>584.08425394815663</v>
      </c>
      <c r="F83" s="50">
        <f>387.44718070486*Deflactores!$V$5</f>
        <v>560.2745900319336</v>
      </c>
      <c r="G83" s="50">
        <f>453.38776455714*Deflactores!$W$5</f>
        <v>579.5872468388576</v>
      </c>
      <c r="H83" s="50">
        <f>553.109694165699*Deflactores!$X$5</f>
        <v>647.02283598958422</v>
      </c>
      <c r="I83" s="50">
        <f>593.15699518599*Deflactores!$Y$5</f>
        <v>659.57206757099232</v>
      </c>
      <c r="J83" s="50">
        <f>672.7757823922*Deflactores!$Z$5</f>
        <v>711.79677777094764</v>
      </c>
      <c r="K83" s="50">
        <f>241.523628702039*Deflactores!$AA$5</f>
        <v>241.52362870203899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418.57557023022*Deflactores!$T$5</f>
        <v>649.59835057571354</v>
      </c>
      <c r="E85" s="50">
        <f>256.79074471542*Deflactores!$U$5</f>
        <v>392.20574542601776</v>
      </c>
      <c r="F85" s="50">
        <f>670.20207116943*Deflactores!$V$5</f>
        <v>969.15711189299441</v>
      </c>
      <c r="G85" s="50">
        <f>696.78460634573*Deflactores!$W$5</f>
        <v>890.73306163453469</v>
      </c>
      <c r="H85" s="50">
        <f>890.044665754299*Deflactores!$X$5</f>
        <v>1041.1663904433899</v>
      </c>
      <c r="I85" s="50">
        <f>643.41141223359*Deflactores!$Y$5</f>
        <v>715.45341100228245</v>
      </c>
      <c r="J85" s="50">
        <f>661.178754163859*Deflactores!$Z$5</f>
        <v>699.52712190536283</v>
      </c>
      <c r="K85" s="50">
        <f>343.85215339238*Deflactores!$AA$5</f>
        <v>343.85215339237999</v>
      </c>
    </row>
    <row r="86" spans="1:11" x14ac:dyDescent="0.2">
      <c r="C86" s="87" t="s">
        <v>163</v>
      </c>
      <c r="D86" s="42">
        <f>77.58905108111*Deflactores!$T$5</f>
        <v>120.41247313430758</v>
      </c>
      <c r="E86" s="42">
        <f>77.4752650694899*Deflactores!$U$5</f>
        <v>118.33076041090254</v>
      </c>
      <c r="F86" s="42">
        <f>81.04657379448*Deflactores!$V$5</f>
        <v>117.19877745293283</v>
      </c>
      <c r="G86" s="42">
        <f>90.573974663*Deflactores!$W$5</f>
        <v>115.78504034280057</v>
      </c>
      <c r="H86" s="42">
        <f>99.7148851202*Deflactores!$X$5</f>
        <v>116.6455920794607</v>
      </c>
      <c r="I86" s="42">
        <f>112.15237258724*Deflactores!$Y$5</f>
        <v>124.70993829747107</v>
      </c>
      <c r="J86" s="42">
        <f>115.87165293186*Deflactores!$Z$5</f>
        <v>122.59220880190789</v>
      </c>
      <c r="K86" s="42">
        <f>33.62361993864*Deflactores!$AA$5</f>
        <v>33.623619938639997</v>
      </c>
    </row>
    <row r="87" spans="1:11" x14ac:dyDescent="0.2">
      <c r="C87" s="88" t="s">
        <v>150</v>
      </c>
      <c r="D87" s="50">
        <f>759.47538299688*Deflactores!$T$5</f>
        <v>1178.6496661195081</v>
      </c>
      <c r="E87" s="50">
        <f>698.41288070568*Deflactores!$U$5</f>
        <v>1066.7111261968116</v>
      </c>
      <c r="F87" s="50">
        <f>651.93142940186*Deflactores!$V$5</f>
        <v>942.73653939760845</v>
      </c>
      <c r="G87" s="50">
        <f>744.15994874885*Deflactores!$W$5</f>
        <v>951.29522589649503</v>
      </c>
      <c r="H87" s="50">
        <f>1014.25672708026*Deflactores!$X$5</f>
        <v>1186.4685629255794</v>
      </c>
      <c r="I87" s="50">
        <f>894.386197543619*Deflactores!$Y$5</f>
        <v>994.52953991688184</v>
      </c>
      <c r="J87" s="50">
        <f>981.34732095084*Deflactores!$Z$5</f>
        <v>1038.2654655659887</v>
      </c>
      <c r="K87" s="50">
        <f>598.33860891967*Deflactores!$AA$5</f>
        <v>598.33860891967004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179</v>
      </c>
      <c r="D89" s="44">
        <f t="shared" ref="D89:K89" si="1">+SUM(D58:D88)</f>
        <v>9465.4706970647185</v>
      </c>
      <c r="E89" s="44">
        <f t="shared" si="1"/>
        <v>9598.3016261820176</v>
      </c>
      <c r="F89" s="44">
        <f t="shared" si="1"/>
        <v>9859.9142126704155</v>
      </c>
      <c r="G89" s="44">
        <f t="shared" si="1"/>
        <v>9743.6958379453445</v>
      </c>
      <c r="H89" s="44">
        <f t="shared" si="1"/>
        <v>10826.14127530195</v>
      </c>
      <c r="I89" s="44">
        <f t="shared" si="1"/>
        <v>13583.049448080172</v>
      </c>
      <c r="J89" s="44">
        <f t="shared" si="1"/>
        <v>12806.955342431025</v>
      </c>
      <c r="K89" s="44">
        <f t="shared" si="1"/>
        <v>5540.8017041394869</v>
      </c>
    </row>
    <row r="90" spans="1:11" s="31" customFormat="1" x14ac:dyDescent="0.2">
      <c r="A90" s="5"/>
      <c r="B90" s="5"/>
      <c r="C90" s="72" t="str">
        <f>+'C1 Aprop Resumen 2000-2026'!B20</f>
        <v>* Información con corte a 30 de abril</v>
      </c>
      <c r="D90" s="121">
        <f>+D89-'C7 Ejec. Prop 19-26'!D47</f>
        <v>2.9103830456733704E-11</v>
      </c>
      <c r="E90" s="121">
        <f>+E89-'C7 Ejec. Prop 19-26'!E47</f>
        <v>1.4551915228366852E-11</v>
      </c>
      <c r="F90" s="121">
        <f>+F89-'C7 Ejec. Prop 19-26'!F47</f>
        <v>2.5465851649641991E-11</v>
      </c>
      <c r="G90" s="121">
        <f>+G89-'C7 Ejec. Prop 19-26'!G47</f>
        <v>0</v>
      </c>
      <c r="H90" s="121">
        <f>+H89-'C7 Ejec. Prop 19-26'!H47</f>
        <v>0</v>
      </c>
      <c r="I90" s="121">
        <f>+I89-'C7 Ejec. Prop 19-26'!I47</f>
        <v>1.4551915228366852E-11</v>
      </c>
      <c r="J90" s="121">
        <f>+J89-'C7 Ejec. Prop 19-26'!J47</f>
        <v>0</v>
      </c>
      <c r="K90" s="121">
        <f>+K89-'C7 Ejec. Prop 19-26'!K47</f>
        <v>-1.1823431123048067E-11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196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6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10</v>
      </c>
    </row>
    <row r="99" spans="3:11" ht="12" customHeight="1" thickBot="1" x14ac:dyDescent="0.25">
      <c r="C99" s="160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78.10657389575691</v>
      </c>
      <c r="E100" s="47">
        <f t="shared" si="2"/>
        <v>72.774600818232543</v>
      </c>
      <c r="F100" s="47">
        <f t="shared" si="2"/>
        <v>98.661896696585515</v>
      </c>
      <c r="G100" s="47">
        <f t="shared" si="2"/>
        <v>98.481093455789875</v>
      </c>
      <c r="H100" s="47">
        <f t="shared" si="2"/>
        <v>77.024820701246838</v>
      </c>
      <c r="I100" s="47">
        <f t="shared" si="2"/>
        <v>93.900877531212274</v>
      </c>
      <c r="J100" s="47">
        <f t="shared" si="2"/>
        <v>98.568601002262355</v>
      </c>
      <c r="K100" s="47">
        <f t="shared" si="2"/>
        <v>29.917471317098183</v>
      </c>
    </row>
    <row r="101" spans="3:11" x14ac:dyDescent="0.2">
      <c r="C101" s="88" t="s">
        <v>124</v>
      </c>
      <c r="D101" s="116">
        <f t="shared" si="2"/>
        <v>96.354219762686839</v>
      </c>
      <c r="E101" s="116">
        <f t="shared" si="2"/>
        <v>99.558912497848752</v>
      </c>
      <c r="F101" s="116">
        <f t="shared" si="2"/>
        <v>99.798729009035398</v>
      </c>
      <c r="G101" s="116">
        <f t="shared" si="2"/>
        <v>99.316248577962796</v>
      </c>
      <c r="H101" s="116">
        <f t="shared" si="2"/>
        <v>95.388278189527583</v>
      </c>
      <c r="I101" s="116">
        <f t="shared" si="2"/>
        <v>99.051706381459127</v>
      </c>
      <c r="J101" s="116">
        <f t="shared" si="2"/>
        <v>98.691073123552343</v>
      </c>
      <c r="K101" s="116">
        <f t="shared" si="2"/>
        <v>99.008069725562933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94.823499055057965</v>
      </c>
      <c r="E103" s="116">
        <f t="shared" si="2"/>
        <v>91.30022346786393</v>
      </c>
      <c r="F103" s="116">
        <f t="shared" si="2"/>
        <v>87.86984587051775</v>
      </c>
      <c r="G103" s="116">
        <f t="shared" si="2"/>
        <v>92.650233488820959</v>
      </c>
      <c r="H103" s="116">
        <f t="shared" si="2"/>
        <v>88.53474113646314</v>
      </c>
      <c r="I103" s="116">
        <f t="shared" si="2"/>
        <v>89.261503066531034</v>
      </c>
      <c r="J103" s="116">
        <f t="shared" si="2"/>
        <v>87.871365824110413</v>
      </c>
      <c r="K103" s="116">
        <f t="shared" si="2"/>
        <v>28.145720468418585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95.878571599374396</v>
      </c>
      <c r="E105" s="116">
        <f t="shared" si="2"/>
        <v>96.808216720063683</v>
      </c>
      <c r="F105" s="116">
        <f t="shared" si="2"/>
        <v>79.554322943175762</v>
      </c>
      <c r="G105" s="116">
        <f t="shared" si="2"/>
        <v>93.956599999551045</v>
      </c>
      <c r="H105" s="116">
        <f t="shared" si="2"/>
        <v>94.585162915173242</v>
      </c>
      <c r="I105" s="116">
        <f t="shared" si="2"/>
        <v>73.46615122496118</v>
      </c>
      <c r="J105" s="116">
        <f t="shared" si="2"/>
        <v>97.441317379159457</v>
      </c>
      <c r="K105" s="116">
        <f t="shared" si="2"/>
        <v>42.45449644794698</v>
      </c>
    </row>
    <row r="106" spans="3:11" x14ac:dyDescent="0.2">
      <c r="C106" s="87" t="s">
        <v>129</v>
      </c>
      <c r="D106" s="47">
        <f t="shared" si="2"/>
        <v>93.69001311397534</v>
      </c>
      <c r="E106" s="47">
        <f t="shared" si="2"/>
        <v>97.995492117382526</v>
      </c>
      <c r="F106" s="47">
        <f t="shared" si="2"/>
        <v>77.395412264903101</v>
      </c>
      <c r="G106" s="47">
        <f t="shared" si="2"/>
        <v>93.743264033785749</v>
      </c>
      <c r="H106" s="47">
        <f t="shared" si="2"/>
        <v>89.63327819097384</v>
      </c>
      <c r="I106" s="47">
        <f t="shared" si="2"/>
        <v>90.118110093416703</v>
      </c>
      <c r="J106" s="47">
        <f t="shared" si="2"/>
        <v>97.547522380030287</v>
      </c>
      <c r="K106" s="47">
        <f t="shared" si="2"/>
        <v>31.987569786507152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92.908097776378156</v>
      </c>
      <c r="E108" s="47">
        <f t="shared" si="2"/>
        <v>85.265129012010007</v>
      </c>
      <c r="F108" s="47">
        <f t="shared" si="2"/>
        <v>82.945586928841578</v>
      </c>
      <c r="G108" s="47">
        <f t="shared" si="2"/>
        <v>91.435903406896259</v>
      </c>
      <c r="H108" s="47">
        <f t="shared" si="2"/>
        <v>91.573982253538261</v>
      </c>
      <c r="I108" s="47">
        <f t="shared" si="2"/>
        <v>90.580232729139411</v>
      </c>
      <c r="J108" s="47">
        <f t="shared" si="2"/>
        <v>95.127777699280273</v>
      </c>
      <c r="K108" s="47">
        <f t="shared" si="2"/>
        <v>44.539390801514344</v>
      </c>
    </row>
    <row r="109" spans="3:11" x14ac:dyDescent="0.2">
      <c r="C109" s="88" t="s">
        <v>132</v>
      </c>
      <c r="D109" s="116">
        <f t="shared" si="2"/>
        <v>92.020120463558214</v>
      </c>
      <c r="E109" s="116">
        <f t="shared" si="2"/>
        <v>85.693825596743693</v>
      </c>
      <c r="F109" s="116">
        <f t="shared" si="2"/>
        <v>46.42354853236759</v>
      </c>
      <c r="G109" s="116">
        <f t="shared" si="2"/>
        <v>76.691353032339123</v>
      </c>
      <c r="H109" s="116">
        <f t="shared" si="2"/>
        <v>88.475812327775927</v>
      </c>
      <c r="I109" s="116">
        <f t="shared" si="2"/>
        <v>84.263405969476835</v>
      </c>
      <c r="J109" s="116">
        <f t="shared" si="2"/>
        <v>88.02214225790182</v>
      </c>
      <c r="K109" s="116">
        <f t="shared" si="2"/>
        <v>29.811147312741966</v>
      </c>
    </row>
    <row r="110" spans="3:11" x14ac:dyDescent="0.2">
      <c r="C110" s="87" t="s">
        <v>133</v>
      </c>
      <c r="D110" s="47">
        <f t="shared" ref="D110:K119" si="3">+IFERROR(IF(D68&gt;0,+((D68/D25)*100)," "),"")</f>
        <v>99.219949387563403</v>
      </c>
      <c r="E110" s="47">
        <f t="shared" si="3"/>
        <v>94.34180566386074</v>
      </c>
      <c r="F110" s="47">
        <f t="shared" si="3"/>
        <v>77.598283178809353</v>
      </c>
      <c r="G110" s="47">
        <f t="shared" si="3"/>
        <v>86.094939198268278</v>
      </c>
      <c r="H110" s="47">
        <f t="shared" si="3"/>
        <v>95.015054210637274</v>
      </c>
      <c r="I110" s="47">
        <f t="shared" si="3"/>
        <v>92.982613234267689</v>
      </c>
      <c r="J110" s="47">
        <f t="shared" si="3"/>
        <v>98.845557241919863</v>
      </c>
      <c r="K110" s="47">
        <f t="shared" si="3"/>
        <v>54.834576477924514</v>
      </c>
    </row>
    <row r="111" spans="3:11" x14ac:dyDescent="0.2">
      <c r="C111" s="88" t="s">
        <v>134</v>
      </c>
      <c r="D111" s="116">
        <f t="shared" si="3"/>
        <v>90.332515401807953</v>
      </c>
      <c r="E111" s="116">
        <f t="shared" si="3"/>
        <v>84.085444668298507</v>
      </c>
      <c r="F111" s="116">
        <f t="shared" si="3"/>
        <v>83.376569853529844</v>
      </c>
      <c r="G111" s="116">
        <f t="shared" si="3"/>
        <v>88.542725422514295</v>
      </c>
      <c r="H111" s="116">
        <f t="shared" si="3"/>
        <v>86.404420830059365</v>
      </c>
      <c r="I111" s="116">
        <f t="shared" si="3"/>
        <v>75.437688381654297</v>
      </c>
      <c r="J111" s="116">
        <f t="shared" si="3"/>
        <v>92.536166781453886</v>
      </c>
      <c r="K111" s="116">
        <f t="shared" si="3"/>
        <v>19.039709855639845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82.8888771230868</v>
      </c>
      <c r="J112" s="47">
        <f t="shared" si="3"/>
        <v>98.88443542925657</v>
      </c>
      <c r="K112" s="47">
        <f t="shared" si="3"/>
        <v>22.968279009766697</v>
      </c>
    </row>
    <row r="113" spans="3:11" x14ac:dyDescent="0.2">
      <c r="C113" s="88" t="s">
        <v>136</v>
      </c>
      <c r="D113" s="116">
        <f t="shared" si="3"/>
        <v>90.59840826074111</v>
      </c>
      <c r="E113" s="116">
        <f t="shared" si="3"/>
        <v>95.82223545390174</v>
      </c>
      <c r="F113" s="116">
        <f t="shared" si="3"/>
        <v>84.161564745402274</v>
      </c>
      <c r="G113" s="116">
        <f t="shared" si="3"/>
        <v>93.560122451985066</v>
      </c>
      <c r="H113" s="116">
        <f t="shared" si="3"/>
        <v>85.963465528035101</v>
      </c>
      <c r="I113" s="116">
        <f t="shared" si="3"/>
        <v>2.7779151254255434</v>
      </c>
      <c r="J113" s="116">
        <f t="shared" si="3"/>
        <v>86.041566397993051</v>
      </c>
      <c r="K113" s="116">
        <f t="shared" si="3"/>
        <v>0.3194594375867667</v>
      </c>
    </row>
    <row r="114" spans="3:11" x14ac:dyDescent="0.2">
      <c r="C114" s="87" t="s">
        <v>137</v>
      </c>
      <c r="D114" s="47">
        <f t="shared" si="3"/>
        <v>89.376221353030687</v>
      </c>
      <c r="E114" s="47">
        <f t="shared" si="3"/>
        <v>89.442197609958086</v>
      </c>
      <c r="F114" s="47">
        <f t="shared" si="3"/>
        <v>67.73414516989881</v>
      </c>
      <c r="G114" s="47">
        <f t="shared" si="3"/>
        <v>53.297953655556483</v>
      </c>
      <c r="H114" s="47">
        <f t="shared" si="3"/>
        <v>39.395758096487832</v>
      </c>
      <c r="I114" s="47">
        <f t="shared" si="3"/>
        <v>90.656098642358742</v>
      </c>
      <c r="J114" s="47">
        <f t="shared" si="3"/>
        <v>77.093255728859944</v>
      </c>
      <c r="K114" s="47">
        <f t="shared" si="3"/>
        <v>46.320170299952665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>
        <f t="shared" si="3"/>
        <v>98.848171235343656</v>
      </c>
      <c r="E116" s="47">
        <f t="shared" si="3"/>
        <v>98.778403110982453</v>
      </c>
      <c r="F116" s="47">
        <f t="shared" si="3"/>
        <v>99.881006839881508</v>
      </c>
      <c r="G116" s="47">
        <f t="shared" si="3"/>
        <v>99.179774109076234</v>
      </c>
      <c r="H116" s="47">
        <f t="shared" si="3"/>
        <v>92.813998018561193</v>
      </c>
      <c r="I116" s="47">
        <f t="shared" si="3"/>
        <v>88.912149402371483</v>
      </c>
      <c r="J116" s="47">
        <f t="shared" si="3"/>
        <v>94.872087580593529</v>
      </c>
      <c r="K116" s="47">
        <f t="shared" si="3"/>
        <v>67.897313164282309</v>
      </c>
    </row>
    <row r="117" spans="3:11" x14ac:dyDescent="0.2">
      <c r="C117" s="88" t="s">
        <v>161</v>
      </c>
      <c r="D117" s="116">
        <f t="shared" si="3"/>
        <v>93.388312483165777</v>
      </c>
      <c r="E117" s="116">
        <f t="shared" si="3"/>
        <v>92.429938866338617</v>
      </c>
      <c r="F117" s="116">
        <f t="shared" si="3"/>
        <v>82.033403593126977</v>
      </c>
      <c r="G117" s="116">
        <f t="shared" si="3"/>
        <v>86.906737376119423</v>
      </c>
      <c r="H117" s="116">
        <f t="shared" si="3"/>
        <v>72.172310809893531</v>
      </c>
      <c r="I117" s="116">
        <f t="shared" si="3"/>
        <v>72.02327405229056</v>
      </c>
      <c r="J117" s="116">
        <f t="shared" si="3"/>
        <v>95.933951981793584</v>
      </c>
      <c r="K117" s="116">
        <f t="shared" si="3"/>
        <v>27.415858161950023</v>
      </c>
    </row>
    <row r="118" spans="3:11" x14ac:dyDescent="0.2">
      <c r="C118" s="87" t="s">
        <v>140</v>
      </c>
      <c r="D118" s="47">
        <f t="shared" si="3"/>
        <v>90.210306412490624</v>
      </c>
      <c r="E118" s="47">
        <f t="shared" si="3"/>
        <v>94.31635181630206</v>
      </c>
      <c r="F118" s="47">
        <f t="shared" si="3"/>
        <v>91.310543584554907</v>
      </c>
      <c r="G118" s="47">
        <f t="shared" si="3"/>
        <v>90.47231173413418</v>
      </c>
      <c r="H118" s="47">
        <f t="shared" si="3"/>
        <v>97.252977940959624</v>
      </c>
      <c r="I118" s="47">
        <f t="shared" si="3"/>
        <v>99.344540914126696</v>
      </c>
      <c r="J118" s="47">
        <f t="shared" si="3"/>
        <v>98.652860060968408</v>
      </c>
      <c r="K118" s="47">
        <f t="shared" si="3"/>
        <v>59.890171517877825</v>
      </c>
    </row>
    <row r="119" spans="3:11" x14ac:dyDescent="0.2">
      <c r="C119" s="88" t="s">
        <v>141</v>
      </c>
      <c r="D119" s="116">
        <f t="shared" si="3"/>
        <v>83.734973784918225</v>
      </c>
      <c r="E119" s="116">
        <f t="shared" si="3"/>
        <v>70.345885157399167</v>
      </c>
      <c r="F119" s="116">
        <f t="shared" si="3"/>
        <v>71.662303836358461</v>
      </c>
      <c r="G119" s="116">
        <f t="shared" si="3"/>
        <v>53.975553973375369</v>
      </c>
      <c r="H119" s="116">
        <f t="shared" si="3"/>
        <v>51.251282002749974</v>
      </c>
      <c r="I119" s="116">
        <f t="shared" si="3"/>
        <v>97.520749363380261</v>
      </c>
      <c r="J119" s="116">
        <f t="shared" si="3"/>
        <v>93.568455066187752</v>
      </c>
      <c r="K119" s="116">
        <f t="shared" si="3"/>
        <v>17.721110911228919</v>
      </c>
    </row>
    <row r="120" spans="3:11" x14ac:dyDescent="0.2">
      <c r="C120" s="87" t="s">
        <v>142</v>
      </c>
      <c r="D120" s="47">
        <f t="shared" ref="D120:K129" si="4">+IFERROR(IF(D78&gt;0,+((D78/D35)*100)," "),"")</f>
        <v>95.657303628297612</v>
      </c>
      <c r="E120" s="47">
        <f t="shared" si="4"/>
        <v>88.708437031656317</v>
      </c>
      <c r="F120" s="47">
        <f t="shared" si="4"/>
        <v>39.06570866226847</v>
      </c>
      <c r="G120" s="47">
        <f t="shared" si="4"/>
        <v>65.244530458430958</v>
      </c>
      <c r="H120" s="47">
        <f t="shared" si="4"/>
        <v>91.775038341721455</v>
      </c>
      <c r="I120" s="47">
        <f t="shared" si="4"/>
        <v>89.624090778219283</v>
      </c>
      <c r="J120" s="47">
        <f t="shared" si="4"/>
        <v>94.948251496743566</v>
      </c>
      <c r="K120" s="47">
        <f t="shared" si="4"/>
        <v>30.625947899482135</v>
      </c>
    </row>
    <row r="121" spans="3:11" x14ac:dyDescent="0.2">
      <c r="C121" s="88" t="s">
        <v>143</v>
      </c>
      <c r="D121" s="116">
        <f t="shared" si="4"/>
        <v>79.592656028368808</v>
      </c>
      <c r="E121" s="116" t="str">
        <f t="shared" si="4"/>
        <v xml:space="preserve"> </v>
      </c>
      <c r="F121" s="116">
        <f t="shared" si="4"/>
        <v>74.253576611111114</v>
      </c>
      <c r="G121" s="116" t="str">
        <f t="shared" si="4"/>
        <v xml:space="preserve"> </v>
      </c>
      <c r="H121" s="116">
        <f t="shared" si="4"/>
        <v>97.497474999999994</v>
      </c>
      <c r="I121" s="116" t="str">
        <f t="shared" si="4"/>
        <v xml:space="preserve"> </v>
      </c>
      <c r="J121" s="116" t="str">
        <f t="shared" si="4"/>
        <v xml:space="preserve"> </v>
      </c>
      <c r="K121" s="116" t="str">
        <f t="shared" si="4"/>
        <v xml:space="preserve"> 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97.128391193043313</v>
      </c>
      <c r="E123" s="116">
        <f t="shared" si="4"/>
        <v>94.030767118176868</v>
      </c>
      <c r="F123" s="116">
        <f t="shared" si="4"/>
        <v>94.317640959224249</v>
      </c>
      <c r="G123" s="116">
        <f t="shared" si="4"/>
        <v>78.193138784984328</v>
      </c>
      <c r="H123" s="116">
        <f t="shared" si="4"/>
        <v>73.31551943669848</v>
      </c>
      <c r="I123" s="116">
        <f t="shared" si="4"/>
        <v>75.214019097539747</v>
      </c>
      <c r="J123" s="116">
        <f t="shared" si="4"/>
        <v>96.697170712972991</v>
      </c>
      <c r="K123" s="116">
        <f t="shared" si="4"/>
        <v>42.341432038294094</v>
      </c>
    </row>
    <row r="124" spans="3:11" x14ac:dyDescent="0.2">
      <c r="C124" s="87" t="s">
        <v>146</v>
      </c>
      <c r="D124" s="47">
        <f t="shared" si="4"/>
        <v>97.605079089000782</v>
      </c>
      <c r="E124" s="47">
        <f t="shared" si="4"/>
        <v>89.81712866730517</v>
      </c>
      <c r="F124" s="47">
        <f t="shared" si="4"/>
        <v>96.353558543977528</v>
      </c>
      <c r="G124" s="47">
        <f t="shared" si="4"/>
        <v>96.700411780280689</v>
      </c>
      <c r="H124" s="47">
        <f t="shared" si="4"/>
        <v>95.557087629891001</v>
      </c>
      <c r="I124" s="47">
        <f t="shared" si="4"/>
        <v>97.037856240574911</v>
      </c>
      <c r="J124" s="47">
        <f t="shared" si="4"/>
        <v>97.064149472327983</v>
      </c>
      <c r="K124" s="47">
        <f t="shared" si="4"/>
        <v>82.212049079612655</v>
      </c>
    </row>
    <row r="125" spans="3:11" x14ac:dyDescent="0.2">
      <c r="C125" s="88" t="s">
        <v>162</v>
      </c>
      <c r="D125" s="116">
        <f t="shared" si="4"/>
        <v>93.458388301027625</v>
      </c>
      <c r="E125" s="116">
        <f t="shared" si="4"/>
        <v>90.946258935796379</v>
      </c>
      <c r="F125" s="116">
        <f t="shared" si="4"/>
        <v>84.96645995759458</v>
      </c>
      <c r="G125" s="116">
        <f t="shared" si="4"/>
        <v>88.387913457509967</v>
      </c>
      <c r="H125" s="116">
        <f t="shared" si="4"/>
        <v>91.176430873767785</v>
      </c>
      <c r="I125" s="116">
        <f t="shared" si="4"/>
        <v>90.839738612211832</v>
      </c>
      <c r="J125" s="116">
        <f t="shared" si="4"/>
        <v>94.204603588567508</v>
      </c>
      <c r="K125" s="116">
        <f t="shared" si="4"/>
        <v>31.94659192894219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96.036792922505214</v>
      </c>
      <c r="E127" s="116">
        <f t="shared" si="4"/>
        <v>97.650148072383374</v>
      </c>
      <c r="F127" s="116">
        <f t="shared" si="4"/>
        <v>86.655041656061442</v>
      </c>
      <c r="G127" s="116">
        <f t="shared" si="4"/>
        <v>84.535784165888998</v>
      </c>
      <c r="H127" s="116">
        <f t="shared" si="4"/>
        <v>96.675462015140894</v>
      </c>
      <c r="I127" s="116">
        <f t="shared" si="4"/>
        <v>95.603801996314104</v>
      </c>
      <c r="J127" s="116">
        <f t="shared" si="4"/>
        <v>95.703217456023324</v>
      </c>
      <c r="K127" s="116">
        <f t="shared" si="4"/>
        <v>73.280035398986101</v>
      </c>
    </row>
    <row r="128" spans="3:11" x14ac:dyDescent="0.2">
      <c r="C128" s="87" t="s">
        <v>163</v>
      </c>
      <c r="D128" s="47">
        <f t="shared" si="4"/>
        <v>87.96268271717598</v>
      </c>
      <c r="E128" s="47">
        <f t="shared" si="4"/>
        <v>84.70638667173975</v>
      </c>
      <c r="F128" s="47">
        <f t="shared" si="4"/>
        <v>86.564362015604573</v>
      </c>
      <c r="G128" s="47">
        <f t="shared" si="4"/>
        <v>91.110476883921436</v>
      </c>
      <c r="H128" s="47">
        <f t="shared" si="4"/>
        <v>87.675642078486717</v>
      </c>
      <c r="I128" s="47">
        <f t="shared" si="4"/>
        <v>90.005441130921454</v>
      </c>
      <c r="J128" s="47">
        <f t="shared" si="4"/>
        <v>90.531664427245104</v>
      </c>
      <c r="K128" s="47">
        <f t="shared" si="4"/>
        <v>24.573804363644843</v>
      </c>
    </row>
    <row r="129" spans="1:11" x14ac:dyDescent="0.2">
      <c r="C129" s="88" t="s">
        <v>150</v>
      </c>
      <c r="D129" s="116">
        <f t="shared" si="4"/>
        <v>95.019714123579647</v>
      </c>
      <c r="E129" s="116">
        <f t="shared" si="4"/>
        <v>94.155270061440731</v>
      </c>
      <c r="F129" s="116">
        <f t="shared" si="4"/>
        <v>83.814110448206321</v>
      </c>
      <c r="G129" s="116">
        <f t="shared" si="4"/>
        <v>88.973754406013114</v>
      </c>
      <c r="H129" s="116">
        <f t="shared" si="4"/>
        <v>90.945392160037599</v>
      </c>
      <c r="I129" s="116">
        <f t="shared" si="4"/>
        <v>88.621958209780374</v>
      </c>
      <c r="J129" s="116">
        <f t="shared" si="4"/>
        <v>93.979900406991717</v>
      </c>
      <c r="K129" s="116">
        <f t="shared" si="4"/>
        <v>35.201507576747943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179</v>
      </c>
      <c r="D131" s="64">
        <f t="shared" si="5"/>
        <v>93.474930703835753</v>
      </c>
      <c r="E131" s="64">
        <f t="shared" si="5"/>
        <v>94.129827370826362</v>
      </c>
      <c r="F131" s="64">
        <f t="shared" si="5"/>
        <v>79.830139529868021</v>
      </c>
      <c r="G131" s="64">
        <f t="shared" si="5"/>
        <v>89.792376548168988</v>
      </c>
      <c r="H131" s="64">
        <f t="shared" si="5"/>
        <v>89.492278963697061</v>
      </c>
      <c r="I131" s="64">
        <f t="shared" si="5"/>
        <v>90.698786586978855</v>
      </c>
      <c r="J131" s="64">
        <f t="shared" si="5"/>
        <v>96.500703445251162</v>
      </c>
      <c r="K131" s="64">
        <f t="shared" si="5"/>
        <v>40.57552867592355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abril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55" t="s">
        <v>197</v>
      </c>
      <c r="E138" s="178"/>
      <c r="F138" s="178"/>
      <c r="G138" s="178"/>
      <c r="H138" s="178"/>
      <c r="I138" s="178"/>
      <c r="J138" s="178"/>
      <c r="K138" s="178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76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10</v>
      </c>
    </row>
    <row r="141" spans="1:11" ht="12" customHeight="1" thickBot="1" x14ac:dyDescent="0.25">
      <c r="C141" s="160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7.6464849391*Deflactores!$T$5</f>
        <v>11.866779519429251</v>
      </c>
      <c r="E142" s="42">
        <f>9.07287513388*Deflactores!$U$5</f>
        <v>13.85732869377401</v>
      </c>
      <c r="F142" s="42">
        <f>12.51805175545*Deflactores!$V$5</f>
        <v>18.101941798941318</v>
      </c>
      <c r="G142" s="42">
        <f>11.51762701382*Deflactores!$W$5</f>
        <v>14.723533039267727</v>
      </c>
      <c r="H142" s="42">
        <f>9.51136611451*Deflactores!$X$5</f>
        <v>11.126312090458269</v>
      </c>
      <c r="I142" s="42">
        <f>13.15051443721*Deflactores!$Y$5</f>
        <v>14.622961656640429</v>
      </c>
      <c r="J142" s="42">
        <f>25.1339372374*Deflactores!$Z$5</f>
        <v>26.591705597169202</v>
      </c>
      <c r="K142" s="42">
        <f>5.42030249294999*Deflactores!$AA$5</f>
        <v>5.4203024929499897</v>
      </c>
    </row>
    <row r="143" spans="1:11" x14ac:dyDescent="0.2">
      <c r="C143" s="88" t="s">
        <v>124</v>
      </c>
      <c r="D143" s="50">
        <f>28.804955961*Deflactores!$T$5</f>
        <v>44.703162849136433</v>
      </c>
      <c r="E143" s="50">
        <f>31.792820814*Deflactores!$U$5</f>
        <v>48.558319344294944</v>
      </c>
      <c r="F143" s="50">
        <f>53.650168*Deflactores!$V$5</f>
        <v>77.581738565396449</v>
      </c>
      <c r="G143" s="50">
        <f>74.76395442*Deflactores!$W$5</f>
        <v>95.574335905159899</v>
      </c>
      <c r="H143" s="50">
        <f>82.011565*Deflactores!$X$5</f>
        <v>95.936404532348618</v>
      </c>
      <c r="I143" s="50">
        <f>93.368973295*Deflactores!$Y$5</f>
        <v>103.82338447151551</v>
      </c>
      <c r="J143" s="50">
        <f>97.483247939*Deflactores!$Z$5</f>
        <v>103.137276319462</v>
      </c>
      <c r="K143" s="50">
        <f>100.1533*Deflactores!$AA$5</f>
        <v>100.1533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193.937822103079*Deflactores!$T$5</f>
        <v>300.97716711731482</v>
      </c>
      <c r="E145" s="50">
        <f>184.49187699465*Deflactores!$U$5</f>
        <v>281.78108296668222</v>
      </c>
      <c r="F145" s="50">
        <f>216.6162734016*Deflactores!$V$5</f>
        <v>313.24164897402324</v>
      </c>
      <c r="G145" s="50">
        <f>239.46755125012*Deflactores!$W$5</f>
        <v>306.12281491951961</v>
      </c>
      <c r="H145" s="50">
        <f>265.11573272401*Deflactores!$X$5</f>
        <v>310.13004303113394</v>
      </c>
      <c r="I145" s="50">
        <f>316.17279731337*Deflactores!$Y$5</f>
        <v>351.57428358118648</v>
      </c>
      <c r="J145" s="50">
        <f>324.42803242002*Deflactores!$Z$5</f>
        <v>343.24485830038117</v>
      </c>
      <c r="K145" s="50">
        <f>85.08388279791*Deflactores!$AA$5</f>
        <v>85.083882797909993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2.85596771840999*Deflactores!$T$5</f>
        <v>4.4322508314477611</v>
      </c>
      <c r="E147" s="50">
        <f>3.22782674068999*Deflactores!$U$5</f>
        <v>4.9299759395196405</v>
      </c>
      <c r="F147" s="50">
        <f>3.82398311638*Deflactores!$V$5</f>
        <v>5.5297358698575403</v>
      </c>
      <c r="G147" s="50">
        <f>4.52224737555*Deflactores!$W$5</f>
        <v>5.7810049384095095</v>
      </c>
      <c r="H147" s="50">
        <f>3.39386203925999*Deflactores!$X$5</f>
        <v>3.9701098439644213</v>
      </c>
      <c r="I147" s="50">
        <f>2.46970990521*Deflactores!$Y$5</f>
        <v>2.7462403405849503</v>
      </c>
      <c r="J147" s="50">
        <f>3.87299725617999*Deflactores!$Z$5</f>
        <v>4.0976310970384295</v>
      </c>
      <c r="K147" s="50">
        <f>0.29040880931*Deflactores!$AA$5</f>
        <v>0.29040880931000002</v>
      </c>
    </row>
    <row r="148" spans="3:11" x14ac:dyDescent="0.2">
      <c r="C148" s="87" t="s">
        <v>129</v>
      </c>
      <c r="D148" s="42">
        <f>1967.79075430916*Deflactores!$T$5</f>
        <v>3053.865823020461</v>
      </c>
      <c r="E148" s="42">
        <f>1759.5993810492*Deflactores!$U$5</f>
        <v>2687.4994566504706</v>
      </c>
      <c r="F148" s="42">
        <f>1699.72851822951*Deflactores!$V$5</f>
        <v>2457.9213532645517</v>
      </c>
      <c r="G148" s="42">
        <f>2404.83119930438*Deflactores!$W$5</f>
        <v>3074.2106489760672</v>
      </c>
      <c r="H148" s="42">
        <f>2224.9921064134*Deflactores!$X$5</f>
        <v>2602.7761182481813</v>
      </c>
      <c r="I148" s="42">
        <f>2449.10332959084*Deflactores!$Y$5</f>
        <v>2723.3264715806313</v>
      </c>
      <c r="J148" s="42">
        <f>2520.72401620361*Deflactores!$Z$5</f>
        <v>2666.9260091434194</v>
      </c>
      <c r="K148" s="42">
        <f>589.0742856524*Deflactores!$AA$5</f>
        <v>589.07428565240002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12.9941842986999*Deflactores!$T$5</f>
        <v>20.166013708993265</v>
      </c>
      <c r="E150" s="42">
        <f>12.44949422983*Deflactores!$U$5</f>
        <v>19.014560552011115</v>
      </c>
      <c r="F150" s="42">
        <f>13.79958564559*Deflactores!$V$5</f>
        <v>19.95512569256001</v>
      </c>
      <c r="G150" s="42">
        <f>15.95328194999*Deflactores!$W$5</f>
        <v>20.393842724164301</v>
      </c>
      <c r="H150" s="42">
        <f>19.30180503897*Deflactores!$X$5</f>
        <v>22.579081089638404</v>
      </c>
      <c r="I150" s="42">
        <f>23.83921027867*Deflactores!$Y$5</f>
        <v>26.508457862545672</v>
      </c>
      <c r="J150" s="42">
        <f>27.3494436025999*Deflactores!$Z$5</f>
        <v>28.935711331550696</v>
      </c>
      <c r="K150" s="42">
        <f>7.6615816007*Deflactores!$AA$5</f>
        <v>7.6615816006999999</v>
      </c>
    </row>
    <row r="151" spans="3:11" x14ac:dyDescent="0.2">
      <c r="C151" s="88" t="s">
        <v>132</v>
      </c>
      <c r="D151" s="50">
        <f>55.39538034006*Deflactores!$T$5</f>
        <v>85.96953634591091</v>
      </c>
      <c r="E151" s="50">
        <f>54.1587955223*Deflactores!$U$5</f>
        <v>82.71867739134845</v>
      </c>
      <c r="F151" s="50">
        <f>62.1693219265699*Deflactores!$V$5</f>
        <v>89.901006097410828</v>
      </c>
      <c r="G151" s="50">
        <f>105.374940198*Deflactores!$W$5</f>
        <v>134.70582192447102</v>
      </c>
      <c r="H151" s="50">
        <f>128.051898649389*Deflactores!$X$5</f>
        <v>149.79398027538053</v>
      </c>
      <c r="I151" s="50">
        <f>139.95432156124*Deflactores!$Y$5</f>
        <v>155.62483792119471</v>
      </c>
      <c r="J151" s="50">
        <f>153.82060118174*Deflactores!$Z$5</f>
        <v>162.74219605028091</v>
      </c>
      <c r="K151" s="50">
        <f>39.23097080296*Deflactores!$AA$5</f>
        <v>39.230970802960002</v>
      </c>
    </row>
    <row r="152" spans="3:11" x14ac:dyDescent="0.2">
      <c r="C152" s="87" t="s">
        <v>133</v>
      </c>
      <c r="D152" s="42">
        <f>9.66461261669*Deflactores!$T$5</f>
        <v>14.998764527280079</v>
      </c>
      <c r="E152" s="42">
        <f>10.24907646836*Deflactores!$U$5</f>
        <v>15.653783319395508</v>
      </c>
      <c r="F152" s="42">
        <f>14.29359432778*Deflactores!$V$5</f>
        <v>20.669495355497517</v>
      </c>
      <c r="G152" s="42">
        <f>14.84230009392*Deflactores!$W$5</f>
        <v>18.973621523716833</v>
      </c>
      <c r="H152" s="42">
        <f>17.56368072218*Deflactores!$X$5</f>
        <v>20.545838612396597</v>
      </c>
      <c r="I152" s="42">
        <f>18.63997552246*Deflactores!$Y$5</f>
        <v>20.727071069888673</v>
      </c>
      <c r="J152" s="42">
        <f>20.52119907792*Deflactores!$Z$5</f>
        <v>21.71142862443936</v>
      </c>
      <c r="K152" s="42">
        <f>7.05389734017*Deflactores!$AA$5</f>
        <v>7.0538973401699998</v>
      </c>
    </row>
    <row r="153" spans="3:11" x14ac:dyDescent="0.2">
      <c r="C153" s="88" t="s">
        <v>134</v>
      </c>
      <c r="D153" s="50">
        <f>193.02027147867*Deflactores!$T$5</f>
        <v>299.55319635892113</v>
      </c>
      <c r="E153" s="50">
        <f>206.9281353998*Deflactores!$U$5</f>
        <v>316.04878783320504</v>
      </c>
      <c r="F153" s="50">
        <f>222.65485905494*Deflactores!$V$5</f>
        <v>321.97384853511642</v>
      </c>
      <c r="G153" s="50">
        <f>249.83784078031*Deflactores!$W$5</f>
        <v>319.3796516221941</v>
      </c>
      <c r="H153" s="50">
        <f>281.94875096679*Deflactores!$X$5</f>
        <v>329.82115912725703</v>
      </c>
      <c r="I153" s="50">
        <f>308.18506763113*Deflactores!$Y$5</f>
        <v>342.69217745334549</v>
      </c>
      <c r="J153" s="50">
        <f>329.21709806982*Deflactores!$Z$5</f>
        <v>348.3116897578696</v>
      </c>
      <c r="K153" s="50">
        <f>89.31954510143*Deflactores!$AA$5</f>
        <v>89.319545101429995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873.98480035634*Deflactores!$Y$5</f>
        <v>971.84382292566374</v>
      </c>
      <c r="J154" s="42">
        <f>1100.7778398429*Deflactores!$Z$5</f>
        <v>1164.6229545537883</v>
      </c>
      <c r="K154" s="42">
        <f>269.4543613444*Deflactores!$AA$5</f>
        <v>269.45436134440001</v>
      </c>
    </row>
    <row r="155" spans="3:11" x14ac:dyDescent="0.2">
      <c r="C155" s="88" t="s">
        <v>136</v>
      </c>
      <c r="D155" s="50">
        <f>569.14941813913*Deflactores!$T$5</f>
        <v>883.27783451613709</v>
      </c>
      <c r="E155" s="50">
        <f>593.14604010114*Deflactores!$U$5</f>
        <v>905.93329234731084</v>
      </c>
      <c r="F155" s="50">
        <f>611.53728016372*Deflactores!$V$5</f>
        <v>884.32389238101416</v>
      </c>
      <c r="G155" s="50">
        <f>694.87629841027*Deflactores!$W$5</f>
        <v>888.29358040258228</v>
      </c>
      <c r="H155" s="50">
        <f>711.81685197018*Deflactores!$X$5</f>
        <v>832.67706772275471</v>
      </c>
      <c r="I155" s="50">
        <f>0.83410458289*Deflactores!$Y$5</f>
        <v>0.92749826567364679</v>
      </c>
      <c r="J155" s="50">
        <f>31.62720305825*Deflactores!$Z$5</f>
        <v>33.461580835628503</v>
      </c>
      <c r="K155" s="50">
        <f>0*Deflactores!$AA$5</f>
        <v>0</v>
      </c>
    </row>
    <row r="156" spans="3:11" x14ac:dyDescent="0.2">
      <c r="C156" s="87" t="s">
        <v>137</v>
      </c>
      <c r="D156" s="42">
        <f>3.51778778794999*Deflactores!$T$5</f>
        <v>5.4593466682034277</v>
      </c>
      <c r="E156" s="42">
        <f>4.69765763896*Deflactores!$U$5</f>
        <v>7.1749015646430987</v>
      </c>
      <c r="F156" s="42">
        <f>6.05003456187999*Deflactores!$V$5</f>
        <v>8.7487554501485665</v>
      </c>
      <c r="G156" s="42">
        <f>6.11363826428*Deflactores!$W$5</f>
        <v>7.815355964058373</v>
      </c>
      <c r="H156" s="42">
        <f>2.03745771056*Deflactores!$X$5</f>
        <v>2.3834000380048477</v>
      </c>
      <c r="I156" s="42">
        <f>7.73560488025*Deflactores!$Y$5</f>
        <v>8.6017512162676439</v>
      </c>
      <c r="J156" s="42">
        <f>7.69936788033*Deflactores!$Z$5</f>
        <v>8.1459312173891405</v>
      </c>
      <c r="K156" s="42">
        <f>2.23704176194999*Deflactores!$AA$5</f>
        <v>2.2370417619499898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84.2431983062399*Deflactores!$T$5</f>
        <v>130.73921785941164</v>
      </c>
      <c r="E158" s="42">
        <f>54.02429625702*Deflactores!$U$5</f>
        <v>82.513251823316963</v>
      </c>
      <c r="F158" s="42">
        <f>106.49085893182*Deflactores!$V$5</f>
        <v>153.99291903900419</v>
      </c>
      <c r="G158" s="42">
        <f>109.88018076664*Deflactores!$W$5</f>
        <v>140.465086248852</v>
      </c>
      <c r="H158" s="42">
        <f>140.13500993934*Deflactores!$X$5</f>
        <v>163.92869716222603</v>
      </c>
      <c r="I158" s="42">
        <f>182.97525315366*Deflactores!$Y$5</f>
        <v>203.46277126689404</v>
      </c>
      <c r="J158" s="42">
        <f>161.13235430921*Deflactores!$Z$5</f>
        <v>170.47803085914418</v>
      </c>
      <c r="K158" s="42">
        <f>43.31680712955*Deflactores!$AA$5</f>
        <v>43.31680712955</v>
      </c>
    </row>
    <row r="159" spans="3:11" x14ac:dyDescent="0.2">
      <c r="C159" s="88" t="s">
        <v>161</v>
      </c>
      <c r="D159" s="50">
        <f>348.76989340074*Deflactores!$T$5</f>
        <v>541.26509905720991</v>
      </c>
      <c r="E159" s="50">
        <f>383.2317400375*Deflactores!$U$5</f>
        <v>585.32362776115212</v>
      </c>
      <c r="F159" s="50">
        <f>383.718435685859*Deflactores!$V$5</f>
        <v>554.882574833749</v>
      </c>
      <c r="G159" s="50">
        <f>434.03434883998*Deflactores!$W$5</f>
        <v>554.84685062769574</v>
      </c>
      <c r="H159" s="50">
        <f>495.97291429342*Deflactores!$X$5</f>
        <v>580.18473544239043</v>
      </c>
      <c r="I159" s="50">
        <f>555.38728272839*Deflactores!$Y$5</f>
        <v>617.57332602465044</v>
      </c>
      <c r="J159" s="50">
        <f>552.01937972539*Deflactores!$Z$5</f>
        <v>584.03650374946267</v>
      </c>
      <c r="K159" s="50">
        <f>135.36568872401*Deflactores!$AA$5</f>
        <v>135.36568872401</v>
      </c>
    </row>
    <row r="160" spans="3:11" x14ac:dyDescent="0.2">
      <c r="C160" s="87" t="s">
        <v>140</v>
      </c>
      <c r="D160" s="42">
        <f>446.57921146084*Deflactores!$T$5</f>
        <v>693.05793218368819</v>
      </c>
      <c r="E160" s="42">
        <f>919.259392171769*Deflactores!$U$5</f>
        <v>1404.0179506708939</v>
      </c>
      <c r="F160" s="42">
        <f>942.90338686451*Deflactores!$V$5</f>
        <v>1363.5014908462035</v>
      </c>
      <c r="G160" s="42">
        <f>627.61065973369*Deflactores!$W$5</f>
        <v>802.30469985681498</v>
      </c>
      <c r="H160" s="42">
        <f>1422.94609232775*Deflactores!$X$5</f>
        <v>1664.5497734530454</v>
      </c>
      <c r="I160" s="42">
        <f>4139.03895948901*Deflactores!$Y$5</f>
        <v>4602.48215299398</v>
      </c>
      <c r="J160" s="42">
        <f>3375.75107520864*Deflactores!$Z$5</f>
        <v>3571.5446375707415</v>
      </c>
      <c r="K160" s="42">
        <f>1686.88020067359*Deflactores!$AA$5</f>
        <v>1686.88020067359</v>
      </c>
    </row>
    <row r="161" spans="1:11" x14ac:dyDescent="0.2">
      <c r="C161" s="88" t="s">
        <v>141</v>
      </c>
      <c r="D161" s="50">
        <f>16.4553359166*Deflactores!$T$5</f>
        <v>25.537465226920485</v>
      </c>
      <c r="E161" s="50">
        <f>12.89562348719*Deflactores!$U$5</f>
        <v>19.695949821445826</v>
      </c>
      <c r="F161" s="50">
        <f>11.9064471589599*Deflactores!$V$5</f>
        <v>17.217520562640814</v>
      </c>
      <c r="G161" s="50">
        <f>16.07636319398*Deflactores!$W$5</f>
        <v>20.551183360410509</v>
      </c>
      <c r="H161" s="50">
        <f>23.34408193986*Deflactores!$X$5</f>
        <v>27.307700912898106</v>
      </c>
      <c r="I161" s="50">
        <f>17.14936840246*Deflactores!$Y$5</f>
        <v>19.069562470894301</v>
      </c>
      <c r="J161" s="50">
        <f>17.2380957990599*Deflactores!$Z$5</f>
        <v>18.237905355405374</v>
      </c>
      <c r="K161" s="50">
        <f>3.763030055*Deflactores!$AA$5</f>
        <v>3.7630300550000002</v>
      </c>
    </row>
    <row r="162" spans="1:11" x14ac:dyDescent="0.2">
      <c r="C162" s="87" t="s">
        <v>142</v>
      </c>
      <c r="D162" s="42">
        <f>112.60238270445*Deflactores!$T$5</f>
        <v>174.75057618741317</v>
      </c>
      <c r="E162" s="42">
        <f>284.60970579113*Deflactores!$U$5</f>
        <v>434.69464578637815</v>
      </c>
      <c r="F162" s="42">
        <f>271.35872099519*Deflactores!$V$5</f>
        <v>392.40289703639309</v>
      </c>
      <c r="G162" s="42">
        <f>176.88042031112*Deflactores!$W$5</f>
        <v>226.11469440062891</v>
      </c>
      <c r="H162" s="42">
        <f>273.153220098639*Deflactores!$X$5</f>
        <v>319.53222478679305</v>
      </c>
      <c r="I162" s="42">
        <f>236.1582745021*Deflactores!$Y$5</f>
        <v>262.60063128566316</v>
      </c>
      <c r="J162" s="42">
        <f>209.451621709349*Deflactores!$Z$5</f>
        <v>221.59981576849125</v>
      </c>
      <c r="K162" s="42">
        <f>66.7176747932299*Deflactores!$AA$5</f>
        <v>66.717674793229904</v>
      </c>
    </row>
    <row r="163" spans="1:11" x14ac:dyDescent="0.2">
      <c r="C163" s="88" t="s">
        <v>143</v>
      </c>
      <c r="D163" s="50">
        <f>0.067335387*Deflactores!$T$5</f>
        <v>0.10449954426752488</v>
      </c>
      <c r="E163" s="50">
        <f>0*Deflactores!$U$5</f>
        <v>0</v>
      </c>
      <c r="F163" s="50">
        <f>0.01336564379*Deflactores!$V$5</f>
        <v>1.9327616686568336E-2</v>
      </c>
      <c r="G163" s="50">
        <f>0*Deflactores!$W$5</f>
        <v>0</v>
      </c>
      <c r="H163" s="50">
        <f>0.003899899*Deflactores!$X$5</f>
        <v>4.5620674120692836E-3</v>
      </c>
      <c r="I163" s="50">
        <f>0*Deflactores!$Y$5</f>
        <v>0</v>
      </c>
      <c r="J163" s="50">
        <f>0*Deflactores!$Z$5</f>
        <v>0</v>
      </c>
      <c r="K163" s="50">
        <f>0*Deflactores!$AA$5</f>
        <v>0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45.80368788565*Deflactores!$T$5</f>
        <v>71.083938521395524</v>
      </c>
      <c r="E165" s="50">
        <f>43.21990011293*Deflactores!$U$5</f>
        <v>66.011308779119901</v>
      </c>
      <c r="F165" s="50">
        <f>46.12627600079*Deflactores!$V$5</f>
        <v>66.701686482857056</v>
      </c>
      <c r="G165" s="50">
        <f>50.4344259645699*Deflactores!$W$5</f>
        <v>64.472736972193459</v>
      </c>
      <c r="H165" s="50">
        <f>54.94913255206*Deflactores!$X$5</f>
        <v>64.279010030061912</v>
      </c>
      <c r="I165" s="50">
        <f>62.51405678749*Deflactores!$Y$5</f>
        <v>69.513680226676499</v>
      </c>
      <c r="J165" s="50">
        <f>68.41556716933*Deflactores!$Z$5</f>
        <v>72.383670065151151</v>
      </c>
      <c r="K165" s="50">
        <f>16.52383117048*Deflactores!$AA$5</f>
        <v>16.523831170480001</v>
      </c>
    </row>
    <row r="166" spans="1:11" x14ac:dyDescent="0.2">
      <c r="C166" s="87" t="s">
        <v>146</v>
      </c>
      <c r="D166" s="42">
        <f>206.249979592119*Deflactores!$T$5</f>
        <v>320.08472562224586</v>
      </c>
      <c r="E166" s="42">
        <f>116.39285340561*Deflactores!$U$5</f>
        <v>177.77099358778895</v>
      </c>
      <c r="F166" s="42">
        <f>216.97794504316*Deflactores!$V$5</f>
        <v>313.76465040697349</v>
      </c>
      <c r="G166" s="42">
        <f>191.12423212231*Deflactores!$W$5</f>
        <v>244.32323975077139</v>
      </c>
      <c r="H166" s="42">
        <f>203.02532275056*Deflactores!$X$5</f>
        <v>237.49722973471322</v>
      </c>
      <c r="I166" s="42">
        <f>336.39314580315*Deflactores!$Y$5</f>
        <v>374.0586800709022</v>
      </c>
      <c r="J166" s="42">
        <f>405.537070851549*Deflactores!$Z$5</f>
        <v>429.05822096093885</v>
      </c>
      <c r="K166" s="42">
        <f>150.57055622551*Deflactores!$AA$5</f>
        <v>150.57055622550999</v>
      </c>
    </row>
    <row r="167" spans="1:11" x14ac:dyDescent="0.2">
      <c r="C167" s="88" t="s">
        <v>162</v>
      </c>
      <c r="D167" s="50">
        <f>451.54826925685*Deflactores!$T$5</f>
        <v>700.76954264969834</v>
      </c>
      <c r="E167" s="50">
        <f>369.14715030488*Deflactores!$U$5</f>
        <v>563.81172700622528</v>
      </c>
      <c r="F167" s="50">
        <f>378.14752896741*Deflactores!$V$5</f>
        <v>546.82667035637769</v>
      </c>
      <c r="G167" s="50">
        <f>436.9492661533*Deflactores!$W$5</f>
        <v>558.57312873323815</v>
      </c>
      <c r="H167" s="50">
        <f>521.02793789608*Deflactores!$X$5</f>
        <v>609.49388080392976</v>
      </c>
      <c r="I167" s="50">
        <f>562.36649444827*Deflactores!$Y$5</f>
        <v>625.33399165189064</v>
      </c>
      <c r="J167" s="50">
        <f>627.71374335144*Deflactores!$Z$5</f>
        <v>664.1211404658236</v>
      </c>
      <c r="K167" s="50">
        <f>148.52053442786*Deflactores!$AA$5</f>
        <v>148.52053442786001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408.69218935593*Deflactores!$T$5</f>
        <v>634.26007388049413</v>
      </c>
      <c r="E169" s="50">
        <f>252.0163010353*Deflactores!$U$5</f>
        <v>384.91356577744352</v>
      </c>
      <c r="F169" s="50">
        <f>639.75492561429*Deflactores!$V$5</f>
        <v>925.1284988507864</v>
      </c>
      <c r="G169" s="50">
        <f>688.91628249799*Deflactores!$W$5</f>
        <v>880.67460723269915</v>
      </c>
      <c r="H169" s="50">
        <f>883.06879453558*Deflactores!$X$5</f>
        <v>1033.006077892293</v>
      </c>
      <c r="I169" s="50">
        <f>634.04363844667*Deflactores!$Y$5</f>
        <v>705.03673889806362</v>
      </c>
      <c r="J169" s="50">
        <f>560.78563422102*Deflactores!$Z$5</f>
        <v>593.31120100583917</v>
      </c>
      <c r="K169" s="50">
        <f>158.6221029436*Deflactores!$AA$5</f>
        <v>158.6221029436</v>
      </c>
    </row>
    <row r="170" spans="1:11" x14ac:dyDescent="0.2">
      <c r="C170" s="87" t="s">
        <v>163</v>
      </c>
      <c r="D170" s="42">
        <f>77.0888089405*Deflactores!$T$5</f>
        <v>119.63613430199113</v>
      </c>
      <c r="E170" s="42">
        <f>75.30889882667*Deflactores!$U$5</f>
        <v>115.02199128811914</v>
      </c>
      <c r="F170" s="42">
        <f>80.23067035824*Deflactores!$V$5</f>
        <v>116.01892640223379</v>
      </c>
      <c r="G170" s="42">
        <f>89.88705561508*Deflactores!$W$5</f>
        <v>114.90691889597677</v>
      </c>
      <c r="H170" s="42">
        <f>98.49861177788*Deflactores!$X$5</f>
        <v>115.22280626393916</v>
      </c>
      <c r="I170" s="42">
        <f>109.716192537369*Deflactores!$Y$5</f>
        <v>122.00098210963284</v>
      </c>
      <c r="J170" s="42">
        <f>114.01231235824*Deflactores!$Z$5</f>
        <v>120.62502647501792</v>
      </c>
      <c r="K170" s="42">
        <f>24.70215301371*Deflactores!$AA$5</f>
        <v>24.702153013709999</v>
      </c>
    </row>
    <row r="171" spans="1:11" x14ac:dyDescent="0.2">
      <c r="C171" s="88" t="s">
        <v>150</v>
      </c>
      <c r="D171" s="50">
        <f>750.08784332285*Deflactores!$T$5</f>
        <v>1164.0808983224292</v>
      </c>
      <c r="E171" s="50">
        <f>685.30124338799*Deflactores!$U$5</f>
        <v>1046.685250678443</v>
      </c>
      <c r="F171" s="50">
        <f>635.29654340575*Deflactores!$V$5</f>
        <v>918.68137937620122</v>
      </c>
      <c r="G171" s="50">
        <f>711.83397983944*Deflactores!$W$5</f>
        <v>909.97139498124272</v>
      </c>
      <c r="H171" s="50">
        <f>983.818971140559*Deflactores!$X$5</f>
        <v>1150.8627448084874</v>
      </c>
      <c r="I171" s="50">
        <f>878.01093505745*Deflactores!$Y$5</f>
        <v>976.32075906682439</v>
      </c>
      <c r="J171" s="50">
        <f>961.74391547848*Deflactores!$Z$5</f>
        <v>1017.5250625762318</v>
      </c>
      <c r="K171" s="50">
        <f>526.70870105801*Deflactores!$AA$5</f>
        <v>526.70870105800998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179</v>
      </c>
      <c r="D173" s="44">
        <f t="shared" ref="D173:K173" si="6">+SUM(D142:D172)</f>
        <v>9300.6399788204017</v>
      </c>
      <c r="E173" s="44">
        <f t="shared" si="6"/>
        <v>9263.6304295829814</v>
      </c>
      <c r="F173" s="44">
        <f t="shared" si="6"/>
        <v>9587.0870837946259</v>
      </c>
      <c r="G173" s="44">
        <f t="shared" si="6"/>
        <v>9403.1787530001347</v>
      </c>
      <c r="H173" s="44">
        <f t="shared" si="6"/>
        <v>10347.608957969709</v>
      </c>
      <c r="I173" s="44">
        <f t="shared" si="6"/>
        <v>13300.472234411212</v>
      </c>
      <c r="J173" s="44">
        <f t="shared" si="6"/>
        <v>12374.850187680666</v>
      </c>
      <c r="K173" s="44">
        <f t="shared" si="6"/>
        <v>4156.6708579187298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abril</v>
      </c>
      <c r="D174" s="121">
        <f>+D173-'C7 Ejec. Prop 19-26'!D79</f>
        <v>1.6370904631912708E-11</v>
      </c>
      <c r="E174" s="121">
        <f>+E173-'C7 Ejec. Prop 19-26'!E79</f>
        <v>0</v>
      </c>
      <c r="F174" s="121">
        <f>+F173-'C7 Ejec. Prop 19-26'!F79</f>
        <v>3.092281986027956E-11</v>
      </c>
      <c r="G174" s="121">
        <f>+G173-'C7 Ejec. Prop 19-26'!G79</f>
        <v>0</v>
      </c>
      <c r="H174" s="121">
        <f>+H173-'C7 Ejec. Prop 19-26'!H79</f>
        <v>0</v>
      </c>
      <c r="I174" s="121">
        <f>+I173-'C7 Ejec. Prop 19-26'!I79</f>
        <v>0</v>
      </c>
      <c r="J174" s="121">
        <f>+J173-'C7 Ejec. Prop 19-26'!J79</f>
        <v>0</v>
      </c>
      <c r="K174" s="121">
        <f>+K173-'C7 Ejec. Prop 19-26'!K79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D179" s="131" t="s">
        <v>198</v>
      </c>
      <c r="E179" s="131"/>
      <c r="F179" s="131"/>
      <c r="G179" s="131"/>
      <c r="H179" s="131"/>
      <c r="I179" s="131"/>
      <c r="J179" s="131"/>
      <c r="K179" s="131"/>
    </row>
    <row r="180" spans="3:11" ht="0.7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76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10</v>
      </c>
    </row>
    <row r="183" spans="3:11" ht="12" customHeight="1" thickBot="1" x14ac:dyDescent="0.25">
      <c r="C183" s="160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77.437673969637061</v>
      </c>
      <c r="E184" s="47">
        <f t="shared" si="7"/>
        <v>71.683839135869562</v>
      </c>
      <c r="F184" s="47">
        <f t="shared" si="7"/>
        <v>97.682014562269643</v>
      </c>
      <c r="G184" s="47">
        <f t="shared" si="7"/>
        <v>97.740515509405142</v>
      </c>
      <c r="H184" s="47">
        <f t="shared" si="7"/>
        <v>72.885237905163791</v>
      </c>
      <c r="I184" s="47">
        <f t="shared" si="7"/>
        <v>93.385029717007555</v>
      </c>
      <c r="J184" s="47">
        <f t="shared" si="7"/>
        <v>95.365507936806068</v>
      </c>
      <c r="K184" s="47">
        <f t="shared" si="7"/>
        <v>20.451089997167905</v>
      </c>
    </row>
    <row r="185" spans="3:11" x14ac:dyDescent="0.2">
      <c r="C185" s="88" t="s">
        <v>124</v>
      </c>
      <c r="D185" s="116">
        <f t="shared" si="7"/>
        <v>96.354219762686839</v>
      </c>
      <c r="E185" s="116">
        <f t="shared" si="7"/>
        <v>99.558912497848752</v>
      </c>
      <c r="F185" s="116">
        <f t="shared" si="7"/>
        <v>99.798729009035398</v>
      </c>
      <c r="G185" s="116">
        <f t="shared" si="7"/>
        <v>99.316248577962796</v>
      </c>
      <c r="H185" s="116">
        <f t="shared" si="7"/>
        <v>95.388278189527583</v>
      </c>
      <c r="I185" s="116">
        <f t="shared" si="7"/>
        <v>99.051706381459127</v>
      </c>
      <c r="J185" s="116">
        <f t="shared" si="7"/>
        <v>98.691073123552343</v>
      </c>
      <c r="K185" s="116">
        <f t="shared" si="7"/>
        <v>98.960479856055045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94.342779497842443</v>
      </c>
      <c r="E187" s="116">
        <f t="shared" si="7"/>
        <v>90.217468498638468</v>
      </c>
      <c r="F187" s="116">
        <f t="shared" si="7"/>
        <v>87.035271898475457</v>
      </c>
      <c r="G187" s="116">
        <f t="shared" si="7"/>
        <v>91.192471022954805</v>
      </c>
      <c r="H187" s="116">
        <f t="shared" si="7"/>
        <v>87.037676782627244</v>
      </c>
      <c r="I187" s="116">
        <f t="shared" si="7"/>
        <v>88.450077800543653</v>
      </c>
      <c r="J187" s="116">
        <f t="shared" si="7"/>
        <v>86.879873096376798</v>
      </c>
      <c r="K187" s="116">
        <f t="shared" si="7"/>
        <v>18.744842605124731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94.920249358751946</v>
      </c>
      <c r="E189" s="116">
        <f t="shared" si="7"/>
        <v>89.615128405852829</v>
      </c>
      <c r="F189" s="116">
        <f t="shared" si="7"/>
        <v>72.319258775810781</v>
      </c>
      <c r="G189" s="116">
        <f t="shared" si="7"/>
        <v>86.076350344174415</v>
      </c>
      <c r="H189" s="116">
        <f t="shared" si="7"/>
        <v>84.290107518736832</v>
      </c>
      <c r="I189" s="116">
        <f t="shared" si="7"/>
        <v>65.93446275908839</v>
      </c>
      <c r="J189" s="116">
        <f t="shared" si="7"/>
        <v>94.79588875309247</v>
      </c>
      <c r="K189" s="116">
        <f t="shared" si="7"/>
        <v>6.5676470718206064</v>
      </c>
    </row>
    <row r="190" spans="3:11" x14ac:dyDescent="0.2">
      <c r="C190" s="87" t="s">
        <v>129</v>
      </c>
      <c r="D190" s="47">
        <f t="shared" si="7"/>
        <v>92.415487109597208</v>
      </c>
      <c r="E190" s="47">
        <f t="shared" si="7"/>
        <v>95.73540409482159</v>
      </c>
      <c r="F190" s="47">
        <f t="shared" si="7"/>
        <v>74.655648925972045</v>
      </c>
      <c r="G190" s="47">
        <f t="shared" si="7"/>
        <v>89.553462102151286</v>
      </c>
      <c r="H190" s="47">
        <f t="shared" si="7"/>
        <v>86.029974279977793</v>
      </c>
      <c r="I190" s="47">
        <f t="shared" si="7"/>
        <v>86.290096517108452</v>
      </c>
      <c r="J190" s="47">
        <f t="shared" si="7"/>
        <v>94.895629499075596</v>
      </c>
      <c r="K190" s="47">
        <f t="shared" si="7"/>
        <v>19.457828762060107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89.087929223590152</v>
      </c>
      <c r="E192" s="47">
        <f t="shared" si="7"/>
        <v>81.306948334474995</v>
      </c>
      <c r="F192" s="47">
        <f t="shared" si="7"/>
        <v>76.497335248121473</v>
      </c>
      <c r="G192" s="47">
        <f t="shared" si="7"/>
        <v>79.384724031539406</v>
      </c>
      <c r="H192" s="47">
        <f t="shared" si="7"/>
        <v>84.416876884361997</v>
      </c>
      <c r="I192" s="47">
        <f t="shared" si="7"/>
        <v>78.815715816918171</v>
      </c>
      <c r="J192" s="47">
        <f t="shared" si="7"/>
        <v>73.741284375410345</v>
      </c>
      <c r="K192" s="47">
        <f t="shared" si="7"/>
        <v>20.56263869052156</v>
      </c>
    </row>
    <row r="193" spans="3:11" x14ac:dyDescent="0.2">
      <c r="C193" s="88" t="s">
        <v>132</v>
      </c>
      <c r="D193" s="116">
        <f t="shared" si="7"/>
        <v>89.669048725854594</v>
      </c>
      <c r="E193" s="116">
        <f t="shared" si="7"/>
        <v>84.986608383481396</v>
      </c>
      <c r="F193" s="116">
        <f t="shared" si="7"/>
        <v>46.186417715442253</v>
      </c>
      <c r="G193" s="116">
        <f t="shared" si="7"/>
        <v>75.399351804608415</v>
      </c>
      <c r="H193" s="116">
        <f t="shared" si="7"/>
        <v>87.027841187489273</v>
      </c>
      <c r="I193" s="116">
        <f t="shared" si="7"/>
        <v>83.5972359582791</v>
      </c>
      <c r="J193" s="116">
        <f t="shared" si="7"/>
        <v>87.538806178204339</v>
      </c>
      <c r="K193" s="116">
        <f t="shared" si="7"/>
        <v>19.881291610074001</v>
      </c>
    </row>
    <row r="194" spans="3:11" x14ac:dyDescent="0.2">
      <c r="C194" s="87" t="s">
        <v>133</v>
      </c>
      <c r="D194" s="47">
        <f t="shared" ref="D194:K203" si="8">+IFERROR(IF(D152&gt;0,+((D152/D25)*100)," "),"")</f>
        <v>97.474437196961659</v>
      </c>
      <c r="E194" s="47">
        <f t="shared" si="8"/>
        <v>89.790457176279219</v>
      </c>
      <c r="F194" s="47">
        <f t="shared" si="8"/>
        <v>75.945745781723801</v>
      </c>
      <c r="G194" s="47">
        <f t="shared" si="8"/>
        <v>85.904871590498672</v>
      </c>
      <c r="H194" s="47">
        <f t="shared" si="8"/>
        <v>94.943433584228416</v>
      </c>
      <c r="I194" s="47">
        <f t="shared" si="8"/>
        <v>92.977433750922614</v>
      </c>
      <c r="J194" s="47">
        <f t="shared" si="8"/>
        <v>97.742951239405372</v>
      </c>
      <c r="K194" s="47">
        <f t="shared" si="8"/>
        <v>26.946182716916105</v>
      </c>
    </row>
    <row r="195" spans="3:11" x14ac:dyDescent="0.2">
      <c r="C195" s="88" t="s">
        <v>134</v>
      </c>
      <c r="D195" s="116">
        <f t="shared" si="8"/>
        <v>89.710109443516444</v>
      </c>
      <c r="E195" s="116">
        <f t="shared" si="8"/>
        <v>83.721662472305596</v>
      </c>
      <c r="F195" s="116">
        <f t="shared" si="8"/>
        <v>81.909321548598243</v>
      </c>
      <c r="G195" s="116">
        <f t="shared" si="8"/>
        <v>88.050440108093895</v>
      </c>
      <c r="H195" s="116">
        <f t="shared" si="8"/>
        <v>86.355694222853501</v>
      </c>
      <c r="I195" s="116">
        <f t="shared" si="8"/>
        <v>73.639166759726834</v>
      </c>
      <c r="J195" s="116">
        <f t="shared" si="8"/>
        <v>88.187186214510589</v>
      </c>
      <c r="K195" s="116">
        <f t="shared" si="8"/>
        <v>17.228999706308869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81.930171446089815</v>
      </c>
      <c r="J196" s="47">
        <f t="shared" si="8"/>
        <v>96.132899497442651</v>
      </c>
      <c r="K196" s="47">
        <f t="shared" si="8"/>
        <v>21.047629273944384</v>
      </c>
    </row>
    <row r="197" spans="3:11" x14ac:dyDescent="0.2">
      <c r="C197" s="88" t="s">
        <v>136</v>
      </c>
      <c r="D197" s="116">
        <f t="shared" si="8"/>
        <v>89.906815304973762</v>
      </c>
      <c r="E197" s="116">
        <f t="shared" si="8"/>
        <v>95.12297094730549</v>
      </c>
      <c r="F197" s="116">
        <f t="shared" si="8"/>
        <v>83.308895752897584</v>
      </c>
      <c r="G197" s="116">
        <f t="shared" si="8"/>
        <v>92.873663869350665</v>
      </c>
      <c r="H197" s="116">
        <f t="shared" si="8"/>
        <v>82.907250119810243</v>
      </c>
      <c r="I197" s="116">
        <f t="shared" si="8"/>
        <v>1.3009201506773242</v>
      </c>
      <c r="J197" s="116">
        <f t="shared" si="8"/>
        <v>86.041566397993051</v>
      </c>
      <c r="K197" s="116" t="str">
        <f t="shared" si="8"/>
        <v xml:space="preserve"> </v>
      </c>
    </row>
    <row r="198" spans="3:11" x14ac:dyDescent="0.2">
      <c r="C198" s="87" t="s">
        <v>137</v>
      </c>
      <c r="D198" s="47">
        <f t="shared" si="8"/>
        <v>89.216023026882823</v>
      </c>
      <c r="E198" s="47">
        <f t="shared" si="8"/>
        <v>81.274353601163597</v>
      </c>
      <c r="F198" s="47">
        <f t="shared" si="8"/>
        <v>62.410094510831335</v>
      </c>
      <c r="G198" s="47">
        <f t="shared" si="8"/>
        <v>51.58753070863218</v>
      </c>
      <c r="H198" s="47">
        <f t="shared" si="8"/>
        <v>39.317979748359704</v>
      </c>
      <c r="I198" s="47">
        <f t="shared" si="8"/>
        <v>84.320960107368649</v>
      </c>
      <c r="J198" s="47">
        <f t="shared" si="8"/>
        <v>74.313319990514131</v>
      </c>
      <c r="K198" s="47">
        <f t="shared" si="8"/>
        <v>15.105960982848199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>
        <f t="shared" si="8"/>
        <v>79.049369598101933</v>
      </c>
      <c r="E200" s="47">
        <f t="shared" si="8"/>
        <v>46.544666557463714</v>
      </c>
      <c r="F200" s="47">
        <f t="shared" si="8"/>
        <v>81.201338003968417</v>
      </c>
      <c r="G200" s="47">
        <f t="shared" si="8"/>
        <v>66.924871578796342</v>
      </c>
      <c r="H200" s="47">
        <f t="shared" si="8"/>
        <v>80.724658285339757</v>
      </c>
      <c r="I200" s="47">
        <f t="shared" si="8"/>
        <v>79.908212582377203</v>
      </c>
      <c r="J200" s="47">
        <f t="shared" si="8"/>
        <v>73.925377635303136</v>
      </c>
      <c r="K200" s="47">
        <f t="shared" si="8"/>
        <v>21.135717276526499</v>
      </c>
    </row>
    <row r="201" spans="3:11" x14ac:dyDescent="0.2">
      <c r="C201" s="88" t="s">
        <v>161</v>
      </c>
      <c r="D201" s="116">
        <f t="shared" si="8"/>
        <v>91.418055683492057</v>
      </c>
      <c r="E201" s="116">
        <f t="shared" si="8"/>
        <v>89.874405095364168</v>
      </c>
      <c r="F201" s="116">
        <f t="shared" si="8"/>
        <v>79.413439925979333</v>
      </c>
      <c r="G201" s="116">
        <f t="shared" si="8"/>
        <v>84.955237937382392</v>
      </c>
      <c r="H201" s="116">
        <f t="shared" si="8"/>
        <v>53.814551945739233</v>
      </c>
      <c r="I201" s="116">
        <f t="shared" si="8"/>
        <v>70.509851964348712</v>
      </c>
      <c r="J201" s="116">
        <f t="shared" si="8"/>
        <v>93.976582075349683</v>
      </c>
      <c r="K201" s="116">
        <f t="shared" si="8"/>
        <v>16.27376111092326</v>
      </c>
    </row>
    <row r="202" spans="3:11" x14ac:dyDescent="0.2">
      <c r="C202" s="87" t="s">
        <v>140</v>
      </c>
      <c r="D202" s="47">
        <f t="shared" si="8"/>
        <v>89.355918721950673</v>
      </c>
      <c r="E202" s="47">
        <f t="shared" si="8"/>
        <v>93.45273686438253</v>
      </c>
      <c r="F202" s="47">
        <f t="shared" si="8"/>
        <v>90.810570455609081</v>
      </c>
      <c r="G202" s="47">
        <f t="shared" si="8"/>
        <v>89.476754339096715</v>
      </c>
      <c r="H202" s="47">
        <f t="shared" si="8"/>
        <v>96.5699686416676</v>
      </c>
      <c r="I202" s="47">
        <f t="shared" si="8"/>
        <v>99.112771400717591</v>
      </c>
      <c r="J202" s="47">
        <f t="shared" si="8"/>
        <v>98.111731128708001</v>
      </c>
      <c r="K202" s="47">
        <f t="shared" si="8"/>
        <v>57.990185777751911</v>
      </c>
    </row>
    <row r="203" spans="3:11" x14ac:dyDescent="0.2">
      <c r="C203" s="88" t="s">
        <v>141</v>
      </c>
      <c r="D203" s="116">
        <f t="shared" si="8"/>
        <v>79.390823161094232</v>
      </c>
      <c r="E203" s="116">
        <f t="shared" si="8"/>
        <v>60.409535237691479</v>
      </c>
      <c r="F203" s="116">
        <f t="shared" si="8"/>
        <v>56.878484770122299</v>
      </c>
      <c r="G203" s="116">
        <f t="shared" si="8"/>
        <v>52.575072862152595</v>
      </c>
      <c r="H203" s="116">
        <f t="shared" si="8"/>
        <v>46.861551620716654</v>
      </c>
      <c r="I203" s="116">
        <f t="shared" si="8"/>
        <v>96.616160013859158</v>
      </c>
      <c r="J203" s="116">
        <f t="shared" si="8"/>
        <v>92.310676871906921</v>
      </c>
      <c r="K203" s="116">
        <f t="shared" si="8"/>
        <v>17.721110911228919</v>
      </c>
    </row>
    <row r="204" spans="3:11" x14ac:dyDescent="0.2">
      <c r="C204" s="87" t="s">
        <v>142</v>
      </c>
      <c r="D204" s="47">
        <f t="shared" ref="D204:K213" si="9">+IFERROR(IF(D162&gt;0,+((D162/D35)*100)," "),"")</f>
        <v>94.675425862498031</v>
      </c>
      <c r="E204" s="47">
        <f t="shared" si="9"/>
        <v>88.708437031656317</v>
      </c>
      <c r="F204" s="47">
        <f t="shared" si="9"/>
        <v>38.644484520050341</v>
      </c>
      <c r="G204" s="47">
        <f t="shared" si="9"/>
        <v>64.509267147209087</v>
      </c>
      <c r="H204" s="47">
        <f t="shared" si="9"/>
        <v>91.379216131340641</v>
      </c>
      <c r="I204" s="47">
        <f t="shared" si="9"/>
        <v>89.335568662232362</v>
      </c>
      <c r="J204" s="47">
        <f t="shared" si="9"/>
        <v>94.745446809324861</v>
      </c>
      <c r="K204" s="47">
        <f t="shared" si="9"/>
        <v>20.667376626502453</v>
      </c>
    </row>
    <row r="205" spans="3:11" x14ac:dyDescent="0.2">
      <c r="C205" s="88" t="s">
        <v>143</v>
      </c>
      <c r="D205" s="116">
        <f t="shared" si="9"/>
        <v>79.592656028368808</v>
      </c>
      <c r="E205" s="116" t="str">
        <f t="shared" si="9"/>
        <v xml:space="preserve"> </v>
      </c>
      <c r="F205" s="116">
        <f t="shared" si="9"/>
        <v>74.253576611111114</v>
      </c>
      <c r="G205" s="116" t="str">
        <f t="shared" si="9"/>
        <v xml:space="preserve"> </v>
      </c>
      <c r="H205" s="116">
        <f t="shared" si="9"/>
        <v>97.497474999999994</v>
      </c>
      <c r="I205" s="116" t="str">
        <f t="shared" si="9"/>
        <v xml:space="preserve"> </v>
      </c>
      <c r="J205" s="116" t="str">
        <f t="shared" si="9"/>
        <v xml:space="preserve"> </v>
      </c>
      <c r="K205" s="116" t="str">
        <f t="shared" si="9"/>
        <v xml:space="preserve"> 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96.589025605283908</v>
      </c>
      <c r="E207" s="116">
        <f t="shared" si="9"/>
        <v>91.732587830724356</v>
      </c>
      <c r="F207" s="116">
        <f t="shared" si="9"/>
        <v>85.700492266341399</v>
      </c>
      <c r="G207" s="116">
        <f t="shared" si="9"/>
        <v>68.174207209974213</v>
      </c>
      <c r="H207" s="116">
        <f t="shared" si="9"/>
        <v>67.70864480902604</v>
      </c>
      <c r="I207" s="116">
        <f t="shared" si="9"/>
        <v>65.041551961483094</v>
      </c>
      <c r="J207" s="116">
        <f t="shared" si="9"/>
        <v>78.470849325557325</v>
      </c>
      <c r="K207" s="116">
        <f t="shared" si="9"/>
        <v>18.639727477360886</v>
      </c>
    </row>
    <row r="208" spans="3:11" x14ac:dyDescent="0.2">
      <c r="C208" s="87" t="s">
        <v>146</v>
      </c>
      <c r="D208" s="47">
        <f t="shared" si="9"/>
        <v>96.465945573145262</v>
      </c>
      <c r="E208" s="47">
        <f t="shared" si="9"/>
        <v>62.410339498296651</v>
      </c>
      <c r="F208" s="47">
        <f t="shared" si="9"/>
        <v>95.950200341016028</v>
      </c>
      <c r="G208" s="47">
        <f t="shared" si="9"/>
        <v>95.972398062873779</v>
      </c>
      <c r="H208" s="47">
        <f t="shared" si="9"/>
        <v>94.943963276028015</v>
      </c>
      <c r="I208" s="47">
        <f t="shared" si="9"/>
        <v>95.23264978163138</v>
      </c>
      <c r="J208" s="47">
        <f t="shared" si="9"/>
        <v>93.156344593846313</v>
      </c>
      <c r="K208" s="47">
        <f t="shared" si="9"/>
        <v>32.731946893772104</v>
      </c>
    </row>
    <row r="209" spans="1:11" x14ac:dyDescent="0.2">
      <c r="C209" s="88" t="s">
        <v>162</v>
      </c>
      <c r="D209" s="116">
        <f t="shared" si="9"/>
        <v>90.908464631373974</v>
      </c>
      <c r="E209" s="116">
        <f t="shared" si="9"/>
        <v>87.789675836558359</v>
      </c>
      <c r="F209" s="116">
        <f t="shared" si="9"/>
        <v>82.92706329575249</v>
      </c>
      <c r="G209" s="116">
        <f t="shared" si="9"/>
        <v>85.183229326456626</v>
      </c>
      <c r="H209" s="116">
        <f t="shared" si="9"/>
        <v>85.887968090199777</v>
      </c>
      <c r="I209" s="116">
        <f t="shared" si="9"/>
        <v>86.124290490628809</v>
      </c>
      <c r="J209" s="116">
        <f t="shared" si="9"/>
        <v>87.894846852626245</v>
      </c>
      <c r="K209" s="116">
        <f t="shared" si="9"/>
        <v>19.644971930629151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93.769178016369182</v>
      </c>
      <c r="E211" s="116">
        <f t="shared" si="9"/>
        <v>95.83456420917345</v>
      </c>
      <c r="F211" s="116">
        <f t="shared" si="9"/>
        <v>82.718320508982458</v>
      </c>
      <c r="G211" s="116">
        <f t="shared" si="9"/>
        <v>83.581177935380751</v>
      </c>
      <c r="H211" s="116">
        <f t="shared" si="9"/>
        <v>95.917752206885098</v>
      </c>
      <c r="I211" s="116">
        <f t="shared" si="9"/>
        <v>94.211854677316566</v>
      </c>
      <c r="J211" s="116">
        <f t="shared" si="9"/>
        <v>81.171678853987387</v>
      </c>
      <c r="K211" s="116">
        <f t="shared" si="9"/>
        <v>33.804741962759557</v>
      </c>
    </row>
    <row r="212" spans="1:11" x14ac:dyDescent="0.2">
      <c r="C212" s="87" t="s">
        <v>163</v>
      </c>
      <c r="D212" s="47">
        <f t="shared" si="9"/>
        <v>87.395558360283943</v>
      </c>
      <c r="E212" s="47">
        <f t="shared" si="9"/>
        <v>82.337823537785781</v>
      </c>
      <c r="F212" s="47">
        <f t="shared" si="9"/>
        <v>85.692910489429565</v>
      </c>
      <c r="G212" s="47">
        <f t="shared" si="9"/>
        <v>90.419488967475189</v>
      </c>
      <c r="H212" s="47">
        <f t="shared" si="9"/>
        <v>86.606217527655531</v>
      </c>
      <c r="I212" s="47">
        <f t="shared" si="9"/>
        <v>88.050337952944318</v>
      </c>
      <c r="J212" s="47">
        <f t="shared" si="9"/>
        <v>89.078943312047798</v>
      </c>
      <c r="K212" s="47">
        <f t="shared" si="9"/>
        <v>18.053555108804336</v>
      </c>
    </row>
    <row r="213" spans="1:11" x14ac:dyDescent="0.2">
      <c r="C213" s="88" t="s">
        <v>150</v>
      </c>
      <c r="D213" s="116">
        <f t="shared" si="9"/>
        <v>93.845217416878938</v>
      </c>
      <c r="E213" s="116">
        <f t="shared" si="9"/>
        <v>92.387648377047711</v>
      </c>
      <c r="F213" s="116">
        <f t="shared" si="9"/>
        <v>81.675483425038436</v>
      </c>
      <c r="G213" s="116">
        <f t="shared" si="9"/>
        <v>85.108775077956111</v>
      </c>
      <c r="H213" s="116">
        <f t="shared" si="9"/>
        <v>88.216128871465315</v>
      </c>
      <c r="I213" s="116">
        <f t="shared" si="9"/>
        <v>86.999384167706467</v>
      </c>
      <c r="J213" s="116">
        <f t="shared" si="9"/>
        <v>92.102556825776034</v>
      </c>
      <c r="K213" s="116">
        <f t="shared" si="9"/>
        <v>30.987370787436213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179</v>
      </c>
      <c r="D215" s="64">
        <f t="shared" si="10"/>
        <v>91.847168022099396</v>
      </c>
      <c r="E215" s="64">
        <f t="shared" si="10"/>
        <v>90.847731934700107</v>
      </c>
      <c r="F215" s="64">
        <f t="shared" si="10"/>
        <v>77.621212829704689</v>
      </c>
      <c r="G215" s="64">
        <f t="shared" si="10"/>
        <v>86.65436415317896</v>
      </c>
      <c r="H215" s="64">
        <f t="shared" si="10"/>
        <v>85.536580756290576</v>
      </c>
      <c r="I215" s="64">
        <f t="shared" si="10"/>
        <v>88.811919393064116</v>
      </c>
      <c r="J215" s="64">
        <f t="shared" si="10"/>
        <v>93.244781152965444</v>
      </c>
      <c r="K215" s="64">
        <f t="shared" si="10"/>
        <v>30.439479085824956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abril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55" t="s">
        <v>199</v>
      </c>
      <c r="E221" s="178"/>
      <c r="F221" s="178"/>
      <c r="G221" s="178"/>
      <c r="H221" s="178"/>
      <c r="I221" s="178"/>
      <c r="J221" s="178"/>
      <c r="K221" s="178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76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10</v>
      </c>
    </row>
    <row r="224" spans="1:11" ht="12" customHeight="1" thickBot="1" x14ac:dyDescent="0.25">
      <c r="C224" s="160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7.6433122161*Deflactores!$T$5</f>
        <v>11.861855687810269</v>
      </c>
      <c r="E225" s="42">
        <f>8.92466547604*Deflactores!$U$5</f>
        <v>13.630962749795415</v>
      </c>
      <c r="F225" s="42">
        <f>12.49977829645*Deflactores!$V$5</f>
        <v>18.075517152539028</v>
      </c>
      <c r="G225" s="42">
        <f>11.4662582039399*Deflactores!$W$5</f>
        <v>14.657865834682093</v>
      </c>
      <c r="H225" s="42">
        <f>9.29820173368*Deflactores!$X$5</f>
        <v>10.876954280115367</v>
      </c>
      <c r="I225" s="42">
        <f>11.4271076543799*Deflactores!$Y$5</f>
        <v>12.706587097725055</v>
      </c>
      <c r="J225" s="42">
        <f>25.0782472574*Deflactores!$Z$5</f>
        <v>26.532785598329202</v>
      </c>
      <c r="K225" s="42">
        <f>5.37488534851*Deflactores!$AA$5</f>
        <v>5.3748853485100003</v>
      </c>
    </row>
    <row r="226" spans="3:11" x14ac:dyDescent="0.2">
      <c r="C226" s="88" t="s">
        <v>124</v>
      </c>
      <c r="D226" s="50">
        <f>28.802891787*Deflactores!$T$5</f>
        <v>44.699959403639205</v>
      </c>
      <c r="E226" s="50">
        <f>31.792820814*Deflactores!$U$5</f>
        <v>48.558319344294944</v>
      </c>
      <c r="F226" s="50">
        <f>53.650168*Deflactores!$V$5</f>
        <v>77.581738565396449</v>
      </c>
      <c r="G226" s="50">
        <f>74.76395442*Deflactores!$W$5</f>
        <v>95.574335905159899</v>
      </c>
      <c r="H226" s="50">
        <f>82.011565*Deflactores!$X$5</f>
        <v>95.936404532348618</v>
      </c>
      <c r="I226" s="50">
        <f>93.368973295*Deflactores!$Y$5</f>
        <v>103.82338447151551</v>
      </c>
      <c r="J226" s="50">
        <f>97.483247939*Deflactores!$Z$5</f>
        <v>103.137276319462</v>
      </c>
      <c r="K226" s="50">
        <f>100.1533*Deflactores!$AA$5</f>
        <v>100.1533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190.72339047619*Deflactores!$T$5</f>
        <v>295.98860679183514</v>
      </c>
      <c r="E228" s="50">
        <f>177.98030566855*Deflactores!$U$5</f>
        <v>271.83572575110975</v>
      </c>
      <c r="F228" s="50">
        <f>215.22459463446*Deflactores!$V$5</f>
        <v>311.22918820634641</v>
      </c>
      <c r="G228" s="50">
        <f>237.23220970334*Deflactores!$W$5</f>
        <v>303.26527099327751</v>
      </c>
      <c r="H228" s="50">
        <f>261.92510772613*Deflactores!$X$5</f>
        <v>306.39767808348739</v>
      </c>
      <c r="I228" s="50">
        <f>306.9694224145*Deflactores!$Y$5</f>
        <v>341.34041790996525</v>
      </c>
      <c r="J228" s="50">
        <f>318.79860719928*Deflactores!$Z$5</f>
        <v>337.28892641683825</v>
      </c>
      <c r="K228" s="50">
        <f>84.26303029988*Deflactores!$AA$5</f>
        <v>84.26303029988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2.85596771840999*Deflactores!$T$5</f>
        <v>4.4322508314477611</v>
      </c>
      <c r="E230" s="50">
        <f>3.22400627168999*Deflactores!$U$5</f>
        <v>4.9241407997303055</v>
      </c>
      <c r="F230" s="50">
        <f>3.80674399182*Deflactores!$V$5</f>
        <v>5.5048069403766435</v>
      </c>
      <c r="G230" s="50">
        <f>4.37055879621*Deflactores!$W$5</f>
        <v>5.5870941782405765</v>
      </c>
      <c r="H230" s="50">
        <f>3.30665413691999*Deflactores!$X$5</f>
        <v>3.8680948098980945</v>
      </c>
      <c r="I230" s="50">
        <f>2.42843302132*Deflactores!$Y$5</f>
        <v>2.7003417338565945</v>
      </c>
      <c r="J230" s="50">
        <f>3.85291038163*Deflactores!$Z$5</f>
        <v>4.0763791837645407</v>
      </c>
      <c r="K230" s="50">
        <f>0.28907880931*Deflactores!$AA$5</f>
        <v>0.28907880931000002</v>
      </c>
    </row>
    <row r="231" spans="3:11" x14ac:dyDescent="0.2">
      <c r="C231" s="87" t="s">
        <v>129</v>
      </c>
      <c r="D231" s="42">
        <f>1788.78677301327*Deflactores!$T$5</f>
        <v>2776.0648731648812</v>
      </c>
      <c r="E231" s="42">
        <f>1654.53268533829*Deflactores!$U$5</f>
        <v>2527.0273112995424</v>
      </c>
      <c r="F231" s="42">
        <f>1642.2766971504*Deflactores!$V$5</f>
        <v>2374.8421695597503</v>
      </c>
      <c r="G231" s="42">
        <f>2373.56203356183*Deflactores!$W$5</f>
        <v>3034.2377800536456</v>
      </c>
      <c r="H231" s="42">
        <f>2126.02528123377*Deflactores!$X$5</f>
        <v>2487.005600081442</v>
      </c>
      <c r="I231" s="42">
        <f>2268.09951929712*Deflactores!$Y$5</f>
        <v>2522.0558832497591</v>
      </c>
      <c r="J231" s="42">
        <f>2372.58737840405*Deflactores!$Z$5</f>
        <v>2510.1974463514848</v>
      </c>
      <c r="K231" s="42">
        <f>502.10699306947*Deflactores!$AA$5</f>
        <v>502.10699306946998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12.9184966726999*Deflactores!$T$5</f>
        <v>20.048552107061866</v>
      </c>
      <c r="E233" s="42">
        <f>12.23330837383*Deflactores!$U$5</f>
        <v>18.684372114351472</v>
      </c>
      <c r="F233" s="42">
        <f>13.54976569494*Deflactores!$V$5</f>
        <v>19.593869300972411</v>
      </c>
      <c r="G233" s="42">
        <f>15.54836412399*Deflactores!$W$5</f>
        <v>19.876216916161848</v>
      </c>
      <c r="H233" s="42">
        <f>19.26735193255*Deflactores!$X$5</f>
        <v>22.538778149987085</v>
      </c>
      <c r="I233" s="42">
        <f>23.68236938118*Deflactores!$Y$5</f>
        <v>26.334055679183184</v>
      </c>
      <c r="J233" s="42">
        <f>27.3446801015999*Deflactores!$Z$5</f>
        <v>28.930671547492693</v>
      </c>
      <c r="K233" s="42">
        <f>7.5890248777*Deflactores!$AA$5</f>
        <v>7.5890248777</v>
      </c>
    </row>
    <row r="234" spans="3:11" x14ac:dyDescent="0.2">
      <c r="C234" s="88" t="s">
        <v>132</v>
      </c>
      <c r="D234" s="50">
        <f>54.8841119691599*Deflactores!$T$5</f>
        <v>85.176085619067095</v>
      </c>
      <c r="E234" s="50">
        <f>53.58927134834*Deflactores!$U$5</f>
        <v>81.84882262522882</v>
      </c>
      <c r="F234" s="50">
        <f>61.6501419583099*Deflactores!$V$5</f>
        <v>89.150237067835036</v>
      </c>
      <c r="G234" s="50">
        <f>105.05815230397*Deflactores!$W$5</f>
        <v>134.30085682023608</v>
      </c>
      <c r="H234" s="50">
        <f>125.374838550019*Deflactores!$X$5</f>
        <v>146.66237901096656</v>
      </c>
      <c r="I234" s="50">
        <f>138.10571817588*Deflactores!$Y$5</f>
        <v>153.56924864736629</v>
      </c>
      <c r="J234" s="50">
        <f>153.407260434419*Deflactores!$Z$5</f>
        <v>162.30488153961531</v>
      </c>
      <c r="K234" s="50">
        <f>37.79184141832*Deflactores!$AA$5</f>
        <v>37.791841418319997</v>
      </c>
    </row>
    <row r="235" spans="3:11" x14ac:dyDescent="0.2">
      <c r="C235" s="87" t="s">
        <v>133</v>
      </c>
      <c r="D235" s="42">
        <f>9.10214169269*Deflactores!$T$5</f>
        <v>14.125851222100236</v>
      </c>
      <c r="E235" s="42">
        <f>8.41661627753*Deflactores!$U$5</f>
        <v>12.855000925955041</v>
      </c>
      <c r="F235" s="42">
        <f>14.27470357919*Deflactores!$V$5</f>
        <v>20.642178066977301</v>
      </c>
      <c r="G235" s="42">
        <f>14.75774493492*Deflactores!$W$5</f>
        <v>18.865530623075301</v>
      </c>
      <c r="H235" s="42">
        <f>17.55896451118*Deflactores!$X$5</f>
        <v>20.540321630415388</v>
      </c>
      <c r="I235" s="42">
        <f>18.63370373746*Deflactores!$Y$5</f>
        <v>20.720097040696768</v>
      </c>
      <c r="J235" s="42">
        <f>20.50514984792*Deflactores!$Z$5</f>
        <v>21.694448539099358</v>
      </c>
      <c r="K235" s="42">
        <f>6.97662884672*Deflactores!$AA$5</f>
        <v>6.9766288467199997</v>
      </c>
    </row>
    <row r="236" spans="3:11" x14ac:dyDescent="0.2">
      <c r="C236" s="88" t="s">
        <v>134</v>
      </c>
      <c r="D236" s="50">
        <f>192.211700015229*Deflactores!$T$5</f>
        <v>298.29835320435058</v>
      </c>
      <c r="E236" s="50">
        <f>206.11269131448*Deflactores!$U$5</f>
        <v>314.8033307366473</v>
      </c>
      <c r="F236" s="50">
        <f>222.45625189377*Deflactores!$V$5</f>
        <v>321.68664926940107</v>
      </c>
      <c r="G236" s="50">
        <f>248.589179642009*Deflactores!$W$5</f>
        <v>317.78342841557662</v>
      </c>
      <c r="H236" s="50">
        <f>278.22472687866*Deflactores!$X$5</f>
        <v>325.46482863402662</v>
      </c>
      <c r="I236" s="50">
        <f>306.46751002457*Deflactores!$Y$5</f>
        <v>340.78230699590307</v>
      </c>
      <c r="J236" s="50">
        <f>328.37787150234*Deflactores!$Z$5</f>
        <v>347.42378804947572</v>
      </c>
      <c r="K236" s="50">
        <f>89.30872373643*Deflactores!$AA$5</f>
        <v>89.308723736429997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872.28240585576*Deflactores!$Y$5</f>
        <v>969.95081336886517</v>
      </c>
      <c r="J237" s="42">
        <f>1099.20366994319*Deflactores!$Z$5</f>
        <v>1162.9574827998952</v>
      </c>
      <c r="K237" s="42">
        <f>269.4543613444*Deflactores!$AA$5</f>
        <v>269.45436134440001</v>
      </c>
    </row>
    <row r="238" spans="3:11" x14ac:dyDescent="0.2">
      <c r="C238" s="88" t="s">
        <v>136</v>
      </c>
      <c r="D238" s="50">
        <f>568.16674490513*Deflactores!$T$5</f>
        <v>881.75279828048144</v>
      </c>
      <c r="E238" s="50">
        <f>591.786339662*Deflactores!$U$5</f>
        <v>903.85657293563588</v>
      </c>
      <c r="F238" s="50">
        <f>611.15252811131*Deflactores!$V$5</f>
        <v>883.76751512712417</v>
      </c>
      <c r="G238" s="50">
        <f>670.67752493621*Deflactores!$W$5</f>
        <v>857.3591318110831</v>
      </c>
      <c r="H238" s="50">
        <f>708.45883268428*Deflactores!$X$5</f>
        <v>828.74888641516065</v>
      </c>
      <c r="I238" s="50">
        <f>0.83410458289*Deflactores!$Y$5</f>
        <v>0.92749826567364679</v>
      </c>
      <c r="J238" s="50">
        <f>31.62720305825*Deflactores!$Z$5</f>
        <v>33.461580835628503</v>
      </c>
      <c r="K238" s="50">
        <f>0*Deflactores!$AA$5</f>
        <v>0</v>
      </c>
    </row>
    <row r="239" spans="3:11" x14ac:dyDescent="0.2">
      <c r="C239" s="87" t="s">
        <v>137</v>
      </c>
      <c r="D239" s="42">
        <f>3.46078904031*Deflactores!$T$5</f>
        <v>5.3708888243033304</v>
      </c>
      <c r="E239" s="42">
        <f>4.68910216896*Deflactores!$U$5</f>
        <v>7.1618344874299433</v>
      </c>
      <c r="F239" s="42">
        <f>5.77385591295*Deflactores!$V$5</f>
        <v>8.3493826142866023</v>
      </c>
      <c r="G239" s="42">
        <f>5.95258738355*Deflactores!$W$5</f>
        <v>7.6094769265981332</v>
      </c>
      <c r="H239" s="42">
        <f>2.03506552484*Deflactores!$X$5</f>
        <v>2.3806016802738319</v>
      </c>
      <c r="I239" s="42">
        <f>7.61813131968*Deflactores!$Y$5</f>
        <v>8.4711242829954738</v>
      </c>
      <c r="J239" s="42">
        <f>7.68171184290999*Deflactores!$Z$5</f>
        <v>8.1272511297987702</v>
      </c>
      <c r="K239" s="42">
        <f>2.22935581495*Deflactores!$AA$5</f>
        <v>2.2293558149499999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80.4385918922399*Deflactores!$T$5</f>
        <v>124.83474988063098</v>
      </c>
      <c r="E241" s="42">
        <f>54.02429625702*Deflactores!$U$5</f>
        <v>82.513251823316963</v>
      </c>
      <c r="F241" s="42">
        <f>106.49085893182*Deflactores!$V$5</f>
        <v>153.99291903900419</v>
      </c>
      <c r="G241" s="42">
        <f>109.88018076664*Deflactores!$W$5</f>
        <v>140.465086248852</v>
      </c>
      <c r="H241" s="42">
        <f>140.13500993934*Deflactores!$X$5</f>
        <v>163.92869716222603</v>
      </c>
      <c r="I241" s="42">
        <f>182.96925315366*Deflactores!$Y$5</f>
        <v>203.45609945414034</v>
      </c>
      <c r="J241" s="42">
        <f>160.82773407621*Deflactores!$Z$5</f>
        <v>170.15574265263018</v>
      </c>
      <c r="K241" s="42">
        <f>39.76439300155*Deflactores!$AA$5</f>
        <v>39.764393001549998</v>
      </c>
    </row>
    <row r="242" spans="3:11" x14ac:dyDescent="0.2">
      <c r="C242" s="88" t="s">
        <v>161</v>
      </c>
      <c r="D242" s="50">
        <f>347.92618727841*Deflactores!$T$5</f>
        <v>539.95572950863652</v>
      </c>
      <c r="E242" s="50">
        <f>382.1185081361*Deflactores!$U$5</f>
        <v>583.62334861672866</v>
      </c>
      <c r="F242" s="50">
        <f>380.74700448393*Deflactores!$V$5</f>
        <v>550.58568617026674</v>
      </c>
      <c r="G242" s="50">
        <f>430.81910690281*Deflactores!$W$5</f>
        <v>550.73665320296936</v>
      </c>
      <c r="H242" s="50">
        <f>492.689909608969*Deflactores!$X$5</f>
        <v>576.34430555315373</v>
      </c>
      <c r="I242" s="50">
        <f>549.960979743179*Deflactores!$Y$5</f>
        <v>611.53944644762544</v>
      </c>
      <c r="J242" s="50">
        <f>547.9046920913*Deflactores!$Z$5</f>
        <v>579.68316423259546</v>
      </c>
      <c r="K242" s="50">
        <f>114.81200223569*Deflactores!$AA$5</f>
        <v>114.81200223569</v>
      </c>
    </row>
    <row r="243" spans="3:11" x14ac:dyDescent="0.2">
      <c r="C243" s="87" t="s">
        <v>140</v>
      </c>
      <c r="D243" s="42">
        <f>441.82987522844*Deflactores!$T$5</f>
        <v>685.68731334609186</v>
      </c>
      <c r="E243" s="42">
        <f>918.47537870202*Deflactores!$U$5</f>
        <v>1402.8204986845783</v>
      </c>
      <c r="F243" s="42">
        <f>940.44410758597*Deflactores!$V$5</f>
        <v>1359.9452081883937</v>
      </c>
      <c r="G243" s="42">
        <f>627.11512782733*Deflactores!$W$5</f>
        <v>801.67123773944058</v>
      </c>
      <c r="H243" s="42">
        <f>1419.61396362005*Deflactores!$X$5</f>
        <v>1660.6518787152027</v>
      </c>
      <c r="I243" s="42">
        <f>4131.92321441098*Deflactores!$Y$5</f>
        <v>4594.5696665333717</v>
      </c>
      <c r="J243" s="42">
        <f>3369.26539849057*Deflactores!$Z$5</f>
        <v>3564.6827916030234</v>
      </c>
      <c r="K243" s="42">
        <f>1685.59283612338*Deflactores!$AA$5</f>
        <v>1685.59283612338</v>
      </c>
    </row>
    <row r="244" spans="3:11" x14ac:dyDescent="0.2">
      <c r="C244" s="88" t="s">
        <v>141</v>
      </c>
      <c r="D244" s="50">
        <f>15.66657665377*Deflactores!$T$5</f>
        <v>24.313369143496718</v>
      </c>
      <c r="E244" s="50">
        <f>10.24848976612*Deflactores!$U$5</f>
        <v>15.652887227950945</v>
      </c>
      <c r="F244" s="50">
        <f>11.5963572428999*Deflactores!$V$5</f>
        <v>16.769109761773748</v>
      </c>
      <c r="G244" s="50">
        <f>15.18933317819*Deflactores!$W$5</f>
        <v>19.417250500053484</v>
      </c>
      <c r="H244" s="50">
        <f>19.92280871214*Deflactores!$X$5</f>
        <v>23.305525702728175</v>
      </c>
      <c r="I244" s="50">
        <f>16.9207066514599*Deflactores!$Y$5</f>
        <v>18.815297739793476</v>
      </c>
      <c r="J244" s="50">
        <f>17.07866379906*Deflactores!$Z$5</f>
        <v>18.069226299405479</v>
      </c>
      <c r="K244" s="50">
        <f>3.763030055*Deflactores!$AA$5</f>
        <v>3.7630300550000002</v>
      </c>
    </row>
    <row r="245" spans="3:11" x14ac:dyDescent="0.2">
      <c r="C245" s="87" t="s">
        <v>142</v>
      </c>
      <c r="D245" s="42">
        <f>110.72861228309*Deflactores!$T$5</f>
        <v>171.84262297264829</v>
      </c>
      <c r="E245" s="42">
        <f>271.357245933949*Deflactores!$U$5</f>
        <v>414.45368693572243</v>
      </c>
      <c r="F245" s="42">
        <f>268.0264349543*Deflactores!$V$5</f>
        <v>387.58418809126073</v>
      </c>
      <c r="G245" s="42">
        <f>171.74928832994*Deflactores!$W$5</f>
        <v>219.5553231722416</v>
      </c>
      <c r="H245" s="42">
        <f>270.295688310549*Deflactores!$X$5</f>
        <v>316.18950933457302</v>
      </c>
      <c r="I245" s="42">
        <f>231.93265660341*Deflactores!$Y$5</f>
        <v>257.90187605420874</v>
      </c>
      <c r="J245" s="42">
        <f>207.58117105576*Deflactores!$Z$5</f>
        <v>219.62087897699408</v>
      </c>
      <c r="K245" s="42">
        <f>66.3188088343*Deflactores!$AA$5</f>
        <v>66.3188088343</v>
      </c>
    </row>
    <row r="246" spans="3:11" x14ac:dyDescent="0.2">
      <c r="C246" s="88" t="s">
        <v>143</v>
      </c>
      <c r="D246" s="50">
        <f>0.067335387*Deflactores!$T$5</f>
        <v>0.10449954426752488</v>
      </c>
      <c r="E246" s="50">
        <f>0*Deflactores!$U$5</f>
        <v>0</v>
      </c>
      <c r="F246" s="50">
        <f>0.01336564379*Deflactores!$V$5</f>
        <v>1.9327616686568336E-2</v>
      </c>
      <c r="G246" s="50">
        <f>0*Deflactores!$W$5</f>
        <v>0</v>
      </c>
      <c r="H246" s="50">
        <f>0.003899899*Deflactores!$X$5</f>
        <v>4.5620674120692836E-3</v>
      </c>
      <c r="I246" s="50">
        <f>0*Deflactores!$Y$5</f>
        <v>0</v>
      </c>
      <c r="J246" s="50">
        <f>0*Deflactores!$Z$5</f>
        <v>0</v>
      </c>
      <c r="K246" s="50">
        <f>0*Deflactores!$AA$5</f>
        <v>0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42.52678396565*Deflactores!$T$5</f>
        <v>65.998425813961816</v>
      </c>
      <c r="E248" s="50">
        <f>37.50261498622*Deflactores!$U$5</f>
        <v>57.279093459524198</v>
      </c>
      <c r="F248" s="50">
        <f>43.40157600079*Deflactores!$V$5</f>
        <v>62.761587673303737</v>
      </c>
      <c r="G248" s="50">
        <f>49.24727896457*Deflactores!$W$5</f>
        <v>62.955150228327476</v>
      </c>
      <c r="H248" s="50">
        <f>51.5333397631499*Deflactores!$X$5</f>
        <v>60.283245788816679</v>
      </c>
      <c r="I248" s="50">
        <f>59.5504648490499*Deflactores!$Y$5</f>
        <v>66.218258478070567</v>
      </c>
      <c r="J248" s="50">
        <f>68.40726089793*Deflactores!$Z$5</f>
        <v>72.374882030009942</v>
      </c>
      <c r="K248" s="50">
        <f>16.52383117048*Deflactores!$AA$5</f>
        <v>16.523831170480001</v>
      </c>
    </row>
    <row r="249" spans="3:11" x14ac:dyDescent="0.2">
      <c r="C249" s="87" t="s">
        <v>146</v>
      </c>
      <c r="D249" s="42">
        <f>190.99201701782*Deflactores!$T$5</f>
        <v>296.40549533186089</v>
      </c>
      <c r="E249" s="42">
        <f>115.68179876632*Deflactores!$U$5</f>
        <v>176.68497424877259</v>
      </c>
      <c r="F249" s="42">
        <f>213.840864598989*Deflactores!$V$5</f>
        <v>309.22822183738742</v>
      </c>
      <c r="G249" s="42">
        <f>190.46715052002*Deflactores!$W$5</f>
        <v>243.48326093662826</v>
      </c>
      <c r="H249" s="42">
        <f>198.532640218479*Deflactores!$X$5</f>
        <v>232.2417293814016</v>
      </c>
      <c r="I249" s="42">
        <f>321.01488957699*Deflactores!$Y$5</f>
        <v>356.95853906768536</v>
      </c>
      <c r="J249" s="42">
        <f>402.98961933042*Deflactores!$Z$5</f>
        <v>426.36301725158438</v>
      </c>
      <c r="K249" s="42">
        <f>150.1997085474*Deflactores!$AA$5</f>
        <v>150.19970854740001</v>
      </c>
    </row>
    <row r="250" spans="3:11" x14ac:dyDescent="0.2">
      <c r="C250" s="88" t="s">
        <v>162</v>
      </c>
      <c r="D250" s="50">
        <f>449.86175485462*Deflactores!$T$5</f>
        <v>698.15219693764868</v>
      </c>
      <c r="E250" s="50">
        <f>367.71861572415*Deflactores!$U$5</f>
        <v>561.62987473299427</v>
      </c>
      <c r="F250" s="50">
        <f>369.09569165557*Deflactores!$V$5</f>
        <v>533.73710694879117</v>
      </c>
      <c r="G250" s="50">
        <f>434.699942769329*Deflactores!$W$5</f>
        <v>555.69771115632261</v>
      </c>
      <c r="H250" s="50">
        <f>517.4973184685*Deflactores!$X$5</f>
        <v>605.36379337474727</v>
      </c>
      <c r="I250" s="50">
        <f>558.790369519*Deflactores!$Y$5</f>
        <v>621.35745233323826</v>
      </c>
      <c r="J250" s="50">
        <f>625.68953920662*Deflactores!$Z$5</f>
        <v>661.97953248060401</v>
      </c>
      <c r="K250" s="50">
        <f>148.33498556241*Deflactores!$AA$5</f>
        <v>148.33498556241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386.02466532688*Deflactores!$T$5</f>
        <v>599.08175180878925</v>
      </c>
      <c r="E252" s="50">
        <f>239.70588712381*Deflactores!$U$5</f>
        <v>366.11142760065889</v>
      </c>
      <c r="F252" s="50">
        <f>635.74519314607*Deflactores!$V$5</f>
        <v>919.33015696923599</v>
      </c>
      <c r="G252" s="50">
        <f>679.22957799497*Deflactores!$W$5</f>
        <v>868.29162993879072</v>
      </c>
      <c r="H252" s="50">
        <f>873.89198747422*Deflactores!$X$5</f>
        <v>1022.2711300278795</v>
      </c>
      <c r="I252" s="50">
        <f>630.11494940374*Deflactores!$Y$5</f>
        <v>700.66815928774247</v>
      </c>
      <c r="J252" s="50">
        <f>558.336751096969*Deflactores!$Z$5</f>
        <v>590.72028266059328</v>
      </c>
      <c r="K252" s="50">
        <f>112.51398496443*Deflactores!$AA$5</f>
        <v>112.51398496442999</v>
      </c>
    </row>
    <row r="253" spans="3:11" x14ac:dyDescent="0.2">
      <c r="C253" s="87" t="s">
        <v>163</v>
      </c>
      <c r="D253" s="42">
        <f>77.0240986925*Deflactores!$T$5</f>
        <v>119.53570877944325</v>
      </c>
      <c r="E253" s="42">
        <f>75.23271603567*Deflactores!$U$5</f>
        <v>114.90563456986628</v>
      </c>
      <c r="F253" s="42">
        <f>80.20836066489*Deflactores!$V$5</f>
        <v>115.98666509045272</v>
      </c>
      <c r="G253" s="42">
        <f>89.68235256408*Deflactores!$W$5</f>
        <v>114.64523720312278</v>
      </c>
      <c r="H253" s="42">
        <f>98.22651245726*Deflactores!$X$5</f>
        <v>114.904506881456</v>
      </c>
      <c r="I253" s="42">
        <f>109.238246795799*Deflactores!$Y$5</f>
        <v>121.4695213606026</v>
      </c>
      <c r="J253" s="42">
        <f>113.88944135124*Deflactores!$Z$5</f>
        <v>120.49502894961192</v>
      </c>
      <c r="K253" s="42">
        <f>24.52354843216*Deflactores!$AA$5</f>
        <v>24.523548432159998</v>
      </c>
    </row>
    <row r="254" spans="3:11" x14ac:dyDescent="0.2">
      <c r="C254" s="88" t="s">
        <v>150</v>
      </c>
      <c r="D254" s="50">
        <f>743.897461882489*Deflactores!$T$5</f>
        <v>1154.473883821126</v>
      </c>
      <c r="E254" s="50">
        <f>672.86419500216*Deflactores!$U$5</f>
        <v>1027.6896991118567</v>
      </c>
      <c r="F254" s="50">
        <f>616.01746409425*Deflactores!$V$5</f>
        <v>890.80253860674964</v>
      </c>
      <c r="G254" s="50">
        <f>693.599905134259*Deflactores!$W$5</f>
        <v>886.66190587901087</v>
      </c>
      <c r="H254" s="50">
        <f>968.605788453109*Deflactores!$X$5</f>
        <v>1133.0664980410013</v>
      </c>
      <c r="I254" s="50">
        <f>858.29699852552*Deflactores!$Y$5</f>
        <v>954.39947687027689</v>
      </c>
      <c r="J254" s="50">
        <f>947.908364953909*Deflactores!$Z$5</f>
        <v>1002.8870501212357</v>
      </c>
      <c r="K254" s="50">
        <f>524.97782594236*Deflactores!$AA$5</f>
        <v>524.97782594236003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179</v>
      </c>
      <c r="D256" s="44">
        <f t="shared" ref="D256:K256" si="11">+SUM(D225:D255)</f>
        <v>8918.2058220255822</v>
      </c>
      <c r="E256" s="44">
        <f t="shared" si="11"/>
        <v>9008.5507707816923</v>
      </c>
      <c r="F256" s="44">
        <f t="shared" si="11"/>
        <v>9431.1659678643118</v>
      </c>
      <c r="G256" s="44">
        <f t="shared" si="11"/>
        <v>9272.6974346834995</v>
      </c>
      <c r="H256" s="44">
        <f t="shared" si="11"/>
        <v>10158.975909338718</v>
      </c>
      <c r="I256" s="44">
        <f t="shared" si="11"/>
        <v>13010.735552370264</v>
      </c>
      <c r="J256" s="44">
        <f t="shared" si="11"/>
        <v>12173.164515569169</v>
      </c>
      <c r="K256" s="44">
        <f t="shared" si="11"/>
        <v>3992.8621784348506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abril</v>
      </c>
      <c r="D257" s="121">
        <f>+D256-'C7 Ejec. Prop 19-26'!D112</f>
        <v>0</v>
      </c>
      <c r="E257" s="121">
        <f>+E256-'C7 Ejec. Prop 19-26'!E112</f>
        <v>1.4551915228366852E-11</v>
      </c>
      <c r="F257" s="121">
        <f>+F256-'C7 Ejec. Prop 19-26'!F112</f>
        <v>0</v>
      </c>
      <c r="G257" s="121">
        <f>+G256-'C7 Ejec. Prop 19-26'!G112</f>
        <v>1.4551915228366852E-11</v>
      </c>
      <c r="H257" s="121">
        <f>+H256-'C7 Ejec. Prop 19-26'!H112</f>
        <v>-1.6370904631912708E-11</v>
      </c>
      <c r="I257" s="121">
        <f>+I256-'C7 Ejec. Prop 19-26'!I112</f>
        <v>0</v>
      </c>
      <c r="J257" s="121">
        <f>+J256-'C7 Ejec. Prop 19-26'!J112</f>
        <v>0</v>
      </c>
      <c r="K257" s="121">
        <f>+K256-'C7 Ejec. Prop 19-26'!K112</f>
        <v>0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200</v>
      </c>
      <c r="E262" s="131"/>
      <c r="F262" s="131"/>
      <c r="G262" s="131"/>
      <c r="H262" s="131"/>
      <c r="I262" s="131"/>
      <c r="J262" s="131"/>
      <c r="K262" s="131"/>
    </row>
    <row r="263" spans="1:11" ht="3.7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76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10</v>
      </c>
    </row>
    <row r="266" spans="1:11" ht="12" customHeight="1" thickBot="1" x14ac:dyDescent="0.25">
      <c r="C266" s="160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2">+IFERROR(IF(D225&gt;0,+((D225/D15)*100)," "),"")</f>
        <v>77.405543089732546</v>
      </c>
      <c r="E267" s="47">
        <f t="shared" si="12"/>
        <v>70.512850103813818</v>
      </c>
      <c r="F267" s="47">
        <f t="shared" si="12"/>
        <v>97.539421423735618</v>
      </c>
      <c r="G267" s="47">
        <f t="shared" si="12"/>
        <v>97.304591169021379</v>
      </c>
      <c r="H267" s="47">
        <f t="shared" si="12"/>
        <v>71.251767337145182</v>
      </c>
      <c r="I267" s="47">
        <f t="shared" si="12"/>
        <v>81.146695285489599</v>
      </c>
      <c r="J267" s="47">
        <f t="shared" si="12"/>
        <v>95.154203866953139</v>
      </c>
      <c r="K267" s="47">
        <f t="shared" si="12"/>
        <v>20.279728692228801</v>
      </c>
    </row>
    <row r="268" spans="1:11" x14ac:dyDescent="0.2">
      <c r="C268" s="88" t="s">
        <v>124</v>
      </c>
      <c r="D268" s="116">
        <f t="shared" si="12"/>
        <v>96.347314982985239</v>
      </c>
      <c r="E268" s="116">
        <f t="shared" si="12"/>
        <v>99.558912497848752</v>
      </c>
      <c r="F268" s="116">
        <f t="shared" si="12"/>
        <v>99.798729009035398</v>
      </c>
      <c r="G268" s="116">
        <f t="shared" si="12"/>
        <v>99.316248577962796</v>
      </c>
      <c r="H268" s="116">
        <f t="shared" si="12"/>
        <v>95.388278189527583</v>
      </c>
      <c r="I268" s="116">
        <f t="shared" si="12"/>
        <v>99.051706381459127</v>
      </c>
      <c r="J268" s="116">
        <f t="shared" si="12"/>
        <v>98.691073123552343</v>
      </c>
      <c r="K268" s="116">
        <f t="shared" si="12"/>
        <v>98.960479856055045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92.779090626337549</v>
      </c>
      <c r="E270" s="116">
        <f t="shared" si="12"/>
        <v>87.033276920349635</v>
      </c>
      <c r="F270" s="116">
        <f t="shared" si="12"/>
        <v>86.476102737307187</v>
      </c>
      <c r="G270" s="116">
        <f t="shared" si="12"/>
        <v>90.341222834350631</v>
      </c>
      <c r="H270" s="116">
        <f t="shared" si="12"/>
        <v>85.990192408740072</v>
      </c>
      <c r="I270" s="116">
        <f t="shared" si="12"/>
        <v>85.875412197589213</v>
      </c>
      <c r="J270" s="116">
        <f t="shared" si="12"/>
        <v>85.372346927521448</v>
      </c>
      <c r="K270" s="116">
        <f t="shared" si="12"/>
        <v>18.564000471789772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94.920249358751946</v>
      </c>
      <c r="E272" s="116">
        <f t="shared" si="12"/>
        <v>89.509059571460455</v>
      </c>
      <c r="F272" s="116">
        <f t="shared" si="12"/>
        <v>71.993232046042337</v>
      </c>
      <c r="G272" s="116">
        <f t="shared" si="12"/>
        <v>83.18911348732469</v>
      </c>
      <c r="H272" s="116">
        <f t="shared" si="12"/>
        <v>82.124208204124486</v>
      </c>
      <c r="I272" s="116">
        <f t="shared" si="12"/>
        <v>64.832483470786102</v>
      </c>
      <c r="J272" s="116">
        <f t="shared" si="12"/>
        <v>94.304240296022243</v>
      </c>
      <c r="K272" s="116">
        <f t="shared" si="12"/>
        <v>6.5375688843638438</v>
      </c>
    </row>
    <row r="273" spans="3:11" x14ac:dyDescent="0.2">
      <c r="C273" s="87" t="s">
        <v>129</v>
      </c>
      <c r="D273" s="47">
        <f t="shared" si="12"/>
        <v>84.008729384066257</v>
      </c>
      <c r="E273" s="47">
        <f t="shared" si="12"/>
        <v>90.018987801929995</v>
      </c>
      <c r="F273" s="47">
        <f t="shared" si="12"/>
        <v>72.132244194781521</v>
      </c>
      <c r="G273" s="47">
        <f t="shared" si="12"/>
        <v>88.389030249262277</v>
      </c>
      <c r="H273" s="47">
        <f t="shared" si="12"/>
        <v>82.20339287313449</v>
      </c>
      <c r="I273" s="47">
        <f t="shared" si="12"/>
        <v>79.912727268739971</v>
      </c>
      <c r="J273" s="47">
        <f t="shared" si="12"/>
        <v>89.318850999921438</v>
      </c>
      <c r="K273" s="47">
        <f t="shared" si="12"/>
        <v>16.585194990405096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88.569016014943102</v>
      </c>
      <c r="E275" s="47">
        <f t="shared" si="12"/>
        <v>79.895050638075489</v>
      </c>
      <c r="F275" s="47">
        <f t="shared" si="12"/>
        <v>75.112470440774928</v>
      </c>
      <c r="G275" s="47">
        <f t="shared" si="12"/>
        <v>77.369822648035608</v>
      </c>
      <c r="H275" s="47">
        <f t="shared" si="12"/>
        <v>84.266195451352559</v>
      </c>
      <c r="I275" s="47">
        <f t="shared" si="12"/>
        <v>78.297178186663587</v>
      </c>
      <c r="J275" s="47">
        <f t="shared" si="12"/>
        <v>73.728440725390698</v>
      </c>
      <c r="K275" s="47">
        <f t="shared" si="12"/>
        <v>20.367906354905511</v>
      </c>
    </row>
    <row r="276" spans="3:11" x14ac:dyDescent="0.2">
      <c r="C276" s="88" t="s">
        <v>132</v>
      </c>
      <c r="D276" s="116">
        <f t="shared" si="12"/>
        <v>88.841453569348829</v>
      </c>
      <c r="E276" s="116">
        <f t="shared" si="12"/>
        <v>84.092904462068788</v>
      </c>
      <c r="F276" s="116">
        <f t="shared" si="12"/>
        <v>45.800711998531447</v>
      </c>
      <c r="G276" s="116">
        <f t="shared" si="12"/>
        <v>75.172679297610756</v>
      </c>
      <c r="H276" s="116">
        <f t="shared" si="12"/>
        <v>85.208432310036869</v>
      </c>
      <c r="I276" s="116">
        <f t="shared" si="12"/>
        <v>82.493031874580339</v>
      </c>
      <c r="J276" s="116">
        <f t="shared" si="12"/>
        <v>87.303575296987503</v>
      </c>
      <c r="K276" s="116">
        <f t="shared" si="12"/>
        <v>19.151976215245803</v>
      </c>
    </row>
    <row r="277" spans="3:11" x14ac:dyDescent="0.2">
      <c r="C277" s="87" t="s">
        <v>133</v>
      </c>
      <c r="D277" s="47">
        <f t="shared" ref="D277:K286" si="13">+IFERROR(IF(D235&gt;0,+((D235/D25)*100)," "),"")</f>
        <v>91.80152107181101</v>
      </c>
      <c r="E277" s="47">
        <f t="shared" si="13"/>
        <v>73.736577707245857</v>
      </c>
      <c r="F277" s="47">
        <f t="shared" si="13"/>
        <v>75.845374107731757</v>
      </c>
      <c r="G277" s="47">
        <f t="shared" si="13"/>
        <v>85.415479782608699</v>
      </c>
      <c r="H277" s="47">
        <f t="shared" si="13"/>
        <v>94.917939311534084</v>
      </c>
      <c r="I277" s="47">
        <f t="shared" si="13"/>
        <v>92.946149671518384</v>
      </c>
      <c r="J277" s="47">
        <f t="shared" si="13"/>
        <v>97.66650838149225</v>
      </c>
      <c r="K277" s="47">
        <f t="shared" si="13"/>
        <v>26.651013841845071</v>
      </c>
    </row>
    <row r="278" spans="3:11" x14ac:dyDescent="0.2">
      <c r="C278" s="88" t="s">
        <v>134</v>
      </c>
      <c r="D278" s="116">
        <f t="shared" si="13"/>
        <v>89.334309358258508</v>
      </c>
      <c r="E278" s="116">
        <f t="shared" si="13"/>
        <v>83.391739553199912</v>
      </c>
      <c r="F278" s="116">
        <f t="shared" si="13"/>
        <v>81.836258791759363</v>
      </c>
      <c r="G278" s="116">
        <f t="shared" si="13"/>
        <v>87.610374013903026</v>
      </c>
      <c r="H278" s="116">
        <f t="shared" si="13"/>
        <v>85.215094435373061</v>
      </c>
      <c r="I278" s="116">
        <f t="shared" si="13"/>
        <v>73.228765594021127</v>
      </c>
      <c r="J278" s="116">
        <f t="shared" si="13"/>
        <v>87.962383098219135</v>
      </c>
      <c r="K278" s="116">
        <f t="shared" si="13"/>
        <v>17.226912354719751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81.770583460984668</v>
      </c>
      <c r="J279" s="47">
        <f t="shared" si="13"/>
        <v>95.995424421834002</v>
      </c>
      <c r="K279" s="47">
        <f t="shared" si="13"/>
        <v>21.047629273944384</v>
      </c>
    </row>
    <row r="280" spans="3:11" x14ac:dyDescent="0.2">
      <c r="C280" s="88" t="s">
        <v>136</v>
      </c>
      <c r="D280" s="116">
        <f t="shared" si="13"/>
        <v>89.751585380917547</v>
      </c>
      <c r="E280" s="116">
        <f t="shared" si="13"/>
        <v>94.904915465813446</v>
      </c>
      <c r="F280" s="116">
        <f t="shared" si="13"/>
        <v>83.256481501690587</v>
      </c>
      <c r="G280" s="116">
        <f t="shared" si="13"/>
        <v>89.63937776861296</v>
      </c>
      <c r="H280" s="116">
        <f t="shared" si="13"/>
        <v>82.516132455101001</v>
      </c>
      <c r="I280" s="116">
        <f t="shared" si="13"/>
        <v>1.3009201506773242</v>
      </c>
      <c r="J280" s="116">
        <f t="shared" si="13"/>
        <v>86.041566397993051</v>
      </c>
      <c r="K280" s="116" t="str">
        <f t="shared" si="13"/>
        <v xml:space="preserve"> </v>
      </c>
    </row>
    <row r="281" spans="3:11" x14ac:dyDescent="0.2">
      <c r="C281" s="87" t="s">
        <v>137</v>
      </c>
      <c r="D281" s="47">
        <f t="shared" si="13"/>
        <v>87.770454991377107</v>
      </c>
      <c r="E281" s="47">
        <f t="shared" si="13"/>
        <v>81.126335089078466</v>
      </c>
      <c r="F281" s="47">
        <f t="shared" si="13"/>
        <v>59.561129698266981</v>
      </c>
      <c r="G281" s="47">
        <f t="shared" si="13"/>
        <v>50.228566226900675</v>
      </c>
      <c r="H281" s="47">
        <f t="shared" si="13"/>
        <v>39.271816380548039</v>
      </c>
      <c r="I281" s="47">
        <f t="shared" si="13"/>
        <v>83.040454759973841</v>
      </c>
      <c r="J281" s="47">
        <f t="shared" si="13"/>
        <v>74.142906161878969</v>
      </c>
      <c r="K281" s="47">
        <f t="shared" si="13"/>
        <v>15.054060469646839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>
        <f t="shared" si="13"/>
        <v>75.479327806688616</v>
      </c>
      <c r="E283" s="47">
        <f t="shared" si="13"/>
        <v>46.544666557463714</v>
      </c>
      <c r="F283" s="47">
        <f t="shared" si="13"/>
        <v>81.201338003968417</v>
      </c>
      <c r="G283" s="47">
        <f t="shared" si="13"/>
        <v>66.924871578796342</v>
      </c>
      <c r="H283" s="47">
        <f t="shared" si="13"/>
        <v>80.724658285339757</v>
      </c>
      <c r="I283" s="47">
        <f t="shared" si="13"/>
        <v>79.905592286641962</v>
      </c>
      <c r="J283" s="47">
        <f t="shared" si="13"/>
        <v>73.785621930395692</v>
      </c>
      <c r="K283" s="47">
        <f t="shared" si="13"/>
        <v>19.402375748514242</v>
      </c>
    </row>
    <row r="284" spans="3:11" x14ac:dyDescent="0.2">
      <c r="C284" s="88" t="s">
        <v>161</v>
      </c>
      <c r="D284" s="116">
        <f t="shared" si="13"/>
        <v>91.196907084570284</v>
      </c>
      <c r="E284" s="116">
        <f t="shared" si="13"/>
        <v>89.613333152675622</v>
      </c>
      <c r="F284" s="116">
        <f t="shared" si="13"/>
        <v>78.798479706966674</v>
      </c>
      <c r="G284" s="116">
        <f t="shared" si="13"/>
        <v>84.325906077983319</v>
      </c>
      <c r="H284" s="116">
        <f t="shared" si="13"/>
        <v>53.458336069754985</v>
      </c>
      <c r="I284" s="116">
        <f t="shared" si="13"/>
        <v>69.820949225486316</v>
      </c>
      <c r="J284" s="116">
        <f t="shared" si="13"/>
        <v>93.27609166801679</v>
      </c>
      <c r="K284" s="116">
        <f t="shared" si="13"/>
        <v>13.802782039249518</v>
      </c>
    </row>
    <row r="285" spans="3:11" x14ac:dyDescent="0.2">
      <c r="C285" s="87" t="s">
        <v>140</v>
      </c>
      <c r="D285" s="47">
        <f t="shared" si="13"/>
        <v>88.405625265662565</v>
      </c>
      <c r="E285" s="47">
        <f t="shared" si="13"/>
        <v>93.373033349672184</v>
      </c>
      <c r="F285" s="47">
        <f t="shared" si="13"/>
        <v>90.573718454327675</v>
      </c>
      <c r="G285" s="47">
        <f t="shared" si="13"/>
        <v>89.406107695409418</v>
      </c>
      <c r="H285" s="47">
        <f t="shared" si="13"/>
        <v>96.343829670874854</v>
      </c>
      <c r="I285" s="47">
        <f t="shared" si="13"/>
        <v>98.942378896040211</v>
      </c>
      <c r="J285" s="47">
        <f t="shared" si="13"/>
        <v>97.923233530344149</v>
      </c>
      <c r="K285" s="47">
        <f t="shared" si="13"/>
        <v>57.945929813753658</v>
      </c>
    </row>
    <row r="286" spans="3:11" x14ac:dyDescent="0.2">
      <c r="C286" s="88" t="s">
        <v>141</v>
      </c>
      <c r="D286" s="116">
        <f t="shared" si="13"/>
        <v>75.585355593042905</v>
      </c>
      <c r="E286" s="116">
        <f t="shared" si="13"/>
        <v>48.00903998744554</v>
      </c>
      <c r="F286" s="116">
        <f t="shared" si="13"/>
        <v>55.397149126288802</v>
      </c>
      <c r="G286" s="116">
        <f t="shared" si="13"/>
        <v>49.674188679059554</v>
      </c>
      <c r="H286" s="116">
        <f t="shared" si="13"/>
        <v>39.99359372104788</v>
      </c>
      <c r="I286" s="116">
        <f t="shared" si="13"/>
        <v>95.327924796957191</v>
      </c>
      <c r="J286" s="116">
        <f t="shared" si="13"/>
        <v>91.456912279425921</v>
      </c>
      <c r="K286" s="116">
        <f t="shared" si="13"/>
        <v>17.721110911228919</v>
      </c>
    </row>
    <row r="287" spans="3:11" x14ac:dyDescent="0.2">
      <c r="C287" s="87" t="s">
        <v>142</v>
      </c>
      <c r="D287" s="47">
        <f t="shared" ref="D287:K296" si="14">+IFERROR(IF(D245&gt;0,+((D245/D35)*100)," "),"")</f>
        <v>93.099970633664768</v>
      </c>
      <c r="E287" s="47">
        <f t="shared" si="14"/>
        <v>84.577850558902469</v>
      </c>
      <c r="F287" s="47">
        <f t="shared" si="14"/>
        <v>38.169930115271001</v>
      </c>
      <c r="G287" s="47">
        <f t="shared" si="14"/>
        <v>62.637914946895933</v>
      </c>
      <c r="H287" s="47">
        <f t="shared" si="14"/>
        <v>90.423272742601668</v>
      </c>
      <c r="I287" s="47">
        <f t="shared" si="14"/>
        <v>87.737072997726557</v>
      </c>
      <c r="J287" s="47">
        <f t="shared" si="14"/>
        <v>93.899348405011693</v>
      </c>
      <c r="K287" s="47">
        <f t="shared" si="14"/>
        <v>20.543818468604361</v>
      </c>
    </row>
    <row r="288" spans="3:11" x14ac:dyDescent="0.2">
      <c r="C288" s="88" t="s">
        <v>143</v>
      </c>
      <c r="D288" s="116">
        <f t="shared" si="14"/>
        <v>79.592656028368808</v>
      </c>
      <c r="E288" s="116" t="str">
        <f t="shared" si="14"/>
        <v xml:space="preserve"> </v>
      </c>
      <c r="F288" s="116">
        <f t="shared" si="14"/>
        <v>74.253576611111114</v>
      </c>
      <c r="G288" s="116" t="str">
        <f t="shared" si="14"/>
        <v xml:space="preserve"> </v>
      </c>
      <c r="H288" s="116">
        <f t="shared" si="14"/>
        <v>97.497474999999994</v>
      </c>
      <c r="I288" s="116" t="str">
        <f t="shared" si="14"/>
        <v xml:space="preserve"> </v>
      </c>
      <c r="J288" s="116" t="str">
        <f t="shared" si="14"/>
        <v xml:space="preserve"> </v>
      </c>
      <c r="K288" s="116" t="str">
        <f t="shared" si="14"/>
        <v xml:space="preserve"> 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89.678818780341814</v>
      </c>
      <c r="E290" s="116">
        <f t="shared" si="14"/>
        <v>79.597868438295279</v>
      </c>
      <c r="F290" s="116">
        <f t="shared" si="14"/>
        <v>80.638125400347249</v>
      </c>
      <c r="G290" s="116">
        <f t="shared" si="14"/>
        <v>66.569493683076004</v>
      </c>
      <c r="H290" s="116">
        <f t="shared" si="14"/>
        <v>63.499684813771736</v>
      </c>
      <c r="I290" s="116">
        <f t="shared" si="14"/>
        <v>61.958139542546029</v>
      </c>
      <c r="J290" s="116">
        <f t="shared" si="14"/>
        <v>78.461322251552758</v>
      </c>
      <c r="K290" s="116">
        <f t="shared" si="14"/>
        <v>18.639727477360886</v>
      </c>
    </row>
    <row r="291" spans="1:11" x14ac:dyDescent="0.2">
      <c r="C291" s="87" t="s">
        <v>146</v>
      </c>
      <c r="D291" s="47">
        <f t="shared" si="14"/>
        <v>89.329587110661052</v>
      </c>
      <c r="E291" s="47">
        <f t="shared" si="14"/>
        <v>62.029068998077186</v>
      </c>
      <c r="F291" s="47">
        <f t="shared" si="14"/>
        <v>94.562946456552254</v>
      </c>
      <c r="G291" s="47">
        <f t="shared" si="14"/>
        <v>95.642446719736867</v>
      </c>
      <c r="H291" s="47">
        <f t="shared" si="14"/>
        <v>92.842978632546775</v>
      </c>
      <c r="I291" s="47">
        <f t="shared" si="14"/>
        <v>90.879076863427258</v>
      </c>
      <c r="J291" s="47">
        <f t="shared" si="14"/>
        <v>92.571166841193261</v>
      </c>
      <c r="K291" s="47">
        <f t="shared" si="14"/>
        <v>32.651329761114404</v>
      </c>
    </row>
    <row r="292" spans="1:11" x14ac:dyDescent="0.2">
      <c r="C292" s="88" t="s">
        <v>162</v>
      </c>
      <c r="D292" s="116">
        <f t="shared" si="14"/>
        <v>90.568925217043457</v>
      </c>
      <c r="E292" s="116">
        <f t="shared" si="14"/>
        <v>87.449945223278476</v>
      </c>
      <c r="F292" s="116">
        <f t="shared" si="14"/>
        <v>80.942011885390102</v>
      </c>
      <c r="G292" s="116">
        <f t="shared" si="14"/>
        <v>84.744723887752116</v>
      </c>
      <c r="H292" s="116">
        <f t="shared" si="14"/>
        <v>85.305969109570995</v>
      </c>
      <c r="I292" s="116">
        <f t="shared" si="14"/>
        <v>85.576620554244371</v>
      </c>
      <c r="J292" s="116">
        <f t="shared" si="14"/>
        <v>87.611410150479998</v>
      </c>
      <c r="K292" s="116">
        <f t="shared" si="14"/>
        <v>19.620429181254007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88.568405524925254</v>
      </c>
      <c r="E294" s="116">
        <f t="shared" si="14"/>
        <v>91.153267215305817</v>
      </c>
      <c r="F294" s="116">
        <f t="shared" si="14"/>
        <v>82.199874581984687</v>
      </c>
      <c r="G294" s="116">
        <f t="shared" si="14"/>
        <v>82.405960868745765</v>
      </c>
      <c r="H294" s="116">
        <f t="shared" si="14"/>
        <v>94.920979689037438</v>
      </c>
      <c r="I294" s="116">
        <f t="shared" si="14"/>
        <v>93.628095045106292</v>
      </c>
      <c r="J294" s="116">
        <f t="shared" si="14"/>
        <v>80.817211937636131</v>
      </c>
      <c r="K294" s="116">
        <f t="shared" si="14"/>
        <v>23.978412581484609</v>
      </c>
    </row>
    <row r="295" spans="1:11" x14ac:dyDescent="0.2">
      <c r="C295" s="87" t="s">
        <v>163</v>
      </c>
      <c r="D295" s="47">
        <f t="shared" si="14"/>
        <v>87.322196372554203</v>
      </c>
      <c r="E295" s="47">
        <f t="shared" si="14"/>
        <v>82.254530257712574</v>
      </c>
      <c r="F295" s="47">
        <f t="shared" si="14"/>
        <v>85.669081914312926</v>
      </c>
      <c r="G295" s="47">
        <f t="shared" si="14"/>
        <v>90.213573386696083</v>
      </c>
      <c r="H295" s="47">
        <f t="shared" si="14"/>
        <v>86.366970572542257</v>
      </c>
      <c r="I295" s="47">
        <f t="shared" si="14"/>
        <v>87.666773019681827</v>
      </c>
      <c r="J295" s="47">
        <f t="shared" si="14"/>
        <v>88.982942983303857</v>
      </c>
      <c r="K295" s="47">
        <f t="shared" si="14"/>
        <v>17.92302204741862</v>
      </c>
    </row>
    <row r="296" spans="1:11" x14ac:dyDescent="0.2">
      <c r="C296" s="88" t="s">
        <v>150</v>
      </c>
      <c r="D296" s="116">
        <f t="shared" si="14"/>
        <v>93.070724539364008</v>
      </c>
      <c r="E296" s="116">
        <f t="shared" si="14"/>
        <v>90.710970180116661</v>
      </c>
      <c r="F296" s="116">
        <f t="shared" si="14"/>
        <v>79.196911584689659</v>
      </c>
      <c r="G296" s="116">
        <f t="shared" si="14"/>
        <v>82.928660322563374</v>
      </c>
      <c r="H296" s="116">
        <f t="shared" si="14"/>
        <v>86.852007906258294</v>
      </c>
      <c r="I296" s="116">
        <f t="shared" si="14"/>
        <v>85.04599125502375</v>
      </c>
      <c r="J296" s="116">
        <f t="shared" si="14"/>
        <v>90.777578775074019</v>
      </c>
      <c r="K296" s="116">
        <f t="shared" si="14"/>
        <v>30.885539796439382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179</v>
      </c>
      <c r="D298" s="64">
        <f t="shared" si="15"/>
        <v>88.070493047418921</v>
      </c>
      <c r="E298" s="64">
        <f t="shared" si="15"/>
        <v>88.346184766888754</v>
      </c>
      <c r="F298" s="64">
        <f t="shared" si="15"/>
        <v>76.358807886629776</v>
      </c>
      <c r="G298" s="64">
        <f t="shared" si="15"/>
        <v>85.45192230137549</v>
      </c>
      <c r="H298" s="64">
        <f t="shared" si="15"/>
        <v>83.977280819168115</v>
      </c>
      <c r="I298" s="64">
        <f t="shared" si="15"/>
        <v>86.877245917030692</v>
      </c>
      <c r="J298" s="64">
        <f t="shared" si="15"/>
        <v>91.725074968849611</v>
      </c>
      <c r="K298" s="64">
        <f t="shared" si="15"/>
        <v>29.239901095730549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abril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A9:C9"/>
    <mergeCell ref="K13:K14"/>
    <mergeCell ref="D221:K221"/>
    <mergeCell ref="C13:C14"/>
    <mergeCell ref="C223:C224"/>
    <mergeCell ref="J13:J14"/>
    <mergeCell ref="I13:I14"/>
    <mergeCell ref="I223:I224"/>
    <mergeCell ref="C56:C57"/>
    <mergeCell ref="C140:C141"/>
    <mergeCell ref="C182:C183"/>
    <mergeCell ref="G182:G183"/>
    <mergeCell ref="I182:I183"/>
    <mergeCell ref="H265:H266"/>
    <mergeCell ref="E98:E99"/>
    <mergeCell ref="G98:G99"/>
    <mergeCell ref="H98:H99"/>
    <mergeCell ref="E182:E183"/>
    <mergeCell ref="F265:F266"/>
    <mergeCell ref="D138:K138"/>
    <mergeCell ref="D11:K11"/>
    <mergeCell ref="F140:F141"/>
    <mergeCell ref="K98:K99"/>
    <mergeCell ref="I8:I9"/>
    <mergeCell ref="K8:K9"/>
    <mergeCell ref="D13:D14"/>
    <mergeCell ref="D53:K53"/>
    <mergeCell ref="H140:H141"/>
    <mergeCell ref="J56:J57"/>
    <mergeCell ref="F56:F57"/>
    <mergeCell ref="H56:H57"/>
    <mergeCell ref="D265:D266"/>
    <mergeCell ref="J223:J224"/>
    <mergeCell ref="E56:E57"/>
    <mergeCell ref="G56:G57"/>
    <mergeCell ref="K265:K266"/>
    <mergeCell ref="I98:I99"/>
    <mergeCell ref="D182:D183"/>
    <mergeCell ref="F182:F183"/>
    <mergeCell ref="G140:G141"/>
    <mergeCell ref="I140:I141"/>
    <mergeCell ref="D56:D57"/>
    <mergeCell ref="F223:F224"/>
    <mergeCell ref="H223:H224"/>
    <mergeCell ref="K140:K141"/>
    <mergeCell ref="G265:G266"/>
    <mergeCell ref="I265:I266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E265:E266"/>
    <mergeCell ref="D140:D141"/>
    <mergeCell ref="E13:E14"/>
    <mergeCell ref="G13:G14"/>
    <mergeCell ref="D2:K4"/>
    <mergeCell ref="K182:K183"/>
    <mergeCell ref="K223:K224"/>
    <mergeCell ref="I56:I57"/>
    <mergeCell ref="K56:K57"/>
    <mergeCell ref="D223:D224"/>
    <mergeCell ref="E223:E224"/>
    <mergeCell ref="G223:G224"/>
    <mergeCell ref="E8:E9"/>
    <mergeCell ref="G8:G9"/>
    <mergeCell ref="E140:E141"/>
    <mergeCell ref="H182:H183"/>
    <mergeCell ref="J182:J183"/>
    <mergeCell ref="J98:J99"/>
    <mergeCell ref="D6:K6"/>
    <mergeCell ref="F8:F9"/>
  </mergeCells>
  <pageMargins left="0.7" right="0.7" top="0.75" bottom="0.75" header="0.3" footer="0.3"/>
  <pageSetup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2" ht="18.75" customHeight="1" x14ac:dyDescent="0.2">
      <c r="A5" s="165" t="s">
        <v>31</v>
      </c>
      <c r="B5" s="156"/>
      <c r="C5" s="15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.7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6.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55" t="s">
        <v>201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262.922181*Deflactores!$A$5</f>
        <v>979.04673661675452</v>
      </c>
      <c r="E13" s="56">
        <f>493.945955*Deflactores!$B$5</f>
        <v>1708.631620486889</v>
      </c>
      <c r="F13" s="56">
        <f>515.556184376*Deflactores!$C$5</f>
        <v>1666.8416691654852</v>
      </c>
      <c r="G13" s="56">
        <f>254.151945582*Deflactores!$D$5</f>
        <v>771.60921548286569</v>
      </c>
      <c r="H13" s="56">
        <f>376.084597*Deflactores!$E$5</f>
        <v>1082.3045264908596</v>
      </c>
      <c r="I13" s="56">
        <f>394.933873817*Deflactores!$F$5</f>
        <v>1083.9231290631401</v>
      </c>
      <c r="J13" s="56">
        <f>623.67785786*Deflactores!$G$5</f>
        <v>1638.3617055873235</v>
      </c>
      <c r="K13" s="56">
        <f>983.5211*Deflactores!$H$5</f>
        <v>2444.4486289287661</v>
      </c>
      <c r="L13" s="56">
        <f>1141.862*Deflactores!$I$5</f>
        <v>2635.715367133108</v>
      </c>
      <c r="M13" s="56">
        <f>1294.5843562*Deflactores!$J$5</f>
        <v>2929.593566681549</v>
      </c>
      <c r="N13" s="56">
        <f>1281.887140914*Deflactores!$K$5</f>
        <v>2811.6951652060347</v>
      </c>
      <c r="O13" s="56">
        <f>1455.900732593*Deflactores!$L$5</f>
        <v>3078.6456757896226</v>
      </c>
      <c r="P13" s="56">
        <f>1814.599771896*Deflactores!$M$5</f>
        <v>3745.753776120845</v>
      </c>
      <c r="Q13" s="56">
        <f>2332.884857397*Deflactores!$N$5</f>
        <v>4723.9691083635416</v>
      </c>
      <c r="R13" s="56">
        <f>3041.7518627*Deflactores!$O$5</f>
        <v>5941.9134692177795</v>
      </c>
      <c r="S13" s="56">
        <f>3287.520335005*Deflactores!$P$5</f>
        <v>6014.807677730656</v>
      </c>
      <c r="T13" s="56">
        <f>2058.131061735*Deflactores!$Q$5</f>
        <v>3560.7866144711707</v>
      </c>
      <c r="U13" s="56">
        <f>2247.726997853*Deflactores!$R$5</f>
        <v>3736.0052254613097</v>
      </c>
      <c r="V13" s="56">
        <f>1747.010924764*Deflactores!$S$5</f>
        <v>2814.2586541608184</v>
      </c>
    </row>
    <row r="14" spans="1:22" x14ac:dyDescent="0.2">
      <c r="C14" s="88" t="s">
        <v>124</v>
      </c>
      <c r="D14" s="57">
        <f>53.686588797*Deflactores!$A$5</f>
        <v>199.9134472484406</v>
      </c>
      <c r="E14" s="57">
        <f>64.611096275*Deflactores!$B$5</f>
        <v>223.49927357900447</v>
      </c>
      <c r="F14" s="57">
        <f>74.528059586*Deflactores!$C$5</f>
        <v>240.9562313569173</v>
      </c>
      <c r="G14" s="57">
        <f>102.637371817*Deflactores!$D$5</f>
        <v>311.60863933416812</v>
      </c>
      <c r="H14" s="57">
        <f>232.591600478*Deflactores!$E$5</f>
        <v>669.35722448928959</v>
      </c>
      <c r="I14" s="57">
        <f>197.507144775*Deflactores!$F$5</f>
        <v>542.0719177814658</v>
      </c>
      <c r="J14" s="57">
        <f>318.02874552*Deflactores!$G$5</f>
        <v>835.44110371945544</v>
      </c>
      <c r="K14" s="57">
        <f>397.71754106*Deflactores!$H$5</f>
        <v>988.48931450991449</v>
      </c>
      <c r="L14" s="57">
        <f>421.85385*Deflactores!$I$5</f>
        <v>973.74873244688501</v>
      </c>
      <c r="M14" s="57">
        <f>457.816001344*Deflactores!$J$5</f>
        <v>1036.019635057331</v>
      </c>
      <c r="N14" s="57">
        <f>520.64698*Deflactores!$K$5</f>
        <v>1141.9886741365901</v>
      </c>
      <c r="O14" s="57">
        <f>303.009760927*Deflactores!$L$5</f>
        <v>640.74402142686381</v>
      </c>
      <c r="P14" s="57">
        <f>178.187635091*Deflactores!$M$5</f>
        <v>367.8205063934119</v>
      </c>
      <c r="Q14" s="57">
        <f>296.791*Deflactores!$N$5</f>
        <v>600.98616148792314</v>
      </c>
      <c r="R14" s="57">
        <f>309.372865784*Deflactores!$O$5</f>
        <v>604.3447595954533</v>
      </c>
      <c r="S14" s="57">
        <f>432.90454634*Deflactores!$P$5</f>
        <v>792.03695299617925</v>
      </c>
      <c r="T14" s="57">
        <f>409.347570873*Deflactores!$Q$5</f>
        <v>708.21502970861059</v>
      </c>
      <c r="U14" s="57">
        <f>431.309895503*Deflactores!$R$5</f>
        <v>716.89134175615868</v>
      </c>
      <c r="V14" s="57">
        <f>383.003248642*Deflactores!$S$5</f>
        <v>616.97966039225741</v>
      </c>
    </row>
    <row r="15" spans="1:22" x14ac:dyDescent="0.2">
      <c r="C15" s="87" t="s">
        <v>125</v>
      </c>
      <c r="D15" s="56">
        <f>37.053406*Deflactores!$A$5</f>
        <v>137.97624866361377</v>
      </c>
      <c r="E15" s="56">
        <f>69.87997*Deflactores!$B$5</f>
        <v>241.72508180712845</v>
      </c>
      <c r="F15" s="56">
        <f>82.556081358*Deflactores!$C$5</f>
        <v>266.91158135768097</v>
      </c>
      <c r="G15" s="56">
        <f>67.145532508*Deflactores!$D$5</f>
        <v>203.85486935004022</v>
      </c>
      <c r="H15" s="56">
        <f>87.37122363*Deflactores!$E$5</f>
        <v>251.43882938602286</v>
      </c>
      <c r="I15" s="56">
        <f>92.610522851*Deflactores!$F$5</f>
        <v>254.17593771493898</v>
      </c>
      <c r="J15" s="56">
        <f>123.25411641*Deflactores!$G$5</f>
        <v>323.78065348517697</v>
      </c>
      <c r="K15" s="56">
        <f>128.929340939*Deflactores!$H$5</f>
        <v>320.44167703878236</v>
      </c>
      <c r="L15" s="56">
        <f>190.567410275*Deflactores!$I$5</f>
        <v>439.8792951657706</v>
      </c>
      <c r="M15" s="56">
        <f>208.102311614*Deflactores!$J$5</f>
        <v>470.92736011846875</v>
      </c>
      <c r="N15" s="56">
        <f>330.373713918*Deflactores!$K$5</f>
        <v>724.64271189433964</v>
      </c>
      <c r="O15" s="56">
        <f>369.096924049*Deflactores!$L$5</f>
        <v>780.4918451733239</v>
      </c>
      <c r="P15" s="56">
        <f>408.25358631*Deflactores!$M$5</f>
        <v>842.7298604461655</v>
      </c>
      <c r="Q15" s="56">
        <f>412.522279571*Deflactores!$N$5</f>
        <v>835.33591425489044</v>
      </c>
      <c r="R15" s="56">
        <f>353.983072066*Deflactores!$O$5</f>
        <v>691.48861535241531</v>
      </c>
      <c r="S15" s="56">
        <f>333.381822119*Deflactores!$P$5</f>
        <v>609.95137336364098</v>
      </c>
      <c r="T15" s="56">
        <f>284.643625037*Deflactores!$Q$5</f>
        <v>492.46388083365093</v>
      </c>
      <c r="U15" s="56">
        <f>356.899597891*Deflactores!$R$5</f>
        <v>593.21205998746404</v>
      </c>
      <c r="V15" s="56">
        <f>311.078*Deflactores!$S$5</f>
        <v>501.11532859320971</v>
      </c>
    </row>
    <row r="16" spans="1:22" x14ac:dyDescent="0.2">
      <c r="C16" s="88" t="s">
        <v>126</v>
      </c>
      <c r="D16" s="57">
        <f>96.100833*Deflactores!$A$5</f>
        <v>357.85191868160297</v>
      </c>
      <c r="E16" s="57">
        <f>140.101733277*Deflactores!$B$5</f>
        <v>484.63247676985708</v>
      </c>
      <c r="F16" s="57">
        <f>134.769067647*Deflactores!$C$5</f>
        <v>435.72108041045345</v>
      </c>
      <c r="G16" s="57">
        <f>51.26515946*Deflactores!$D$5</f>
        <v>155.6418125462352</v>
      </c>
      <c r="H16" s="57">
        <f>43.568016188*Deflactores!$E$5</f>
        <v>125.38099541071992</v>
      </c>
      <c r="I16" s="57">
        <f>47.675052*Deflactores!$F$5</f>
        <v>130.84745312586938</v>
      </c>
      <c r="J16" s="57">
        <f>58.31089*Deflactores!$G$5</f>
        <v>153.17896569635772</v>
      </c>
      <c r="K16" s="57">
        <f>89.710510295*Deflactores!$H$5</f>
        <v>222.96698453252574</v>
      </c>
      <c r="L16" s="57">
        <f>73.505125159*Deflactores!$I$5</f>
        <v>169.66900373654497</v>
      </c>
      <c r="M16" s="57">
        <f>182.233850815*Deflactores!$J$5</f>
        <v>412.38804904633929</v>
      </c>
      <c r="N16" s="57">
        <f>219.090923727*Deflactores!$K$5</f>
        <v>480.55470042745185</v>
      </c>
      <c r="O16" s="57">
        <f>212.518496336*Deflactores!$L$5</f>
        <v>449.39131846226041</v>
      </c>
      <c r="P16" s="57">
        <f>287.106269727*Deflactores!$M$5</f>
        <v>592.65376896537828</v>
      </c>
      <c r="Q16" s="57">
        <f>369.393518656*Deflactores!$N$5</f>
        <v>748.00244230986436</v>
      </c>
      <c r="R16" s="57">
        <f>279.387555602*Deflactores!$O$5</f>
        <v>545.76992295807338</v>
      </c>
      <c r="S16" s="57">
        <f>309.862592768*Deflactores!$P$5</f>
        <v>566.92087412431454</v>
      </c>
      <c r="T16" s="57">
        <f>289.564906559*Deflactores!$Q$5</f>
        <v>500.9782236252172</v>
      </c>
      <c r="U16" s="57">
        <f>357.601798193*Deflactores!$R$5</f>
        <v>594.37920528584698</v>
      </c>
      <c r="V16" s="57">
        <f>252.099449243*Deflactores!$S$5</f>
        <v>406.10682319409648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84.1973651924351</v>
      </c>
      <c r="F17" s="56">
        <f>2*Deflactores!$C$5</f>
        <v>6.4661882436069922</v>
      </c>
      <c r="G17" s="56">
        <f>17*Deflactores!$D$5</f>
        <v>51.612261449230225</v>
      </c>
      <c r="H17" s="56">
        <f>0*Deflactores!$E$5</f>
        <v>0</v>
      </c>
      <c r="I17" s="56">
        <f>8.75*Deflactores!$F$5</f>
        <v>24.014975691088015</v>
      </c>
      <c r="J17" s="56">
        <f>42.5*Deflactores!$G$5</f>
        <v>111.64477239320482</v>
      </c>
      <c r="K17" s="56">
        <f>13.9*Deflactores!$H$5</f>
        <v>34.54713472045475</v>
      </c>
      <c r="L17" s="56">
        <f>19.1*Deflactores!$I$5</f>
        <v>44.0877825098325</v>
      </c>
      <c r="M17" s="56">
        <f>21.35*Deflactores!$J$5</f>
        <v>48.314211699765231</v>
      </c>
      <c r="N17" s="56">
        <f>40*Deflactores!$K$5</f>
        <v>87.736122017770285</v>
      </c>
      <c r="O17" s="56">
        <f>50*Deflactores!$L$5</f>
        <v>105.72993085546665</v>
      </c>
      <c r="P17" s="56">
        <f>44.306053303*Deflactores!$M$5</f>
        <v>91.457945181663618</v>
      </c>
      <c r="Q17" s="56">
        <f>62.49231726*Deflactores!$N$5</f>
        <v>126.54365487017088</v>
      </c>
      <c r="R17" s="56">
        <f>60.205094278*Deflactores!$O$5</f>
        <v>117.60770659590675</v>
      </c>
      <c r="S17" s="56">
        <f>55.263618437*Deflactores!$P$5</f>
        <v>101.10965183536712</v>
      </c>
      <c r="T17" s="56">
        <f>65.953428391*Deflactores!$Q$5</f>
        <v>114.1064771624315</v>
      </c>
      <c r="U17" s="56">
        <f>69.270503705*Deflactores!$R$5</f>
        <v>115.13629727249557</v>
      </c>
      <c r="V17" s="56">
        <f>71.915*Deflactores!$S$5</f>
        <v>115.84782226895081</v>
      </c>
    </row>
    <row r="18" spans="3:22" x14ac:dyDescent="0.2">
      <c r="C18" s="88" t="s">
        <v>128</v>
      </c>
      <c r="D18" s="57">
        <f>24.668407*Deflactores!$A$5</f>
        <v>91.858067200819008</v>
      </c>
      <c r="E18" s="57">
        <f>25.04974*Deflactores!$B$5</f>
        <v>86.650730541917767</v>
      </c>
      <c r="F18" s="57">
        <f>17.279*Deflactores!$C$5</f>
        <v>55.864633330642611</v>
      </c>
      <c r="G18" s="57">
        <f>12.565151402*Deflactores!$D$5</f>
        <v>38.147992900540338</v>
      </c>
      <c r="H18" s="57">
        <f>36.690189019*Deflactores!$E$5</f>
        <v>105.5878330828554</v>
      </c>
      <c r="I18" s="57">
        <f>33.8830075*Deflactores!$F$5</f>
        <v>92.994240166108895</v>
      </c>
      <c r="J18" s="57">
        <f>54.874551428*Deflactores!$G$5</f>
        <v>144.15192480842992</v>
      </c>
      <c r="K18" s="57">
        <f>63.422359814*Deflactores!$H$5</f>
        <v>157.63027401319522</v>
      </c>
      <c r="L18" s="57">
        <f>75.22312677*Deflactores!$I$5</f>
        <v>173.63459962017373</v>
      </c>
      <c r="M18" s="57">
        <f>96.874958947*Deflactores!$J$5</f>
        <v>219.22422833589803</v>
      </c>
      <c r="N18" s="57">
        <f>102.292384705*Deflactores!$K$5</f>
        <v>224.36842864916449</v>
      </c>
      <c r="O18" s="57">
        <f>119.339267943*Deflactores!$L$5</f>
        <v>252.35465095910794</v>
      </c>
      <c r="P18" s="57">
        <f>193.472860208*Deflactores!$M$5</f>
        <v>399.37274760252262</v>
      </c>
      <c r="Q18" s="57">
        <f>198.56200016*Deflactores!$N$5</f>
        <v>402.07760442035902</v>
      </c>
      <c r="R18" s="57">
        <f>191.669520072*Deflactores!$O$5</f>
        <v>374.41703148770273</v>
      </c>
      <c r="S18" s="57">
        <f>220.434305185*Deflactores!$P$5</f>
        <v>403.30395439514263</v>
      </c>
      <c r="T18" s="57">
        <f>171.694409885*Deflactores!$Q$5</f>
        <v>297.04967184288711</v>
      </c>
      <c r="U18" s="57">
        <f>186.330288926*Deflactores!$R$5</f>
        <v>309.70439637651151</v>
      </c>
      <c r="V18" s="57">
        <f>143.328659438*Deflactores!$S$5</f>
        <v>230.88803538372247</v>
      </c>
    </row>
    <row r="19" spans="3:22" x14ac:dyDescent="0.2">
      <c r="C19" s="87" t="s">
        <v>129</v>
      </c>
      <c r="D19" s="56">
        <f>477.300062939*Deflactores!$A$5</f>
        <v>1777.3284369925389</v>
      </c>
      <c r="E19" s="56">
        <f>873.694665*Deflactores!$B$5</f>
        <v>3022.2381946010664</v>
      </c>
      <c r="F19" s="56">
        <f>1007.061912*Deflactores!$C$5</f>
        <v>3255.9259479793895</v>
      </c>
      <c r="G19" s="56">
        <f>924.45772682*Deflactores!$D$5</f>
        <v>2806.6678761996995</v>
      </c>
      <c r="H19" s="56">
        <f>883.2751813335*Deflactores!$E$5</f>
        <v>2541.9087474467397</v>
      </c>
      <c r="I19" s="56">
        <f>785.354281662*Deflactores!$F$5</f>
        <v>2155.4587409148362</v>
      </c>
      <c r="J19" s="56">
        <f>1142.86454930662*Deflactores!$G$5</f>
        <v>3002.2318231435338</v>
      </c>
      <c r="K19" s="56">
        <f>1129.114201*Deflactores!$H$5</f>
        <v>2806.3065048004046</v>
      </c>
      <c r="L19" s="56">
        <f>3400.22335509241*Deflactores!$I$5</f>
        <v>7848.6025007417347</v>
      </c>
      <c r="M19" s="56">
        <f>3133.484878499*Deflactores!$J$5</f>
        <v>7090.9532448624732</v>
      </c>
      <c r="N19" s="56">
        <f>2114.134855899*Deflactores!$K$5</f>
        <v>4637.1498419793961</v>
      </c>
      <c r="O19" s="56">
        <f>1520.734458382*Deflactores!$L$5</f>
        <v>3215.7429826850876</v>
      </c>
      <c r="P19" s="56">
        <f>1916.205036383*Deflactores!$M$5</f>
        <v>3955.4905505988208</v>
      </c>
      <c r="Q19" s="56">
        <f>2908.694578691*Deflactores!$N$5</f>
        <v>5889.9535019196537</v>
      </c>
      <c r="R19" s="56">
        <f>2381.190737893*Deflactores!$O$5</f>
        <v>4651.5396248344477</v>
      </c>
      <c r="S19" s="56">
        <f>1471.142788521*Deflactores!$P$5</f>
        <v>2691.5851577297512</v>
      </c>
      <c r="T19" s="56">
        <f>1045.2847159664*Deflactores!$Q$5</f>
        <v>1808.4542302115533</v>
      </c>
      <c r="U19" s="56">
        <f>999.592442452*Deflactores!$R$5</f>
        <v>1661.4484730127083</v>
      </c>
      <c r="V19" s="56">
        <f>837.487323589*Deflactores!$S$5</f>
        <v>1349.1077329574882</v>
      </c>
    </row>
    <row r="20" spans="3:22" x14ac:dyDescent="0.2">
      <c r="C20" s="88" t="s">
        <v>130</v>
      </c>
      <c r="D20" s="57">
        <f>32.99115*Deflactores!$A$5</f>
        <v>122.8495732915506</v>
      </c>
      <c r="E20" s="57">
        <f>71.885856*Deflactores!$B$5</f>
        <v>248.66373615179651</v>
      </c>
      <c r="F20" s="57">
        <f>30.8372*Deflactores!$C$5</f>
        <v>99.699570052878769</v>
      </c>
      <c r="G20" s="57">
        <f>32.6338399195*Deflactores!$D$5</f>
        <v>99.076839883385887</v>
      </c>
      <c r="H20" s="57">
        <f>81.102254642*Deflactores!$E$5</f>
        <v>233.39785252532144</v>
      </c>
      <c r="I20" s="57">
        <f>63.957*Deflactores!$F$5</f>
        <v>175.53437717427613</v>
      </c>
      <c r="J20" s="57">
        <f>93.73771*Deflactores!$G$5</f>
        <v>246.24294817906448</v>
      </c>
      <c r="K20" s="57">
        <f>76.647639352*Deflactores!$H$5</f>
        <v>190.50045487038653</v>
      </c>
      <c r="L20" s="57">
        <f>145.58199925*Deflactores!$I$5</f>
        <v>336.04123142830355</v>
      </c>
      <c r="M20" s="57">
        <f>135.411815558*Deflactores!$J$5</f>
        <v>306.43162171048124</v>
      </c>
      <c r="N20" s="57">
        <f>128.384527177*Deflactores!$K$5</f>
        <v>281.59901353987544</v>
      </c>
      <c r="O20" s="57">
        <f>163.406814*Deflactores!$L$5</f>
        <v>345.53982291064199</v>
      </c>
      <c r="P20" s="57">
        <f>311.496829077*Deflactores!$M$5</f>
        <v>643.0015267475269</v>
      </c>
      <c r="Q20" s="57">
        <f>364.064*Deflactores!$N$5</f>
        <v>737.21044740554544</v>
      </c>
      <c r="R20" s="57">
        <f>327.703656*Deflactores!$O$5</f>
        <v>640.15306158796818</v>
      </c>
      <c r="S20" s="57">
        <f>407.679743203*Deflactores!$P$5</f>
        <v>745.88595646479462</v>
      </c>
      <c r="T20" s="57">
        <f>345.24351458*Deflactores!$Q$5</f>
        <v>597.30816385090498</v>
      </c>
      <c r="U20" s="57">
        <f>534.058554407*Deflactores!$R$5</f>
        <v>887.67254736571579</v>
      </c>
      <c r="V20" s="57">
        <f>531.119*Deflactores!$S$5</f>
        <v>855.57921873966325</v>
      </c>
    </row>
    <row r="21" spans="3:22" x14ac:dyDescent="0.2">
      <c r="C21" s="87" t="s">
        <v>131</v>
      </c>
      <c r="D21" s="56">
        <f>208.480199126*Deflactores!$A$5</f>
        <v>776.32042236680456</v>
      </c>
      <c r="E21" s="56">
        <f>237.241483923*Deflactores!$B$5</f>
        <v>820.65314437501502</v>
      </c>
      <c r="F21" s="56">
        <f>280.38767761*Deflactores!$C$5</f>
        <v>906.51975230702476</v>
      </c>
      <c r="G21" s="56">
        <f>259.242880852*Deflactores!$D$5</f>
        <v>787.06537325794488</v>
      </c>
      <c r="H21" s="56">
        <f>414.593940695*Deflactores!$E$5</f>
        <v>1193.1275629187269</v>
      </c>
      <c r="I21" s="56">
        <f>626.532367138*Deflactores!$F$5</f>
        <v>1719.5610933141602</v>
      </c>
      <c r="J21" s="56">
        <f>681.226983704*Deflactores!$G$5</f>
        <v>1789.5395657351182</v>
      </c>
      <c r="K21" s="56">
        <f>644.370098255*Deflactores!$H$5</f>
        <v>1601.520906061018</v>
      </c>
      <c r="L21" s="56">
        <f>851.873840138*Deflactores!$I$5</f>
        <v>1966.3470465874325</v>
      </c>
      <c r="M21" s="56">
        <f>990.517745223*Deflactores!$J$5</f>
        <v>2241.5027651090463</v>
      </c>
      <c r="N21" s="56">
        <f>1036.727906607*Deflactores!$K$5</f>
        <v>2273.9621528324828</v>
      </c>
      <c r="O21" s="56">
        <f>946.28298111*Deflactores!$L$5</f>
        <v>2001.0086832493032</v>
      </c>
      <c r="P21" s="56">
        <f>1214.108636063*Deflactores!$M$5</f>
        <v>2506.2011351418573</v>
      </c>
      <c r="Q21" s="56">
        <f>1571.844273678*Deflactores!$N$5</f>
        <v>3182.901962979045</v>
      </c>
      <c r="R21" s="56">
        <f>1905.359176759*Deflactores!$O$5</f>
        <v>3722.0259465979357</v>
      </c>
      <c r="S21" s="56">
        <f>2464.653262511*Deflactores!$P$5</f>
        <v>4509.2999755612236</v>
      </c>
      <c r="T21" s="56">
        <f>2598.536911245*Deflactores!$Q$5</f>
        <v>4495.7464676570862</v>
      </c>
      <c r="U21" s="56">
        <f>3274.77744344*Deflactores!$R$5</f>
        <v>5443.0923562340931</v>
      </c>
      <c r="V21" s="56">
        <f>3426.647750202*Deflactores!$S$5</f>
        <v>5519.9844197135708</v>
      </c>
    </row>
    <row r="22" spans="3:22" x14ac:dyDescent="0.2">
      <c r="C22" s="88" t="s">
        <v>132</v>
      </c>
      <c r="D22" s="57">
        <f>11.4*Deflactores!$A$5</f>
        <v>42.450327906837956</v>
      </c>
      <c r="E22" s="57">
        <f>21.291231*Deflactores!$B$5</f>
        <v>73.649495774675756</v>
      </c>
      <c r="F22" s="57">
        <f>19.406*Deflactores!$C$5</f>
        <v>62.741424527718642</v>
      </c>
      <c r="G22" s="57">
        <f>5.04883192584*Deflactores!$D$5</f>
        <v>15.328331374686744</v>
      </c>
      <c r="H22" s="57">
        <f>12.66781*Deflactores!$E$5</f>
        <v>36.455702289041568</v>
      </c>
      <c r="I22" s="57">
        <f>15.516247873*Deflactores!$F$5</f>
        <v>42.585407484227552</v>
      </c>
      <c r="J22" s="57">
        <f>19.1277085*Deflactores!$G$5</f>
        <v>50.247262632613399</v>
      </c>
      <c r="K22" s="57">
        <f>45.499672557*Deflactores!$H$5</f>
        <v>113.08513075994652</v>
      </c>
      <c r="L22" s="57">
        <f>43.438937*Deflactores!$I$5</f>
        <v>100.26839826776524</v>
      </c>
      <c r="M22" s="57">
        <f>66.057186*Deflactores!$J$5</f>
        <v>149.48481820584391</v>
      </c>
      <c r="N22" s="57">
        <f>87.019436728*Deflactores!$K$5</f>
        <v>190.86869796713623</v>
      </c>
      <c r="O22" s="57">
        <f>94.8669*Deflactores!$L$5</f>
        <v>200.60541554944939</v>
      </c>
      <c r="P22" s="57">
        <f>112.141531434*Deflactores!$M$5</f>
        <v>231.48606724996023</v>
      </c>
      <c r="Q22" s="57">
        <f>120.771972*Deflactores!$N$5</f>
        <v>244.55688975611434</v>
      </c>
      <c r="R22" s="57">
        <f>136.240558593*Deflactores!$O$5</f>
        <v>266.13926667868458</v>
      </c>
      <c r="S22" s="57">
        <f>162.52898928*Deflactores!$P$5</f>
        <v>297.36108463452609</v>
      </c>
      <c r="T22" s="57">
        <f>212.883909446*Deflactores!$Q$5</f>
        <v>368.31190650831945</v>
      </c>
      <c r="U22" s="57">
        <f>285.417146909*Deflactores!$R$5</f>
        <v>474.39922788969369</v>
      </c>
      <c r="V22" s="57">
        <f>371.739230168*Deflactores!$S$5</f>
        <v>598.83446105679013</v>
      </c>
    </row>
    <row r="23" spans="3:22" x14ac:dyDescent="0.2">
      <c r="C23" s="87" t="s">
        <v>133</v>
      </c>
      <c r="D23" s="56">
        <f>28.41036*Deflactores!$A$5</f>
        <v>105.79202613608007</v>
      </c>
      <c r="E23" s="56">
        <f>38.21*Deflactores!$B$5</f>
        <v>132.17400316357288</v>
      </c>
      <c r="F23" s="56">
        <f>28.859662*Deflactores!$C$5</f>
        <v>93.306003569435731</v>
      </c>
      <c r="G23" s="56">
        <f>29.399156606*Deflactores!$D$5</f>
        <v>89.256291596219754</v>
      </c>
      <c r="H23" s="56">
        <f>40.30447*Deflactores!$E$5</f>
        <v>115.98909039823043</v>
      </c>
      <c r="I23" s="56">
        <f>46.960966552*Deflactores!$F$5</f>
        <v>128.88759659157455</v>
      </c>
      <c r="J23" s="56">
        <f>55.417468*Deflactores!$G$5</f>
        <v>145.57813179924028</v>
      </c>
      <c r="K23" s="56">
        <f>73.5534*Deflactores!$H$5</f>
        <v>182.81001575161844</v>
      </c>
      <c r="L23" s="56">
        <f>98.521*Deflactores!$I$5</f>
        <v>227.41216862048208</v>
      </c>
      <c r="M23" s="56">
        <f>102.351487622*Deflactores!$J$5</f>
        <v>231.61739769345235</v>
      </c>
      <c r="N23" s="56">
        <f>117.366352127*Deflactores!$K$5</f>
        <v>257.43171477487664</v>
      </c>
      <c r="O23" s="56">
        <f>128.375*Deflactores!$L$5</f>
        <v>271.46159747141064</v>
      </c>
      <c r="P23" s="56">
        <f>138.278*Deflactores!$M$5</f>
        <v>285.43778560781374</v>
      </c>
      <c r="Q23" s="56">
        <f>154.645867265*Deflactores!$N$5</f>
        <v>313.14974563771545</v>
      </c>
      <c r="R23" s="56">
        <f>153.783953417*Deflactores!$O$5</f>
        <v>300.40943029025595</v>
      </c>
      <c r="S23" s="56">
        <f>161.964*Deflactores!$P$5</f>
        <v>296.32738704093407</v>
      </c>
      <c r="T23" s="56">
        <f>182.891275567*Deflactores!$Q$5</f>
        <v>316.42144567486417</v>
      </c>
      <c r="U23" s="56">
        <f>170.683383878*Deflactores!$R$5</f>
        <v>283.69727047667476</v>
      </c>
      <c r="V23" s="56">
        <f>142.332603119*Deflactores!$S$5</f>
        <v>229.28348896901932</v>
      </c>
    </row>
    <row r="24" spans="3:22" x14ac:dyDescent="0.2">
      <c r="C24" s="88" t="s">
        <v>134</v>
      </c>
      <c r="D24" s="57">
        <f>880.923149728*Deflactores!$A$5</f>
        <v>3280.3049619893077</v>
      </c>
      <c r="E24" s="57">
        <f>1797.940478616*Deflactores!$B$5</f>
        <v>6219.3402383801858</v>
      </c>
      <c r="F24" s="57">
        <f>1154.187549323*Deflactores!$C$5</f>
        <v>3731.5969811749742</v>
      </c>
      <c r="G24" s="57">
        <f>1310.89765891954*Deflactores!$D$5</f>
        <v>3979.9054532552427</v>
      </c>
      <c r="H24" s="57">
        <f>1516.931617073*Deflactores!$E$5</f>
        <v>4365.4591776201023</v>
      </c>
      <c r="I24" s="57">
        <f>1954.968486021*Deflactores!$F$5</f>
        <v>5365.5452192728517</v>
      </c>
      <c r="J24" s="57">
        <f>866.592032053*Deflactores!$G$5</f>
        <v>2276.4816512075777</v>
      </c>
      <c r="K24" s="57">
        <f>953.273476926*Deflactores!$H$5</f>
        <v>2369.2710239423618</v>
      </c>
      <c r="L24" s="57">
        <f>983.335428036*Deflactores!$I$5</f>
        <v>2269.7946851028387</v>
      </c>
      <c r="M24" s="57">
        <f>1018.682962932*Deflactores!$J$5</f>
        <v>2305.2395468871541</v>
      </c>
      <c r="N24" s="57">
        <f>830.465981822*Deflactores!$K$5</f>
        <v>1821.5466178185598</v>
      </c>
      <c r="O24" s="57">
        <f>1431.099964307*Deflactores!$L$5</f>
        <v>3026.2020054687978</v>
      </c>
      <c r="P24" s="57">
        <f>2481.94774902*Deflactores!$M$5</f>
        <v>5123.3144063015579</v>
      </c>
      <c r="Q24" s="57">
        <f>2597.83705277*Deflactores!$N$5</f>
        <v>5260.4833654502372</v>
      </c>
      <c r="R24" s="57">
        <f>2915.120590115*Deflactores!$O$5</f>
        <v>5694.5454726945172</v>
      </c>
      <c r="S24" s="57">
        <f>3129.027399424*Deflactores!$P$5</f>
        <v>5724.8309084167049</v>
      </c>
      <c r="T24" s="57">
        <f>2038.867532357*Deflactores!$Q$5</f>
        <v>3527.4586506539245</v>
      </c>
      <c r="U24" s="57">
        <f>1532.11443526343*Deflactores!$R$5</f>
        <v>2546.5670615765875</v>
      </c>
      <c r="V24" s="57">
        <f>1542.559088621*Deflactores!$S$5</f>
        <v>2484.9073369661455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1056.971089275*Deflactores!$A$5</f>
        <v>3935.8569585764421</v>
      </c>
      <c r="E26" s="57">
        <f>1168.585149308*Deflactores!$B$5</f>
        <v>4042.3077001188135</v>
      </c>
      <c r="F26" s="57">
        <f>1100.733687057*Deflactores!$C$5</f>
        <v>3558.7756132950758</v>
      </c>
      <c r="G26" s="57">
        <f>1110.692860978*Deflactores!$D$5</f>
        <v>3372.080607681768</v>
      </c>
      <c r="H26" s="57">
        <f>1277.97367616*Deflactores!$E$5</f>
        <v>3677.7807585779219</v>
      </c>
      <c r="I26" s="57">
        <f>1602.89593082484*Deflactores!$F$5</f>
        <v>4399.2579216117065</v>
      </c>
      <c r="J26" s="57">
        <f>2617.659529708*Deflactores!$G$5</f>
        <v>6876.4235858153697</v>
      </c>
      <c r="K26" s="57">
        <f>3621.867172808*Deflactores!$H$5</f>
        <v>9001.8081409057941</v>
      </c>
      <c r="L26" s="57">
        <f>4712.671006539*Deflactores!$I$5</f>
        <v>10878.074051135331</v>
      </c>
      <c r="M26" s="57">
        <f>5415.78435206*Deflactores!$J$5</f>
        <v>12255.707339845558</v>
      </c>
      <c r="N26" s="57">
        <f>5754.282517229*Deflactores!$K$5</f>
        <v>12621.460826408149</v>
      </c>
      <c r="O26" s="57">
        <f>6014.232105224*Deflactores!$L$5</f>
        <v>12717.686892681224</v>
      </c>
      <c r="P26" s="57">
        <f>7370.552960286*Deflactores!$M$5</f>
        <v>15214.526646965911</v>
      </c>
      <c r="Q26" s="57">
        <f>8355.480816384*Deflactores!$N$5</f>
        <v>16919.40908998116</v>
      </c>
      <c r="R26" s="57">
        <f>8674.374453324*Deflactores!$O$5</f>
        <v>16944.966166797407</v>
      </c>
      <c r="S26" s="57">
        <f>9787.942989349*Deflactores!$P$5</f>
        <v>17907.902808892213</v>
      </c>
      <c r="T26" s="57">
        <f>9603.155904483*Deflactores!$Q$5</f>
        <v>16614.485655027584</v>
      </c>
      <c r="U26" s="57">
        <f>10202.909135001*Deflactores!$R$5</f>
        <v>16958.519375209096</v>
      </c>
      <c r="V26" s="57">
        <f>9799.741448358*Deflactores!$S$5</f>
        <v>15786.396517987181</v>
      </c>
    </row>
    <row r="27" spans="3:22" x14ac:dyDescent="0.2">
      <c r="C27" s="87" t="s">
        <v>137</v>
      </c>
      <c r="D27" s="56">
        <f>51.1516*Deflactores!$A$5</f>
        <v>190.47387657538707</v>
      </c>
      <c r="E27" s="56">
        <f>40.416446*Deflactores!$B$5</f>
        <v>139.80642401110632</v>
      </c>
      <c r="F27" s="56">
        <f>56.185218*Deflactores!$C$5</f>
        <v>181.65209804804797</v>
      </c>
      <c r="G27" s="56">
        <f>42.56853577378*Deflactores!$D$5</f>
        <v>129.23872928630843</v>
      </c>
      <c r="H27" s="56">
        <f>78.200875798*Deflactores!$E$5</f>
        <v>225.04820066248266</v>
      </c>
      <c r="I27" s="56">
        <f>216.594596903*Deflactores!$F$5</f>
        <v>594.45874050817736</v>
      </c>
      <c r="J27" s="56">
        <f>90.484613018*Deflactores!$G$5</f>
        <v>237.69727118780773</v>
      </c>
      <c r="K27" s="56">
        <f>113.869027316*Deflactores!$H$5</f>
        <v>283.01069260237364</v>
      </c>
      <c r="L27" s="56">
        <f>143.28528273232*Deflactores!$I$5</f>
        <v>330.73981057394673</v>
      </c>
      <c r="M27" s="56">
        <f>139.38465368*Deflactores!$J$5</f>
        <v>315.42199838847682</v>
      </c>
      <c r="N27" s="56">
        <f>185.880182866*Deflactores!$K$5</f>
        <v>407.71016011542076</v>
      </c>
      <c r="O27" s="56">
        <f>191.106566095*Deflactores!$L$5</f>
        <v>404.11368038500035</v>
      </c>
      <c r="P27" s="56">
        <f>218.880415893*Deflactores!$M$5</f>
        <v>451.81982112422253</v>
      </c>
      <c r="Q27" s="56">
        <f>275.421063749*Deflactores!$N$5</f>
        <v>557.71316480429687</v>
      </c>
      <c r="R27" s="56">
        <f>460.163968751*Deflactores!$O$5</f>
        <v>898.90780293407147</v>
      </c>
      <c r="S27" s="56">
        <f>257.877315149*Deflactores!$P$5</f>
        <v>471.80923523273486</v>
      </c>
      <c r="T27" s="56">
        <f>201.32501596877*Deflactores!$Q$5</f>
        <v>348.31378591384089</v>
      </c>
      <c r="U27" s="56">
        <f>250.784808971*Deflactores!$R$5</f>
        <v>416.83592254616292</v>
      </c>
      <c r="V27" s="56">
        <f>466.430073103*Deflactores!$S$5</f>
        <v>751.37187248460089</v>
      </c>
    </row>
    <row r="28" spans="3:22" x14ac:dyDescent="0.2">
      <c r="C28" s="88" t="s">
        <v>138</v>
      </c>
      <c r="D28" s="57">
        <f>11.11*Deflactores!$A$5</f>
        <v>41.370451144295586</v>
      </c>
      <c r="E28" s="57">
        <f>22.225*Deflactores!$B$5</f>
        <v>76.879539919141777</v>
      </c>
      <c r="F28" s="57">
        <f>12.1477*Deflactores!$C$5</f>
        <v>39.274657463432334</v>
      </c>
      <c r="G28" s="57">
        <f>41.7058231855999*Deflactores!$D$5</f>
        <v>126.61952060062058</v>
      </c>
      <c r="H28" s="57">
        <f>27*Deflactores!$E$5</f>
        <v>77.701193955713137</v>
      </c>
      <c r="I28" s="57">
        <f>22.905*Deflactores!$F$5</f>
        <v>62.8643449376424</v>
      </c>
      <c r="J28" s="57">
        <f>45.01422*Deflactores!$G$5</f>
        <v>118.24946697312114</v>
      </c>
      <c r="K28" s="57">
        <f>44.1*Deflactores!$H$5</f>
        <v>109.60637706273774</v>
      </c>
      <c r="L28" s="57">
        <f>102.726176236*Deflactores!$I$5</f>
        <v>237.1188123539001</v>
      </c>
      <c r="M28" s="57">
        <f>84.40292803*Deflactores!$J$5</f>
        <v>191.00051208063081</v>
      </c>
      <c r="N28" s="57">
        <f>77.642977326*Deflactores!$K$5</f>
        <v>170.30234331242269</v>
      </c>
      <c r="O28" s="57">
        <f>50.842*Deflactores!$L$5</f>
        <v>107.51042289107271</v>
      </c>
      <c r="P28" s="57">
        <f>75.45*Deflactores!$M$5</f>
        <v>155.74625699033504</v>
      </c>
      <c r="Q28" s="57">
        <f>39.58654082*Deflactores!$N$5</f>
        <v>80.160662600944036</v>
      </c>
      <c r="R28" s="57">
        <f>20.2136*Deflactores!$O$5</f>
        <v>39.486278803415459</v>
      </c>
      <c r="S28" s="57">
        <f>16.871*Deflactores!$P$5</f>
        <v>30.866978753103151</v>
      </c>
      <c r="T28" s="57">
        <f>10.642*Deflactores!$Q$5</f>
        <v>18.411796923786635</v>
      </c>
      <c r="U28" s="57">
        <f>8.630885526*Deflactores!$R$5</f>
        <v>14.345618242915812</v>
      </c>
      <c r="V28" s="57">
        <f>7.0382*Deflactores!$S$5</f>
        <v>11.337831366103449</v>
      </c>
    </row>
    <row r="29" spans="3:22" x14ac:dyDescent="0.2">
      <c r="C29" s="87" t="s">
        <v>139</v>
      </c>
      <c r="D29" s="56">
        <f>160.060061*Deflactores!$A$5</f>
        <v>596.01772581039347</v>
      </c>
      <c r="E29" s="56">
        <f>191.299044269*Deflactores!$B$5</f>
        <v>661.73149652968527</v>
      </c>
      <c r="F29" s="56">
        <f>190.714462*Deflactores!$C$5</f>
        <v>616.59780603511626</v>
      </c>
      <c r="G29" s="56">
        <f>111.77593311125*Deflactores!$D$5</f>
        <v>339.35345196879439</v>
      </c>
      <c r="H29" s="56">
        <f>267.719768397*Deflactores!$E$5</f>
        <v>770.44983888866284</v>
      </c>
      <c r="I29" s="56">
        <f>182.09479685992*Deflactores!$F$5</f>
        <v>499.77167086452442</v>
      </c>
      <c r="J29" s="56">
        <f>272.17469319662*Deflactores!$G$5</f>
        <v>714.98545113239982</v>
      </c>
      <c r="K29" s="56">
        <f>594.93698995*Deflactores!$H$5</f>
        <v>1478.6595929485238</v>
      </c>
      <c r="L29" s="56">
        <f>781.848849471*Deflactores!$I$5</f>
        <v>1804.711101101582</v>
      </c>
      <c r="M29" s="56">
        <f>775.846597517*Deflactores!$J$5</f>
        <v>1755.7103868374184</v>
      </c>
      <c r="N29" s="56">
        <f>533.13176649644*Deflactores!$K$5</f>
        <v>1169.3728429220271</v>
      </c>
      <c r="O29" s="56">
        <f>4035.606411451*Deflactores!$L$5</f>
        <v>8533.6877368518417</v>
      </c>
      <c r="P29" s="56">
        <f>491.143225131*Deflactores!$M$5</f>
        <v>1013.8332532844892</v>
      </c>
      <c r="Q29" s="56">
        <f>779.881691611*Deflactores!$N$5</f>
        <v>1579.2193976771637</v>
      </c>
      <c r="R29" s="56">
        <f>745.969515742*Deflactores!$O$5</f>
        <v>1457.2149581191588</v>
      </c>
      <c r="S29" s="56">
        <f>828.072302723*Deflactores!$P$5</f>
        <v>1515.0311288118098</v>
      </c>
      <c r="T29" s="56">
        <f>964.714597376*Deflactores!$Q$5</f>
        <v>1669.0593174496805</v>
      </c>
      <c r="U29" s="56">
        <f>1152.719133953*Deflactores!$R$5</f>
        <v>1915.9643106352414</v>
      </c>
      <c r="V29" s="56">
        <f>505.909659052*Deflactores!$S$5</f>
        <v>814.96950936524502</v>
      </c>
    </row>
    <row r="30" spans="3:22" x14ac:dyDescent="0.2">
      <c r="C30" s="88" t="s">
        <v>140</v>
      </c>
      <c r="D30" s="57">
        <f>272.66508*Deflactores!$A$5</f>
        <v>1015.3264960301932</v>
      </c>
      <c r="E30" s="57">
        <f>531.696167442*Deflactores!$B$5</f>
        <v>1839.215150943169</v>
      </c>
      <c r="F30" s="57">
        <f>313.46368835*Deflactores!$C$5</f>
        <v>1013.457608203228</v>
      </c>
      <c r="G30" s="57">
        <f>342.90884694107*Deflactores!$D$5</f>
        <v>1041.0765330339161</v>
      </c>
      <c r="H30" s="57">
        <f>665.778420038*Deflactores!$E$5</f>
        <v>1915.9917832185515</v>
      </c>
      <c r="I30" s="57">
        <f>876.903987222*Deflactores!$F$5</f>
        <v>2406.7231927490839</v>
      </c>
      <c r="J30" s="57">
        <f>946.2137*Deflactores!$G$5</f>
        <v>2485.64266286664</v>
      </c>
      <c r="K30" s="57">
        <f>3942.349*Deflactores!$H$5</f>
        <v>9798.3353969820182</v>
      </c>
      <c r="L30" s="57">
        <f>1720.374481086*Deflactores!$I$5</f>
        <v>3971.0730867845818</v>
      </c>
      <c r="M30" s="57">
        <f>7201.317210398*Deflactores!$J$5</f>
        <v>16296.29808994528</v>
      </c>
      <c r="N30" s="57">
        <f>1426.376158075*Deflactores!$K$5</f>
        <v>3128.6178162026649</v>
      </c>
      <c r="O30" s="57">
        <f>2207.5589*Deflactores!$L$5</f>
        <v>4668.1009971273998</v>
      </c>
      <c r="P30" s="57">
        <f>2583.397768294*Deflactores!$M$5</f>
        <v>5332.7307187405604</v>
      </c>
      <c r="Q30" s="57">
        <f>3140.364344229*Deflactores!$N$5</f>
        <v>6359.0725895048217</v>
      </c>
      <c r="R30" s="57">
        <f>2552.972432248*Deflactores!$O$5</f>
        <v>4987.1067616445471</v>
      </c>
      <c r="S30" s="57">
        <f>2668.414188683*Deflactores!$P$5</f>
        <v>4882.0985161850003</v>
      </c>
      <c r="T30" s="57">
        <f>2713.137035806*Deflactores!$Q$5</f>
        <v>4694.0169262981117</v>
      </c>
      <c r="U30" s="57">
        <f>3206.44621735*Deflactores!$R$5</f>
        <v>5329.517256598655</v>
      </c>
      <c r="V30" s="57">
        <f>3529.4046087049*Deflactores!$S$5</f>
        <v>5685.5153698736167</v>
      </c>
    </row>
    <row r="31" spans="3:22" x14ac:dyDescent="0.2">
      <c r="C31" s="87" t="s">
        <v>141</v>
      </c>
      <c r="D31" s="56">
        <f>7.965*Deflactores!$A$5</f>
        <v>29.659373840172307</v>
      </c>
      <c r="E31" s="56">
        <f>20.772*Deflactores!$B$5</f>
        <v>71.853399469084934</v>
      </c>
      <c r="F31" s="56">
        <f>21*Deflactores!$C$5</f>
        <v>67.89497655787342</v>
      </c>
      <c r="G31" s="56">
        <f>18.588984708*Deflactores!$D$5</f>
        <v>56.436443460296395</v>
      </c>
      <c r="H31" s="56">
        <f>24.279327303*Deflactores!$E$5</f>
        <v>69.871582217949793</v>
      </c>
      <c r="I31" s="56">
        <f>31.09759956255*Deflactores!$F$5</f>
        <v>85.349496862380278</v>
      </c>
      <c r="J31" s="56">
        <f>35.4240541*Deflactores!$G$5</f>
        <v>93.05671664091939</v>
      </c>
      <c r="K31" s="56">
        <f>47.57045*Deflactores!$H$5</f>
        <v>118.23185214839256</v>
      </c>
      <c r="L31" s="56">
        <f>55.65323125*Deflactores!$I$5</f>
        <v>128.46217567117347</v>
      </c>
      <c r="M31" s="56">
        <f>68.87711006*Deflactores!$J$5</f>
        <v>155.86619563029834</v>
      </c>
      <c r="N31" s="56">
        <f>105.0040729*Deflactores!$K$5</f>
        <v>230.31625380793116</v>
      </c>
      <c r="O31" s="56">
        <f>92.805329204*Deflactores!$L$5</f>
        <v>196.24602079515481</v>
      </c>
      <c r="P31" s="56">
        <f>89.214507693*Deflactores!$M$5</f>
        <v>184.15938558542348</v>
      </c>
      <c r="Q31" s="56">
        <f>117.665*Deflactores!$N$5</f>
        <v>238.26543490697654</v>
      </c>
      <c r="R31" s="56">
        <f>81.980677102*Deflactores!$O$5</f>
        <v>160.14524243788091</v>
      </c>
      <c r="S31" s="56">
        <f>162.32579725032*Deflactores!$P$5</f>
        <v>296.98932694008403</v>
      </c>
      <c r="T31" s="56">
        <f>96.967462993*Deflactores!$Q$5</f>
        <v>167.76407036665213</v>
      </c>
      <c r="U31" s="56">
        <f>230.662058359*Deflactores!$R$5</f>
        <v>383.38937787730572</v>
      </c>
      <c r="V31" s="56">
        <f>225.030057713*Deflactores!$S$5</f>
        <v>362.50075966220351</v>
      </c>
    </row>
    <row r="32" spans="3:22" x14ac:dyDescent="0.2">
      <c r="C32" s="88" t="s">
        <v>142</v>
      </c>
      <c r="D32" s="57">
        <f>467.990727783*Deflactores!$A$5</f>
        <v>1742.6631448901833</v>
      </c>
      <c r="E32" s="57">
        <f>1056.106674*Deflactores!$B$5</f>
        <v>3653.2281306031518</v>
      </c>
      <c r="F32" s="57">
        <f>854.368069829*Deflactores!$C$5</f>
        <v>2762.2523844207385</v>
      </c>
      <c r="G32" s="57">
        <f>389.521453523*Deflactores!$D$5</f>
        <v>1182.5931234890149</v>
      </c>
      <c r="H32" s="57">
        <f>290.660120755*Deflactores!$E$5</f>
        <v>836.46808955463916</v>
      </c>
      <c r="I32" s="57">
        <f>257.154447196*Deflactores!$F$5</f>
        <v>705.77803408767045</v>
      </c>
      <c r="J32" s="57">
        <f>336.40125945*Deflactores!$G$5</f>
        <v>883.70451868429871</v>
      </c>
      <c r="K32" s="57">
        <f>369.477261215*Deflactores!$H$5</f>
        <v>918.30077117548592</v>
      </c>
      <c r="L32" s="57">
        <f>585.968158055*Deflactores!$I$5</f>
        <v>1352.5673670165443</v>
      </c>
      <c r="M32" s="57">
        <f>1105.503599412*Deflactores!$J$5</f>
        <v>2501.7112382596638</v>
      </c>
      <c r="N32" s="57">
        <f>879.974442788*Deflactores!$K$5</f>
        <v>1930.1386271241847</v>
      </c>
      <c r="O32" s="57">
        <f>868.485874474*Deflactores!$L$5</f>
        <v>1836.49902914171</v>
      </c>
      <c r="P32" s="57">
        <f>956.20563568*Deflactores!$M$5</f>
        <v>1973.8296709108542</v>
      </c>
      <c r="Q32" s="57">
        <f>539.98582583*Deflactores!$N$5</f>
        <v>1093.4428898566935</v>
      </c>
      <c r="R32" s="57">
        <f>313.768622986*Deflactores!$O$5</f>
        <v>612.93165626058442</v>
      </c>
      <c r="S32" s="57">
        <f>251.645690663*Deflactores!$P$5</f>
        <v>460.40792999850572</v>
      </c>
      <c r="T32" s="57">
        <f>395.549532329*Deflactores!$Q$5</f>
        <v>684.34294893256197</v>
      </c>
      <c r="U32" s="57">
        <f>365.245612115*Deflactores!$R$5</f>
        <v>607.08418626544255</v>
      </c>
      <c r="V32" s="57">
        <f>320.051110721*Deflactores!$S$5</f>
        <v>515.57010626137389</v>
      </c>
    </row>
    <row r="33" spans="3:22" x14ac:dyDescent="0.2">
      <c r="C33" s="87" t="s">
        <v>143</v>
      </c>
      <c r="D33" s="56">
        <f>741.022230109*Deflactores!$A$5</f>
        <v>2759.3540924897702</v>
      </c>
      <c r="E33" s="56">
        <f>771.67087*Deflactores!$B$5</f>
        <v>2669.3229000946621</v>
      </c>
      <c r="F33" s="56">
        <f>1115.46146151117*Deflactores!$C$5</f>
        <v>3606.3918943101003</v>
      </c>
      <c r="G33" s="56">
        <f>759.492901155*Deflactores!$D$5</f>
        <v>2305.8321284262488</v>
      </c>
      <c r="H33" s="56">
        <f>762.092601911*Deflactores!$E$5</f>
        <v>2193.1668545666921</v>
      </c>
      <c r="I33" s="56">
        <f>593.2758121326*Deflactores!$F$5</f>
        <v>1628.2861950257015</v>
      </c>
      <c r="J33" s="56">
        <f>48.0321587*Deflactores!$G$5</f>
        <v>126.17739824978335</v>
      </c>
      <c r="K33" s="56">
        <f>137.336993113*Deflactores!$H$5</f>
        <v>341.33810094798395</v>
      </c>
      <c r="L33" s="56">
        <f>117.114709903*Deflactores!$I$5</f>
        <v>270.33130151338167</v>
      </c>
      <c r="M33" s="56">
        <f>58.489158295*Deflactores!$J$5</f>
        <v>132.35866866537282</v>
      </c>
      <c r="N33" s="56">
        <f>78.109975922*Deflactores!$K$5</f>
        <v>171.3266594574423</v>
      </c>
      <c r="O33" s="56">
        <f>85.521490061*Deflactores!$L$5</f>
        <v>180.84362461612014</v>
      </c>
      <c r="P33" s="56">
        <f>439.511278448*Deflactores!$M$5</f>
        <v>907.25296916253023</v>
      </c>
      <c r="Q33" s="56">
        <f>142.271712998*Deflactores!$N$5</f>
        <v>288.0927342236775</v>
      </c>
      <c r="R33" s="56">
        <f>142.374947908*Deflactores!$O$5</f>
        <v>278.12249612721337</v>
      </c>
      <c r="S33" s="56">
        <f>143.004944487*Deflactores!$P$5</f>
        <v>261.64012702678707</v>
      </c>
      <c r="T33" s="56">
        <f>95.207469036*Deflactores!$Q$5</f>
        <v>164.71909279444995</v>
      </c>
      <c r="U33" s="56">
        <f>83.960740515*Deflactores!$R$5</f>
        <v>139.55332013063068</v>
      </c>
      <c r="V33" s="56">
        <f>880.717375669*Deflactores!$S$5</f>
        <v>1418.7469930567906</v>
      </c>
    </row>
    <row r="34" spans="3:22" x14ac:dyDescent="0.2">
      <c r="C34" s="88" t="s">
        <v>144</v>
      </c>
      <c r="D34" s="57">
        <f>23.667013131*Deflactores!$A$5</f>
        <v>88.129163858455229</v>
      </c>
      <c r="E34" s="57">
        <f>47.35*Deflactores!$B$5</f>
        <v>163.79060585697923</v>
      </c>
      <c r="F34" s="57">
        <f>41.728323*Deflactores!$C$5</f>
        <v>134.91159580401765</v>
      </c>
      <c r="G34" s="57">
        <f>37.58558644*Deflactores!$D$5</f>
        <v>114.11041847434838</v>
      </c>
      <c r="H34" s="57">
        <f>67.580101871*Deflactores!$E$5</f>
        <v>194.48350381575642</v>
      </c>
      <c r="I34" s="57">
        <f>70.046061931*Deflactores!$F$5</f>
        <v>192.24622566050405</v>
      </c>
      <c r="J34" s="57">
        <f>83.134218673*Deflactores!$G$5</f>
        <v>218.3882569843295</v>
      </c>
      <c r="K34" s="57">
        <f>92.944505*Deflactores!$H$5</f>
        <v>231.00477235690505</v>
      </c>
      <c r="L34" s="57">
        <f>103.973509666*Deflactores!$I$5</f>
        <v>239.99798329521334</v>
      </c>
      <c r="M34" s="57">
        <f>87.61814*Deflactores!$J$5</f>
        <v>198.27641052457457</v>
      </c>
      <c r="N34" s="57">
        <f>151.999710278*Deflactores!$K$5</f>
        <v>333.39662819040853</v>
      </c>
      <c r="O34" s="57">
        <f>230.441737145*Deflactores!$L$5</f>
        <v>487.29177869108941</v>
      </c>
      <c r="P34" s="57">
        <f>201.068989259*Deflactores!$M$5</f>
        <v>415.05291549263262</v>
      </c>
      <c r="Q34" s="57">
        <f>331.910058937*Deflactores!$N$5</f>
        <v>672.10040830004255</v>
      </c>
      <c r="R34" s="57">
        <f>268.378864469*Deflactores!$O$5</f>
        <v>524.26498334621169</v>
      </c>
      <c r="S34" s="57">
        <f>249.892939291*Deflactores!$P$5</f>
        <v>457.20111716233737</v>
      </c>
      <c r="T34" s="57">
        <f>165.546554066*Deflactores!$Q$5</f>
        <v>286.41322447809216</v>
      </c>
      <c r="U34" s="57">
        <f>235.972024956*Deflactores!$R$5</f>
        <v>392.2152108064675</v>
      </c>
      <c r="V34" s="57">
        <f>223.185517411*Deflactores!$S$5</f>
        <v>359.52939100373152</v>
      </c>
    </row>
    <row r="35" spans="3:22" x14ac:dyDescent="0.2">
      <c r="C35" s="87" t="s">
        <v>145</v>
      </c>
      <c r="D35" s="56">
        <f>34.890910294*Deflactores!$A$5</f>
        <v>129.92373534634805</v>
      </c>
      <c r="E35" s="56">
        <f>5*Deflactores!$B$5</f>
        <v>17.295734514992525</v>
      </c>
      <c r="F35" s="56">
        <f>14.4926*Deflactores!$C$5</f>
        <v>46.855939869649347</v>
      </c>
      <c r="G35" s="56">
        <f>15.426597204*Deflactores!$D$5</f>
        <v>46.835386362636001</v>
      </c>
      <c r="H35" s="56">
        <f>23.053568989*Deflactores!$E$5</f>
        <v>66.344067977248244</v>
      </c>
      <c r="I35" s="56">
        <f>58.5396*Deflactores!$F$5</f>
        <v>160.66595096754469</v>
      </c>
      <c r="J35" s="56">
        <f>100.058019613*Deflactores!$G$5</f>
        <v>262.84599590136963</v>
      </c>
      <c r="K35" s="56">
        <f>102.039810092*Deflactores!$H$5</f>
        <v>253.61029252503178</v>
      </c>
      <c r="L35" s="56">
        <f>110.661072312*Deflactores!$I$5</f>
        <v>255.43462242912582</v>
      </c>
      <c r="M35" s="56">
        <f>121.159*Deflactores!$J$5</f>
        <v>274.17805973451311</v>
      </c>
      <c r="N35" s="56">
        <f>93.325*Deflactores!$K$5</f>
        <v>204.6993396827103</v>
      </c>
      <c r="O35" s="56">
        <f>70.040253113*Deflactores!$L$5</f>
        <v>148.10702237473745</v>
      </c>
      <c r="P35" s="56">
        <f>77.213387966*Deflactores!$M$5</f>
        <v>159.38629775012694</v>
      </c>
      <c r="Q35" s="56">
        <f>73.889194886*Deflactores!$N$5</f>
        <v>149.62173249852663</v>
      </c>
      <c r="R35" s="56">
        <f>75.178943088*Deflactores!$O$5</f>
        <v>146.85838776461745</v>
      </c>
      <c r="S35" s="56">
        <f>89.550093373*Deflactores!$P$5</f>
        <v>163.83977413803535</v>
      </c>
      <c r="T35" s="56">
        <f>84.647810288*Deflactores!$Q$5</f>
        <v>146.44975503344045</v>
      </c>
      <c r="U35" s="56">
        <f>96.459309301*Deflactores!$R$5</f>
        <v>160.32751483483</v>
      </c>
      <c r="V35" s="56">
        <f>100.652121353*Deflactores!$S$5</f>
        <v>162.14043058465148</v>
      </c>
    </row>
    <row r="36" spans="3:22" x14ac:dyDescent="0.2">
      <c r="C36" s="88" t="s">
        <v>146</v>
      </c>
      <c r="D36" s="57">
        <f>5.3277*Deflactores!$A$5</f>
        <v>19.838825613093032</v>
      </c>
      <c r="E36" s="57">
        <f>7.56*Deflactores!$B$5</f>
        <v>26.151150586668695</v>
      </c>
      <c r="F36" s="57">
        <f>7.306698*Deflactores!$C$5</f>
        <v>23.623242353593362</v>
      </c>
      <c r="G36" s="57">
        <f>2.735757955*Deflactores!$D$5</f>
        <v>8.3058032256042011</v>
      </c>
      <c r="H36" s="57">
        <f>3.38248944*Deflactores!$E$5</f>
        <v>9.7342025196515376</v>
      </c>
      <c r="I36" s="57">
        <f>5.14*Deflactores!$F$5</f>
        <v>14.107082863107701</v>
      </c>
      <c r="J36" s="57">
        <f>6.7461*Deflactores!$G$5</f>
        <v>17.721571742159977</v>
      </c>
      <c r="K36" s="57">
        <f>7.49030925*Deflactores!$H$5</f>
        <v>18.616454874648802</v>
      </c>
      <c r="L36" s="57">
        <f>10.76*Deflactores!$I$5</f>
        <v>24.836886900827103</v>
      </c>
      <c r="M36" s="57">
        <f>14.74*Deflactores!$J$5</f>
        <v>33.356041239088498</v>
      </c>
      <c r="N36" s="57">
        <f>14*Deflactores!$K$5</f>
        <v>30.707642706219602</v>
      </c>
      <c r="O36" s="57">
        <f>13.211*Deflactores!$L$5</f>
        <v>27.935962330631398</v>
      </c>
      <c r="P36" s="57">
        <f>71.250011*Deflactores!$M$5</f>
        <v>147.07650793598671</v>
      </c>
      <c r="Q36" s="57">
        <f>61.385*Deflactores!$N$5</f>
        <v>124.30139567216041</v>
      </c>
      <c r="R36" s="57">
        <f>56.577563376*Deflactores!$O$5</f>
        <v>110.52150242819901</v>
      </c>
      <c r="S36" s="57">
        <f>71.276696706*Deflactores!$P$5</f>
        <v>130.40698730457467</v>
      </c>
      <c r="T36" s="57">
        <f>85.96004861*Deflactores!$Q$5</f>
        <v>148.72006752172032</v>
      </c>
      <c r="U36" s="57">
        <f>93.722399012*Deflactores!$R$5</f>
        <v>155.77842539866194</v>
      </c>
      <c r="V36" s="57">
        <f>73.952235087*Deflactores!$S$5</f>
        <v>119.12960281930674</v>
      </c>
    </row>
    <row r="37" spans="3:22" x14ac:dyDescent="0.2">
      <c r="C37" s="90" t="s">
        <v>147</v>
      </c>
      <c r="D37" s="58">
        <f>1447.386945133*Deflactores!$A$5</f>
        <v>5389.6535464010813</v>
      </c>
      <c r="E37" s="58">
        <f>1878.171522618*Deflactores!$B$5</f>
        <v>6496.8712057640405</v>
      </c>
      <c r="F37" s="58">
        <f>1736.4691231*Deflactores!$C$5</f>
        <v>5614.1681145878811</v>
      </c>
      <c r="G37" s="58">
        <f>1833.139703345*Deflactores!$D$5</f>
        <v>5565.4403318827344</v>
      </c>
      <c r="H37" s="58">
        <f>2451.944622671*Deflactores!$E$5</f>
        <v>7056.2601738824906</v>
      </c>
      <c r="I37" s="58">
        <f>2548.271981616*Deflactores!$F$5</f>
        <v>6993.9073934615917</v>
      </c>
      <c r="J37" s="58">
        <f>3345.642905583*Deflactores!$G$5</f>
        <v>8788.7891930059868</v>
      </c>
      <c r="K37" s="58">
        <f>3775.648883681*Deflactores!$H$5</f>
        <v>9384.0180317742506</v>
      </c>
      <c r="L37" s="58">
        <f>3034.487273027*Deflactores!$I$5</f>
        <v>7004.3882158151346</v>
      </c>
      <c r="M37" s="58">
        <f>3499.365348679*Deflactores!$J$5</f>
        <v>7918.9263827119412</v>
      </c>
      <c r="N37" s="58">
        <f>4481.148005408*Deflactores!$K$5</f>
        <v>9828.9637045541058</v>
      </c>
      <c r="O37" s="58">
        <f>5644.34926192099*Deflactores!$L$5</f>
        <v>11935.533143740209</v>
      </c>
      <c r="P37" s="58">
        <f>6190.267015363*Deflactores!$M$5</f>
        <v>12778.143371948576</v>
      </c>
      <c r="Q37" s="58">
        <f>7256.385249773*Deflactores!$N$5</f>
        <v>14693.79838855848</v>
      </c>
      <c r="R37" s="58">
        <f>8295.578807902*Deflactores!$O$5</f>
        <v>16205.007403160409</v>
      </c>
      <c r="S37" s="58">
        <f>9081.889242446*Deflactores!$P$5</f>
        <v>16616.115362729935</v>
      </c>
      <c r="T37" s="58">
        <f>9199.696801233*Deflactores!$Q$5</f>
        <v>15916.458303393301</v>
      </c>
      <c r="U37" s="58">
        <f>5358.93136206555*Deflactores!$R$5</f>
        <v>8907.2185326283798</v>
      </c>
      <c r="V37" s="58">
        <f>5334.791304509*Deflactores!$S$5</f>
        <v>8593.8115120170041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35.254356294451028</v>
      </c>
    </row>
    <row r="39" spans="3:22" x14ac:dyDescent="0.2">
      <c r="C39" s="87" t="s">
        <v>149</v>
      </c>
      <c r="D39" s="56">
        <f>100.6515*Deflactores!$A$5</f>
        <v>374.79729643114916</v>
      </c>
      <c r="E39" s="56">
        <f>125.756338*Deflactores!$B$5</f>
        <v>435.0096471251332</v>
      </c>
      <c r="F39" s="56">
        <f>127.9008*Deflactores!$C$5</f>
        <v>413.51532465396463</v>
      </c>
      <c r="G39" s="56">
        <f>63.247656761*Deflactores!$D$5</f>
        <v>192.02085863528859</v>
      </c>
      <c r="H39" s="56">
        <f>115.40689*Deflactores!$E$5</f>
        <v>332.12048680428342</v>
      </c>
      <c r="I39" s="56">
        <f>137.831955166*Deflactores!$F$5</f>
        <v>378.28926317332838</v>
      </c>
      <c r="J39" s="56">
        <f>186.553742786*Deflactores!$G$5</f>
        <v>490.06470946925754</v>
      </c>
      <c r="K39" s="56">
        <f>295.477434559*Deflactores!$H$5</f>
        <v>734.38120421324641</v>
      </c>
      <c r="L39" s="56">
        <f>400.69953025*Deflactores!$I$5</f>
        <v>924.91904405518574</v>
      </c>
      <c r="M39" s="56">
        <f>668.451887867*Deflactores!$J$5</f>
        <v>1512.6803757149396</v>
      </c>
      <c r="N39" s="56">
        <f>683.728224558*Deflactores!$K$5</f>
        <v>1499.6915734203533</v>
      </c>
      <c r="O39" s="56">
        <f>774.971954668*Deflactores!$L$5</f>
        <v>1638.7546236394694</v>
      </c>
      <c r="P39" s="56">
        <f>810.9761*Deflactores!$M$5</f>
        <v>1674.0423072713008</v>
      </c>
      <c r="Q39" s="56">
        <f>1058.2658*Deflactores!$N$5</f>
        <v>2142.9325719982953</v>
      </c>
      <c r="R39" s="56">
        <f>1495.773636772*Deflactores!$O$5</f>
        <v>2921.9206300895376</v>
      </c>
      <c r="S39" s="56">
        <f>1129.096383892*Deflactores!$P$5</f>
        <v>2065.7811683836148</v>
      </c>
      <c r="T39" s="56">
        <f>1085.908561046*Deflactores!$Q$5</f>
        <v>1878.7378221932263</v>
      </c>
      <c r="U39" s="56">
        <f>1141.232949997*Deflactores!$R$5</f>
        <v>1896.872826962529</v>
      </c>
      <c r="V39" s="56">
        <f>1032.978893346*Deflactores!$S$5</f>
        <v>1664.0249634140985</v>
      </c>
    </row>
    <row r="40" spans="3:22" x14ac:dyDescent="0.2">
      <c r="C40" s="88" t="s">
        <v>150</v>
      </c>
      <c r="D40" s="57">
        <f>973.366660676*Deflactores!$A$5</f>
        <v>3624.5380630947434</v>
      </c>
      <c r="E40" s="57">
        <f>1551.97678750917*Deflactores!$B$5</f>
        <v>5368.5156980379143</v>
      </c>
      <c r="F40" s="57">
        <f>1532.716328383*Deflactores!$C$5</f>
        <v>4955.4161516873146</v>
      </c>
      <c r="G40" s="57">
        <f>931.959081608299*Deflactores!$D$5</f>
        <v>2829.4421047030601</v>
      </c>
      <c r="H40" s="57">
        <f>1162.29958471805*Deflactores!$E$5</f>
        <v>3344.8913135860016</v>
      </c>
      <c r="I40" s="57">
        <f>1470.52552681492*Deflactores!$F$5</f>
        <v>4035.9582605239661</v>
      </c>
      <c r="J40" s="57">
        <f>2571.26017094617*Deflactores!$G$5</f>
        <v>6754.53544821172</v>
      </c>
      <c r="K40" s="57">
        <f>2877.95169336699*Deflactores!$H$5</f>
        <v>7152.8766093316754</v>
      </c>
      <c r="L40" s="57">
        <f>2331.5391985972*Deflactores!$I$5</f>
        <v>5381.8006859111265</v>
      </c>
      <c r="M40" s="57">
        <f>3527.298025209*Deflactores!$J$5</f>
        <v>7982.1369329326208</v>
      </c>
      <c r="N40" s="57">
        <f>3788.43723104*Deflactores!$K$5</f>
        <v>8309.5697789797305</v>
      </c>
      <c r="O40" s="57">
        <f>4969.876251701*Deflactores!$L$5</f>
        <v>10509.293449051449</v>
      </c>
      <c r="P40" s="57">
        <f>7689.20313424199*Deflactores!$M$5</f>
        <v>15872.294332624819</v>
      </c>
      <c r="Q40" s="57">
        <f>7952.77085005908*Deflactores!$N$5</f>
        <v>16103.942593845681</v>
      </c>
      <c r="R40" s="57">
        <f>7049.63773995*Deflactores!$O$5</f>
        <v>13771.122475103166</v>
      </c>
      <c r="S40" s="57">
        <f>6628.458294855*Deflactores!$P$5</f>
        <v>12127.347599615887</v>
      </c>
      <c r="T40" s="57">
        <f>5241.791093428*Deflactores!$Q$5</f>
        <v>9068.8585913465358</v>
      </c>
      <c r="U40" s="57">
        <f>5644.282510907*Deflactores!$R$5</f>
        <v>9381.5080634216411</v>
      </c>
      <c r="V40" s="57">
        <f>4500.214237543*Deflactores!$S$5</f>
        <v>7249.3919093802888</v>
      </c>
    </row>
    <row r="41" spans="3:22" x14ac:dyDescent="0.2">
      <c r="C41" s="87" t="s">
        <v>151</v>
      </c>
      <c r="D41" s="56">
        <f>152.66996*Deflactores!$A$5</f>
        <v>568.49911083542406</v>
      </c>
      <c r="E41" s="56">
        <f>189.62705156*Deflactores!$B$5</f>
        <v>655.9478281285119</v>
      </c>
      <c r="F41" s="56">
        <f>160.544*Deflactores!$C$5</f>
        <v>519.05386269082055</v>
      </c>
      <c r="G41" s="56">
        <f>195.059687178*Deflactores!$D$5</f>
        <v>592.20421016682337</v>
      </c>
      <c r="H41" s="56">
        <f>233.0216262*Deflactores!$E$5</f>
        <v>670.59476197192168</v>
      </c>
      <c r="I41" s="56">
        <f>256.525*Deflactores!$F$5</f>
        <v>704.05047304644029</v>
      </c>
      <c r="J41" s="56">
        <f>217.4*Deflactores!$G$5</f>
        <v>571.09584748900534</v>
      </c>
      <c r="K41" s="56">
        <f>369.5*Deflactores!$H$5</f>
        <v>918.35728627395895</v>
      </c>
      <c r="L41" s="56">
        <f>433.30015*Deflactores!$I$5</f>
        <v>1000.1697787789423</v>
      </c>
      <c r="M41" s="56">
        <f>714.228*Deflactores!$J$5</f>
        <v>1616.269920088989</v>
      </c>
      <c r="N41" s="56">
        <f>623.1806148*Deflactores!$K$5</f>
        <v>1366.8862614800476</v>
      </c>
      <c r="O41" s="56">
        <f>817.044239073*Deflactores!$L$5</f>
        <v>1727.720618060913</v>
      </c>
      <c r="P41" s="56">
        <f>1715.897983146*Deflactores!$M$5</f>
        <v>3542.0104473459837</v>
      </c>
      <c r="Q41" s="56">
        <f>2129.81033*Deflactores!$N$5</f>
        <v>4312.7538736822435</v>
      </c>
      <c r="R41" s="56">
        <f>2196.074667687*Deflactores!$O$5</f>
        <v>4289.9244370823026</v>
      </c>
      <c r="S41" s="56">
        <f>2285.997895576*Deflactores!$P$5</f>
        <v>4182.4342642631091</v>
      </c>
      <c r="T41" s="56">
        <f>1493.759169527*Deflactores!$Q$5</f>
        <v>2584.3629470377091</v>
      </c>
      <c r="U41" s="56">
        <f>1900.775902648*Deflactores!$R$5</f>
        <v>3159.328829304869</v>
      </c>
      <c r="V41" s="56">
        <f>1839.399503537*Deflactores!$S$5</f>
        <v>2963.0873498901583</v>
      </c>
    </row>
    <row r="42" spans="3:22" ht="10.5" customHeight="1" x14ac:dyDescent="0.2">
      <c r="C42" s="79" t="s">
        <v>202</v>
      </c>
      <c r="D42" s="44">
        <f t="shared" ref="D42:V42" si="0">+SUM(D13:D41)</f>
        <v>28377.794028031476</v>
      </c>
      <c r="E42" s="44">
        <f t="shared" si="0"/>
        <v>39663.981972526599</v>
      </c>
      <c r="F42" s="44">
        <f t="shared" si="0"/>
        <v>34376.392333457065</v>
      </c>
      <c r="G42" s="44">
        <f t="shared" si="0"/>
        <v>27211.364608027725</v>
      </c>
      <c r="H42" s="44">
        <f t="shared" si="0"/>
        <v>32161.31435425788</v>
      </c>
      <c r="I42" s="44">
        <f t="shared" si="0"/>
        <v>34577.314334637907</v>
      </c>
      <c r="J42" s="44">
        <f t="shared" si="0"/>
        <v>39356.258602741276</v>
      </c>
      <c r="K42" s="44">
        <f t="shared" si="0"/>
        <v>52174.173626052398</v>
      </c>
      <c r="L42" s="44">
        <f t="shared" si="0"/>
        <v>50989.82573469686</v>
      </c>
      <c r="M42" s="44">
        <f t="shared" si="0"/>
        <v>70581.59499800716</v>
      </c>
      <c r="N42" s="44">
        <f t="shared" si="0"/>
        <v>56336.704299607489</v>
      </c>
      <c r="O42" s="44">
        <f t="shared" si="0"/>
        <v>69487.24295237934</v>
      </c>
      <c r="P42" s="44">
        <f t="shared" si="0"/>
        <v>78606.624979491273</v>
      </c>
      <c r="Q42" s="44">
        <f t="shared" si="0"/>
        <v>88379.997726966234</v>
      </c>
      <c r="R42" s="44">
        <f t="shared" si="0"/>
        <v>86898.855489989859</v>
      </c>
      <c r="S42" s="44">
        <f t="shared" si="0"/>
        <v>84323.293279730962</v>
      </c>
      <c r="T42" s="44">
        <f t="shared" si="0"/>
        <v>71178.415066911315</v>
      </c>
      <c r="U42" s="44">
        <f t="shared" si="0"/>
        <v>67180.664233558098</v>
      </c>
      <c r="V42" s="44">
        <f t="shared" si="0"/>
        <v>62215.671457856537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55" t="s">
        <v>203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5.75" customHeight="1" x14ac:dyDescent="0.2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3:22" x14ac:dyDescent="0.2">
      <c r="C50" s="176" t="s">
        <v>120</v>
      </c>
      <c r="D50" s="153">
        <v>2000</v>
      </c>
      <c r="E50" s="153">
        <v>2001</v>
      </c>
      <c r="F50" s="153">
        <v>2002</v>
      </c>
      <c r="G50" s="153">
        <v>2003</v>
      </c>
      <c r="H50" s="153">
        <v>2004</v>
      </c>
      <c r="I50" s="153">
        <v>2005</v>
      </c>
      <c r="J50" s="153">
        <v>2006</v>
      </c>
      <c r="K50" s="153">
        <v>2007</v>
      </c>
      <c r="L50" s="153">
        <v>2008</v>
      </c>
      <c r="M50" s="153">
        <v>2009</v>
      </c>
      <c r="N50" s="153">
        <v>2010</v>
      </c>
      <c r="O50" s="153">
        <v>2011</v>
      </c>
      <c r="P50" s="153">
        <v>2012</v>
      </c>
      <c r="Q50" s="153">
        <v>2013</v>
      </c>
      <c r="R50" s="153">
        <v>2014</v>
      </c>
      <c r="S50" s="153">
        <v>2015</v>
      </c>
      <c r="T50" s="153">
        <v>2016</v>
      </c>
      <c r="U50" s="153">
        <v>2017</v>
      </c>
      <c r="V50" s="153">
        <v>2018</v>
      </c>
    </row>
    <row r="51" spans="3:22" ht="12" customHeight="1" thickBot="1" x14ac:dyDescent="0.25">
      <c r="C51" s="160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</row>
    <row r="52" spans="3:22" x14ac:dyDescent="0.2">
      <c r="C52" s="87" t="s">
        <v>123</v>
      </c>
      <c r="D52" s="56">
        <f>214.916485361*Deflactores!$A$5</f>
        <v>800.28730492627983</v>
      </c>
      <c r="E52" s="56">
        <f>470.48946128719*Deflactores!$B$5</f>
        <v>1627.4921629050184</v>
      </c>
      <c r="F52" s="56">
        <f>442.18301064202*Deflactores!$C$5</f>
        <v>1429.6192924680877</v>
      </c>
      <c r="G52" s="56">
        <f>251.86112978995*Deflactores!$D$5</f>
        <v>764.65426350690632</v>
      </c>
      <c r="H52" s="56">
        <f>367.79932660967*Deflactores!$E$5</f>
        <v>1058.4609930992094</v>
      </c>
      <c r="I52" s="56">
        <f>389.064414793*Deflactores!$F$5</f>
        <v>1067.8139958310035</v>
      </c>
      <c r="J52" s="56">
        <f>614.70762080037*Deflactores!$G$5</f>
        <v>1614.7974685323711</v>
      </c>
      <c r="K52" s="56">
        <f>975.352549002*Deflactores!$H$5</f>
        <v>2424.1464683677004</v>
      </c>
      <c r="L52" s="56">
        <f>1136.04066115542*Deflactores!$I$5</f>
        <v>2622.2781984998151</v>
      </c>
      <c r="M52" s="56">
        <f>1185.52357774936*Deflactores!$J$5</f>
        <v>2682.7933072808269</v>
      </c>
      <c r="N52" s="56">
        <f>1168.05315100998*Deflactores!$K$5</f>
        <v>2562.0113445063166</v>
      </c>
      <c r="O52" s="56">
        <f>1398.54781348799*Deflactores!$L$5</f>
        <v>2957.3672723629847</v>
      </c>
      <c r="P52" s="56">
        <f>1714.08309143411*Deflactores!$M$5</f>
        <v>3538.2640909381689</v>
      </c>
      <c r="Q52" s="56">
        <f>2186.01798174936*Deflactores!$N$5</f>
        <v>4426.5714115155934</v>
      </c>
      <c r="R52" s="56">
        <f>2902.38638100534*Deflactores!$O$5</f>
        <v>5669.6698181230886</v>
      </c>
      <c r="S52" s="56">
        <f>3159.19261965558*Deflactores!$P$5</f>
        <v>5780.0208326636885</v>
      </c>
      <c r="T52" s="56">
        <f>1924.08739290242*Deflactores!$Q$5</f>
        <v>3328.8767470153571</v>
      </c>
      <c r="U52" s="56">
        <f>2175.73550093006*Deflactores!$R$5</f>
        <v>3616.3462949284681</v>
      </c>
      <c r="V52" s="56">
        <f>1564.10024330796*Deflactores!$S$5</f>
        <v>2519.6079677058092</v>
      </c>
    </row>
    <row r="53" spans="3:22" x14ac:dyDescent="0.2">
      <c r="C53" s="88" t="s">
        <v>124</v>
      </c>
      <c r="D53" s="57">
        <f>30.20790489137*Deflactores!$A$5</f>
        <v>112.48556736993251</v>
      </c>
      <c r="E53" s="57">
        <f>57.7537209321*Deflactores!$B$5</f>
        <v>199.77860489891364</v>
      </c>
      <c r="F53" s="57">
        <f>59.80952510832*Deflactores!$C$5</f>
        <v>193.36982405556802</v>
      </c>
      <c r="G53" s="57">
        <f>99.63418708661*Deflactores!$D$5</f>
        <v>302.49092430562547</v>
      </c>
      <c r="H53" s="57">
        <f>226.37084455094*Deflactores!$E$5</f>
        <v>651.45499623596959</v>
      </c>
      <c r="I53" s="57">
        <f>192.2428602745*Deflactores!$F$5</f>
        <v>527.62372757455398</v>
      </c>
      <c r="J53" s="57">
        <f>312.51593110653*Deflactores!$G$5</f>
        <v>820.95929406209461</v>
      </c>
      <c r="K53" s="57">
        <f>390.11321828991*Deflactores!$H$5</f>
        <v>969.58948981954609</v>
      </c>
      <c r="L53" s="57">
        <f>402.105135255939*Deflactores!$I$5</f>
        <v>928.16354708118422</v>
      </c>
      <c r="M53" s="57">
        <f>433.732182407559*Deflactores!$J$5</f>
        <v>981.51889844683797</v>
      </c>
      <c r="N53" s="57">
        <f>466.73395820826*Deflactores!$K$5</f>
        <v>1023.7356876799199</v>
      </c>
      <c r="O53" s="57">
        <f>287.9975580368*Deflactores!$L$5</f>
        <v>608.99923795548216</v>
      </c>
      <c r="P53" s="57">
        <f>161.15974621116*Deflactores!$M$5</f>
        <v>332.67100397482437</v>
      </c>
      <c r="Q53" s="57">
        <f>258.407755743839*Deflactores!$N$5</f>
        <v>523.26211112600663</v>
      </c>
      <c r="R53" s="57">
        <f>287.264240754061*Deflactores!$O$5</f>
        <v>561.15664209573333</v>
      </c>
      <c r="S53" s="57">
        <f>285.131900857659*Deflactores!$P$5</f>
        <v>521.673897552325</v>
      </c>
      <c r="T53" s="57">
        <f>385.8521037678*Deflactores!$Q$5</f>
        <v>667.56536150992122</v>
      </c>
      <c r="U53" s="57">
        <f>412.313994244449*Deflactores!$R$5</f>
        <v>685.31776256612272</v>
      </c>
      <c r="V53" s="57">
        <f>375.16943901932*Deflactores!$S$5</f>
        <v>604.36018205175776</v>
      </c>
    </row>
    <row r="54" spans="3:22" x14ac:dyDescent="0.2">
      <c r="C54" s="87" t="s">
        <v>125</v>
      </c>
      <c r="D54" s="56">
        <f>29.2949291336*Deflactores!$A$5</f>
        <v>109.08590769551758</v>
      </c>
      <c r="E54" s="56">
        <f>69.83556488163*Deflactores!$B$5</f>
        <v>241.5714779794416</v>
      </c>
      <c r="F54" s="56">
        <f>75.63082960837*Deflactores!$C$5</f>
        <v>244.52159063394282</v>
      </c>
      <c r="G54" s="56">
        <f>67.0419056365299*Deflactores!$D$5</f>
        <v>203.54025657454136</v>
      </c>
      <c r="H54" s="56">
        <f>87.36896118517*Deflactores!$E$5</f>
        <v>251.43231847252099</v>
      </c>
      <c r="I54" s="56">
        <f>92.48581853341*Deflactores!$F$5</f>
        <v>253.83367815431069</v>
      </c>
      <c r="J54" s="56">
        <f>122.795267795649*Deflactores!$G$5</f>
        <v>322.57528762371453</v>
      </c>
      <c r="K54" s="56">
        <f>126.29752620854*Deflactores!$H$5</f>
        <v>313.90055056018679</v>
      </c>
      <c r="L54" s="56">
        <f>188.361195820399*Deflactores!$I$5</f>
        <v>434.7867766817655</v>
      </c>
      <c r="M54" s="56">
        <f>181.668814084549*Deflactores!$J$5</f>
        <v>411.10939311129704</v>
      </c>
      <c r="N54" s="56">
        <f>326.17376122012*Deflactores!$K$5</f>
        <v>715.43052283508803</v>
      </c>
      <c r="O54" s="56">
        <f>357.63197116238*Deflactores!$L$5</f>
        <v>756.24807165405366</v>
      </c>
      <c r="P54" s="56">
        <f>395.318574008219*Deflactores!$M$5</f>
        <v>816.02900226026316</v>
      </c>
      <c r="Q54" s="56">
        <f>408.031867973449*Deflactores!$N$5</f>
        <v>826.24306700038119</v>
      </c>
      <c r="R54" s="56">
        <f>352.21857460752*Deflactores!$O$5</f>
        <v>688.04175588188764</v>
      </c>
      <c r="S54" s="56">
        <f>331.86681327818*Deflactores!$P$5</f>
        <v>607.1795314040445</v>
      </c>
      <c r="T54" s="56">
        <f>284.3579347929*Deflactores!$Q$5</f>
        <v>491.96960619002414</v>
      </c>
      <c r="U54" s="56">
        <f>356.684413090219*Deflactores!$R$5</f>
        <v>592.85439576003535</v>
      </c>
      <c r="V54" s="56">
        <f>308.16254996055*Deflactores!$S$5</f>
        <v>496.4188322015778</v>
      </c>
    </row>
    <row r="55" spans="3:22" x14ac:dyDescent="0.2">
      <c r="C55" s="88" t="s">
        <v>126</v>
      </c>
      <c r="D55" s="57">
        <f>54.2009233080999*Deflactores!$A$5</f>
        <v>201.82868134054536</v>
      </c>
      <c r="E55" s="57">
        <f>123.809916146*Deflactores!$B$5</f>
        <v>428.2766879969405</v>
      </c>
      <c r="F55" s="57">
        <f>102.86878637121*Deflactores!$C$5</f>
        <v>332.58446853381867</v>
      </c>
      <c r="G55" s="57">
        <f>51.1403554051599*Deflactores!$D$5</f>
        <v>155.26290551633335</v>
      </c>
      <c r="H55" s="57">
        <f>40.10347793016*Deflactores!$E$5</f>
        <v>115.41067099814902</v>
      </c>
      <c r="I55" s="57">
        <f>44.16689580378*Deflactores!$F$5</f>
        <v>121.21907760898216</v>
      </c>
      <c r="J55" s="57">
        <f>53.62997092304*Deflactores!$G$5</f>
        <v>140.88249169781162</v>
      </c>
      <c r="K55" s="57">
        <f>84.7727049390199*Deflactores!$H$5</f>
        <v>210.69453655724317</v>
      </c>
      <c r="L55" s="57">
        <f>71.3828369292*Deflactores!$I$5</f>
        <v>164.77020887274392</v>
      </c>
      <c r="M55" s="57">
        <f>163.47028442891*Deflactores!$J$5</f>
        <v>369.92683505944694</v>
      </c>
      <c r="N55" s="57">
        <f>205.91690849881*Deflactores!$K$5</f>
        <v>451.6587752393408</v>
      </c>
      <c r="O55" s="57">
        <f>204.20336010549*Deflactores!$L$5</f>
        <v>431.80814288814827</v>
      </c>
      <c r="P55" s="57">
        <f>281.528403406*Deflactores!$M$5</f>
        <v>581.13976231874869</v>
      </c>
      <c r="Q55" s="57">
        <f>360.579784573609*Deflactores!$N$5</f>
        <v>730.15509446390058</v>
      </c>
      <c r="R55" s="57">
        <f>275.26981911362*Deflactores!$O$5</f>
        <v>537.72612615695073</v>
      </c>
      <c r="S55" s="57">
        <f>300.33940332055*Deflactores!$P$5</f>
        <v>549.49736121244121</v>
      </c>
      <c r="T55" s="57">
        <f>285.230373642329*Deflactores!$Q$5</f>
        <v>493.4790186053699</v>
      </c>
      <c r="U55" s="57">
        <f>353.72842128932*Deflactores!$R$5</f>
        <v>587.94116527202323</v>
      </c>
      <c r="V55" s="57">
        <f>247.16706518287*Deflactores!$S$5</f>
        <v>398.16124922538137</v>
      </c>
    </row>
    <row r="56" spans="3:22" x14ac:dyDescent="0.2">
      <c r="C56" s="87" t="s">
        <v>127</v>
      </c>
      <c r="D56" s="56">
        <f>0*Deflactores!$A$5</f>
        <v>0</v>
      </c>
      <c r="E56" s="56">
        <f>21*Deflactores!$B$5</f>
        <v>72.642084962968596</v>
      </c>
      <c r="F56" s="56">
        <f>0*Deflactores!$C$5</f>
        <v>0</v>
      </c>
      <c r="G56" s="56">
        <f>14.9744652*Deflactores!$D$5</f>
        <v>45.462706644988209</v>
      </c>
      <c r="H56" s="56">
        <f>0*Deflactores!$E$5</f>
        <v>0</v>
      </c>
      <c r="I56" s="56">
        <f>8.18164595*Deflactores!$F$5</f>
        <v>22.455088983124423</v>
      </c>
      <c r="J56" s="56">
        <f>42.151147558*Deflactores!$G$5</f>
        <v>110.7283594170659</v>
      </c>
      <c r="K56" s="56">
        <f>13.883329842*Deflactores!$H$5</f>
        <v>34.505702620149911</v>
      </c>
      <c r="L56" s="56">
        <f>17.657005947*Deflactores!$I$5</f>
        <v>40.756975809746329</v>
      </c>
      <c r="M56" s="56">
        <f>10.95474626127*Deflactores!$J$5</f>
        <v>24.790160654998143</v>
      </c>
      <c r="N56" s="56">
        <f>32.43583129201*Deflactores!$K$5</f>
        <v>71.14485129959003</v>
      </c>
      <c r="O56" s="56">
        <f>25.051149962*Deflactores!$L$5</f>
        <v>52.97312706664372</v>
      </c>
      <c r="P56" s="56">
        <f>9.35651947946*Deflactores!$M$5</f>
        <v>19.314021038874127</v>
      </c>
      <c r="Q56" s="56">
        <f>38.45019782851*Deflactores!$N$5</f>
        <v>77.859627823645269</v>
      </c>
      <c r="R56" s="56">
        <f>53.28708509442*Deflactores!$O$5</f>
        <v>104.09371406674676</v>
      </c>
      <c r="S56" s="56">
        <f>53.7211401660599*Deflactores!$P$5</f>
        <v>98.287552136698906</v>
      </c>
      <c r="T56" s="56">
        <f>65.56133830154*Deflactores!$Q$5</f>
        <v>113.42811941924725</v>
      </c>
      <c r="U56" s="56">
        <f>67.6016049140899*Deflactores!$R$5</f>
        <v>112.3623773927407</v>
      </c>
      <c r="V56" s="56">
        <f>70.94132724622*Deflactores!$S$5</f>
        <v>114.27933352351486</v>
      </c>
    </row>
    <row r="57" spans="3:22" x14ac:dyDescent="0.2">
      <c r="C57" s="88" t="s">
        <v>128</v>
      </c>
      <c r="D57" s="57">
        <f>11.64802543304*Deflactores!$A$5</f>
        <v>43.373903429801423</v>
      </c>
      <c r="E57" s="57">
        <f>25.01538870609*Deflactores!$B$5</f>
        <v>86.531904369974995</v>
      </c>
      <c r="F57" s="57">
        <f>12.14302123326*Deflactores!$C$5</f>
        <v>39.259530570187948</v>
      </c>
      <c r="G57" s="57">
        <f>12.56026348702*Deflactores!$D$5</f>
        <v>38.133153115488021</v>
      </c>
      <c r="H57" s="57">
        <f>36.6523528755*Deflactores!$E$5</f>
        <v>105.47894739675799</v>
      </c>
      <c r="I57" s="57">
        <f>33.8504966395*Deflactores!$F$5</f>
        <v>92.905011877582751</v>
      </c>
      <c r="J57" s="57">
        <f>50.56017309268*Deflactores!$G$5</f>
        <v>132.81832981395993</v>
      </c>
      <c r="K57" s="57">
        <f>53.61227157141*Deflactores!$H$5</f>
        <v>133.24822796022355</v>
      </c>
      <c r="L57" s="57">
        <f>74.34736667*Deflactores!$I$5</f>
        <v>171.61311685475025</v>
      </c>
      <c r="M57" s="57">
        <f>83.00006226682*Deflactores!$J$5</f>
        <v>187.82588194158487</v>
      </c>
      <c r="N57" s="57">
        <f>101.64234946874*Deflactores!$K$5</f>
        <v>222.94263937905552</v>
      </c>
      <c r="O57" s="57">
        <f>114.06878233385*Deflactores!$L$5</f>
        <v>241.20968937850472</v>
      </c>
      <c r="P57" s="57">
        <f>192.290812930909*Deflactores!$M$5</f>
        <v>396.93272853038826</v>
      </c>
      <c r="Q57" s="57">
        <f>196.808783203239*Deflactores!$N$5</f>
        <v>398.52743231574891</v>
      </c>
      <c r="R57" s="57">
        <f>191.138843124169*Deflactores!$O$5</f>
        <v>373.38038002944688</v>
      </c>
      <c r="S57" s="57">
        <f>219.66975237996*Deflactores!$P$5</f>
        <v>401.90513777557084</v>
      </c>
      <c r="T57" s="57">
        <f>170.170357959149*Deflactores!$Q$5</f>
        <v>294.4128991911229</v>
      </c>
      <c r="U57" s="57">
        <f>186.035756852429*Deflactores!$R$5</f>
        <v>309.21484699307734</v>
      </c>
      <c r="V57" s="57">
        <f>141.975487503915*Deflactores!$S$5</f>
        <v>228.7082116790821</v>
      </c>
    </row>
    <row r="58" spans="3:22" x14ac:dyDescent="0.2">
      <c r="C58" s="87" t="s">
        <v>129</v>
      </c>
      <c r="D58" s="56">
        <f>446.73464804055*Deflactores!$A$5</f>
        <v>1663.5116049708063</v>
      </c>
      <c r="E58" s="56">
        <f>852.736273289999*Deflactores!$B$5</f>
        <v>2949.7400388255865</v>
      </c>
      <c r="F58" s="56">
        <f>858.00580847238*Deflactores!$C$5</f>
        <v>2774.0135358453081</v>
      </c>
      <c r="G58" s="56">
        <f>915.95435434959*Deflactores!$D$5</f>
        <v>2780.8515066030532</v>
      </c>
      <c r="H58" s="56">
        <f>857.791924208219*Deflactores!$E$5</f>
        <v>2468.5724695017484</v>
      </c>
      <c r="I58" s="56">
        <f>781.61833093061*Deflactores!$F$5</f>
        <v>2145.2051676579872</v>
      </c>
      <c r="J58" s="56">
        <f>1137.93284047188*Deflactores!$G$5</f>
        <v>2989.2765405467312</v>
      </c>
      <c r="K58" s="56">
        <f>1119.4675624952*Deflactores!$H$5</f>
        <v>2782.3306976043718</v>
      </c>
      <c r="L58" s="56">
        <f>3391.25155025666*Deflactores!$I$5</f>
        <v>7827.893234756435</v>
      </c>
      <c r="M58" s="56">
        <f>2909.69021495935*Deflactores!$J$5</f>
        <v>6584.5147084909331</v>
      </c>
      <c r="N58" s="56">
        <f>1946.41810718806*Deflactores!$K$5</f>
        <v>4269.2794137462279</v>
      </c>
      <c r="O58" s="56">
        <f>1452.04437705082*Deflactores!$L$5</f>
        <v>3070.4910316930468</v>
      </c>
      <c r="P58" s="56">
        <f>1901.81554943775*Deflactores!$M$5</f>
        <v>3925.7873202246128</v>
      </c>
      <c r="Q58" s="56">
        <f>2880.7423177759*Deflactores!$N$5</f>
        <v>5833.3516440726335</v>
      </c>
      <c r="R58" s="56">
        <f>2366.03998996071*Deflactores!$O$5</f>
        <v>4621.9433798837872</v>
      </c>
      <c r="S58" s="56">
        <f>1453.37730839747*Deflactores!$P$5</f>
        <v>2659.081648897336</v>
      </c>
      <c r="T58" s="56">
        <f>1027.70014064285*Deflactores!$Q$5</f>
        <v>1778.0310362773089</v>
      </c>
      <c r="U58" s="56">
        <f>995.569019686619*Deflactores!$R$5</f>
        <v>1654.7610378882196</v>
      </c>
      <c r="V58" s="56">
        <f>829.48015297729*Deflactores!$S$5</f>
        <v>1336.2089875232596</v>
      </c>
    </row>
    <row r="59" spans="3:22" x14ac:dyDescent="0.2">
      <c r="C59" s="88" t="s">
        <v>130</v>
      </c>
      <c r="D59" s="57">
        <f>27.695599534*Deflactores!$A$5</f>
        <v>103.13046331533056</v>
      </c>
      <c r="E59" s="57">
        <f>71.02666293302*Deflactores!$B$5</f>
        <v>245.69166111507485</v>
      </c>
      <c r="F59" s="57">
        <f>27.37575363508*Deflactores!$C$5</f>
        <v>88.508388157517828</v>
      </c>
      <c r="G59" s="57">
        <f>31.40984834374*Deflactores!$D$5</f>
        <v>95.360782635163517</v>
      </c>
      <c r="H59" s="57">
        <f>80.50103357766*Deflactores!$E$5</f>
        <v>231.66764532048649</v>
      </c>
      <c r="I59" s="57">
        <f>63.57544978789*Deflactores!$F$5</f>
        <v>174.48718642356172</v>
      </c>
      <c r="J59" s="57">
        <f>91.36100460549*Deflactores!$G$5</f>
        <v>239.99949564222277</v>
      </c>
      <c r="K59" s="57">
        <f>74.01905923561*Deflactores!$H$5</f>
        <v>183.96736771898841</v>
      </c>
      <c r="L59" s="57">
        <f>143.34484894837*Deflactores!$I$5</f>
        <v>330.87730493929462</v>
      </c>
      <c r="M59" s="57">
        <f>126.049396644819*Deflactores!$J$5</f>
        <v>285.24483532203567</v>
      </c>
      <c r="N59" s="57">
        <f>126.14423089435*Deflactores!$K$5</f>
        <v>276.68514083961202</v>
      </c>
      <c r="O59" s="57">
        <f>162.38965214942*Deflactores!$L$5</f>
        <v>343.38893386802914</v>
      </c>
      <c r="P59" s="57">
        <f>293.25471935746*Deflactores!$M$5</f>
        <v>605.34559157953004</v>
      </c>
      <c r="Q59" s="57">
        <f>346.04840091425*Deflactores!$N$5</f>
        <v>700.72980701735912</v>
      </c>
      <c r="R59" s="57">
        <f>312.98886697327*Deflactores!$O$5</f>
        <v>611.40844103334643</v>
      </c>
      <c r="S59" s="57">
        <f>400.464941900219*Deflactores!$P$5</f>
        <v>732.68584274771786</v>
      </c>
      <c r="T59" s="57">
        <f>341.40097011582*Deflactores!$Q$5</f>
        <v>590.66015141479306</v>
      </c>
      <c r="U59" s="57">
        <f>527.29201561002*Deflactores!$R$5</f>
        <v>876.42570807965001</v>
      </c>
      <c r="V59" s="57">
        <f>527.58570957124*Deflactores!$S$5</f>
        <v>849.88744370503116</v>
      </c>
    </row>
    <row r="60" spans="3:22" x14ac:dyDescent="0.2">
      <c r="C60" s="87" t="s">
        <v>131</v>
      </c>
      <c r="D60" s="56">
        <f>188.281025497659*Deflactores!$A$5</f>
        <v>701.10449745713527</v>
      </c>
      <c r="E60" s="56">
        <f>208.879196932819*Deflactores!$B$5</f>
        <v>722.54382717097565</v>
      </c>
      <c r="F60" s="56">
        <f>254.15859237288*Deflactores!$C$5</f>
        <v>821.71865100660921</v>
      </c>
      <c r="G60" s="56">
        <f>255.72278220264*Deflactores!$D$5</f>
        <v>776.37829962160083</v>
      </c>
      <c r="H60" s="56">
        <f>403.07763645074*Deflactores!$E$5</f>
        <v>1159.9856892247917</v>
      </c>
      <c r="I60" s="56">
        <f>619.45863727233*Deflactores!$F$5</f>
        <v>1700.1467560833728</v>
      </c>
      <c r="J60" s="56">
        <f>543.73534616055*Deflactores!$G$5</f>
        <v>1428.357857982001</v>
      </c>
      <c r="K60" s="56">
        <f>634.68928690887*Deflactores!$H$5</f>
        <v>1577.4601655014453</v>
      </c>
      <c r="L60" s="56">
        <f>810.14960172542*Deflactores!$I$5</f>
        <v>1870.0366199632322</v>
      </c>
      <c r="M60" s="56">
        <f>927.14696521451*Deflactores!$J$5</f>
        <v>2098.0971781812041</v>
      </c>
      <c r="N60" s="56">
        <f>963.08877164071*Deflactores!$K$5</f>
        <v>2112.4418495653458</v>
      </c>
      <c r="O60" s="56">
        <f>928.403228228149*Deflactores!$L$5</f>
        <v>1963.2001825310845</v>
      </c>
      <c r="P60" s="56">
        <f>1093.57790776511*Deflactores!$M$5</f>
        <v>2257.397824542581</v>
      </c>
      <c r="Q60" s="56">
        <f>1488.03498834577*Deflactores!$N$5</f>
        <v>3013.1925692007194</v>
      </c>
      <c r="R60" s="56">
        <f>1896.5876096955*Deflactores!$O$5</f>
        <v>3704.8911194215684</v>
      </c>
      <c r="S60" s="56">
        <f>2457.07331886723*Deflactores!$P$5</f>
        <v>4495.4318018073282</v>
      </c>
      <c r="T60" s="56">
        <f>2578.99472887892*Deflactores!$Q$5</f>
        <v>4461.9364044009444</v>
      </c>
      <c r="U60" s="56">
        <f>3250.78497499263*Deflactores!$R$5</f>
        <v>5403.213853383565</v>
      </c>
      <c r="V60" s="56">
        <f>3423.663151835*Deflactores!$S$5</f>
        <v>5515.1765323303489</v>
      </c>
    </row>
    <row r="61" spans="3:22" x14ac:dyDescent="0.2">
      <c r="C61" s="88" t="s">
        <v>132</v>
      </c>
      <c r="D61" s="57">
        <f>10.7303846523199*Deflactores!$A$5</f>
        <v>39.956872548901856</v>
      </c>
      <c r="E61" s="57">
        <f>14.35896077104*Deflactores!$B$5</f>
        <v>49.669754681420038</v>
      </c>
      <c r="F61" s="57">
        <f>13.98099950814*Deflactores!$C$5</f>
        <v>45.201887326705005</v>
      </c>
      <c r="G61" s="57">
        <f>4.93750024997*Deflactores!$D$5</f>
        <v>14.99032669453478</v>
      </c>
      <c r="H61" s="57">
        <f>11.2344487243099*Deflactores!$E$5</f>
        <v>32.330743678263616</v>
      </c>
      <c r="I61" s="57">
        <f>14.94763867505*Deflactores!$F$5</f>
        <v>41.024820505199173</v>
      </c>
      <c r="J61" s="57">
        <f>17.84881921796*Deflactores!$G$5</f>
        <v>46.887702566508331</v>
      </c>
      <c r="K61" s="57">
        <f>19.15116623527*Deflactores!$H$5</f>
        <v>47.598411509618479</v>
      </c>
      <c r="L61" s="57">
        <f>28.03036688397*Deflactores!$I$5</f>
        <v>64.701398892737203</v>
      </c>
      <c r="M61" s="57">
        <f>60.8029063789099*Deflactores!$J$5</f>
        <v>137.59458973075684</v>
      </c>
      <c r="N61" s="57">
        <f>65.4681165864699*Deflactores!$K$5</f>
        <v>143.59796662760337</v>
      </c>
      <c r="O61" s="57">
        <f>69.64999547685*Deflactores!$L$5</f>
        <v>147.2817841170183</v>
      </c>
      <c r="P61" s="57">
        <f>85.3049207967399*Deflactores!$M$5</f>
        <v>176.0890936640057</v>
      </c>
      <c r="Q61" s="57">
        <f>105.46697066891*Deflactores!$N$5</f>
        <v>213.56506722261656</v>
      </c>
      <c r="R61" s="57">
        <f>110.284843581769*Deflactores!$O$5</f>
        <v>215.43604709011728</v>
      </c>
      <c r="S61" s="57">
        <f>137.7943970238*Deflactores!$P$5</f>
        <v>252.10697203664839</v>
      </c>
      <c r="T61" s="57">
        <f>204.5577760578*Deflactores!$Q$5</f>
        <v>353.90680623544802</v>
      </c>
      <c r="U61" s="57">
        <f>275.92053414322*Deflactores!$R$5</f>
        <v>458.61466199222207</v>
      </c>
      <c r="V61" s="57">
        <f>353.62663801287*Deflactores!$S$5</f>
        <v>569.65689925720039</v>
      </c>
    </row>
    <row r="62" spans="3:22" x14ac:dyDescent="0.2">
      <c r="C62" s="87" t="s">
        <v>133</v>
      </c>
      <c r="D62" s="56">
        <f>19.1010561143*Deflactores!$A$5</f>
        <v>71.126850475346231</v>
      </c>
      <c r="E62" s="56">
        <f>31.40879010143*Deflactores!$B$5</f>
        <v>108.64761900629168</v>
      </c>
      <c r="F62" s="56">
        <f>18.17713100576*Deflactores!$C$5</f>
        <v>58.768375405974723</v>
      </c>
      <c r="G62" s="56">
        <f>28.331641808*Deflactores!$D$5</f>
        <v>86.015300251790464</v>
      </c>
      <c r="H62" s="56">
        <f>39.42447355168*Deflactores!$E$5</f>
        <v>113.4566172607767</v>
      </c>
      <c r="I62" s="56">
        <f>46.73672090311*Deflactores!$F$5</f>
        <v>128.27213901364019</v>
      </c>
      <c r="J62" s="56">
        <f>55.2477782746*Deflactores!$G$5</f>
        <v>145.13236778112855</v>
      </c>
      <c r="K62" s="56">
        <f>71.2655073672*Deflactores!$H$5</f>
        <v>177.1236751033251</v>
      </c>
      <c r="L62" s="56">
        <f>80.74224770572*Deflactores!$I$5</f>
        <v>186.374170481927</v>
      </c>
      <c r="M62" s="56">
        <f>89.88647577695*Deflactores!$J$5</f>
        <v>203.40956532240659</v>
      </c>
      <c r="N62" s="56">
        <f>91.60309159694*Deflactores!$K$5</f>
        <v>200.92250053885292</v>
      </c>
      <c r="O62" s="56">
        <f>117.701130771*Deflactores!$L$5</f>
        <v>248.89064836056136</v>
      </c>
      <c r="P62" s="56">
        <f>126.86252298709*Deflactores!$M$5</f>
        <v>261.87359983551499</v>
      </c>
      <c r="Q62" s="56">
        <f>149.3574904914*Deflactores!$N$5</f>
        <v>302.44106088087398</v>
      </c>
      <c r="R62" s="56">
        <f>143.15239669866*Deflactores!$O$5</f>
        <v>279.64120430900084</v>
      </c>
      <c r="S62" s="56">
        <f>127.99390674325*Deflactores!$P$5</f>
        <v>234.17611285463599</v>
      </c>
      <c r="T62" s="56">
        <f>168.81506645563*Deflactores!$Q$5</f>
        <v>292.06810009928631</v>
      </c>
      <c r="U62" s="56">
        <f>168.67839929997*Deflactores!$R$5</f>
        <v>280.3647337105798</v>
      </c>
      <c r="V62" s="56">
        <f>138.393731786081*Deflactores!$S$5</f>
        <v>222.93836394480647</v>
      </c>
    </row>
    <row r="63" spans="3:22" x14ac:dyDescent="0.2">
      <c r="C63" s="88" t="s">
        <v>134</v>
      </c>
      <c r="D63" s="57">
        <f>868.99160994953*Deflactores!$A$5</f>
        <v>3235.8753325130333</v>
      </c>
      <c r="E63" s="57">
        <f>1752.44944355811*Deflactores!$B$5</f>
        <v>6061.9800653454895</v>
      </c>
      <c r="F63" s="57">
        <f>998.46701169929*Deflactores!$C$5</f>
        <v>3228.1378263396768</v>
      </c>
      <c r="G63" s="57">
        <f>1305.48733427335*Deflactores!$D$5</f>
        <v>3963.4796244220443</v>
      </c>
      <c r="H63" s="57">
        <f>1400.88710869195*Deflactores!$E$5</f>
        <v>4031.5037386122744</v>
      </c>
      <c r="I63" s="57">
        <f>1675.53028526125*Deflactores!$F$5</f>
        <v>4598.6078937406492</v>
      </c>
      <c r="J63" s="57">
        <f>853.50651156623*Deflactores!$G$5</f>
        <v>2242.1068287042349</v>
      </c>
      <c r="K63" s="57">
        <f>790.79757598468*Deflactores!$H$5</f>
        <v>1965.4525463418554</v>
      </c>
      <c r="L63" s="57">
        <f>887.78859326771*Deflactores!$I$5</f>
        <v>2049.2476656909394</v>
      </c>
      <c r="M63" s="57">
        <f>964.09186042356*Deflactores!$J$5</f>
        <v>2181.702025410978</v>
      </c>
      <c r="N63" s="57">
        <f>801.07450577232*Deflactores!$K$5</f>
        <v>1757.0792645941324</v>
      </c>
      <c r="O63" s="57">
        <f>1353.40137768204*Deflactores!$L$5</f>
        <v>2861.900681640308</v>
      </c>
      <c r="P63" s="57">
        <f>2064.36775305237*Deflactores!$M$5</f>
        <v>4261.3326784553337</v>
      </c>
      <c r="Q63" s="57">
        <f>1841.64773317401*Deflactores!$N$5</f>
        <v>3729.2397747006585</v>
      </c>
      <c r="R63" s="57">
        <f>2028.3852102369*Deflactores!$O$5</f>
        <v>3962.3512848843711</v>
      </c>
      <c r="S63" s="57">
        <f>2628.46853581153*Deflactores!$P$5</f>
        <v>4809.0144299741951</v>
      </c>
      <c r="T63" s="57">
        <f>1411.95064355547*Deflactores!$Q$5</f>
        <v>2442.8254572028909</v>
      </c>
      <c r="U63" s="57">
        <f>1454.19377461052*Deflactores!$R$5</f>
        <v>2417.0531145319792</v>
      </c>
      <c r="V63" s="57">
        <f>1363.73918472536*Deflactores!$S$5</f>
        <v>2196.8464811689823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817.27490725647*Deflactores!$A$5</f>
        <v>3043.2971757076957</v>
      </c>
      <c r="E65" s="57">
        <f>942.828969427289*Deflactores!$B$5</f>
        <v>3261.383909651679</v>
      </c>
      <c r="F65" s="57">
        <f>995.21496882087*Deflactores!$C$5</f>
        <v>3217.6236656256046</v>
      </c>
      <c r="G65" s="57">
        <f>1072.61370801807*Deflactores!$D$5</f>
        <v>3256.4717136621716</v>
      </c>
      <c r="H65" s="57">
        <f>1269.8738015411*Deflactores!$E$5</f>
        <v>3654.4707612156958</v>
      </c>
      <c r="I65" s="57">
        <f>1579.68321653458*Deflactores!$F$5</f>
        <v>4335.5490336797329</v>
      </c>
      <c r="J65" s="57">
        <f>2604.38375061863*Deflactores!$G$5</f>
        <v>6841.5489661736019</v>
      </c>
      <c r="K65" s="57">
        <f>3478.305717618*Deflactores!$H$5</f>
        <v>8644.9997284515885</v>
      </c>
      <c r="L65" s="57">
        <f>4655.77990677224*Deflactores!$I$5</f>
        <v>10746.754552011662</v>
      </c>
      <c r="M65" s="57">
        <f>5362.17969430902*Deflactores!$J$5</f>
        <v>12134.40210412311</v>
      </c>
      <c r="N65" s="57">
        <f>5619.7049150577*Deflactores!$K$5</f>
        <v>12326.277903284146</v>
      </c>
      <c r="O65" s="57">
        <f>5624.17803785177*Deflactores!$L$5</f>
        <v>11892.879101218034</v>
      </c>
      <c r="P65" s="57">
        <f>7106.98932827225*Deflactores!$M$5</f>
        <v>14670.470329339409</v>
      </c>
      <c r="Q65" s="57">
        <f>8162.44802599435*Deflactores!$N$5</f>
        <v>16528.527844466375</v>
      </c>
      <c r="R65" s="57">
        <f>8511.64327156497*Deflactores!$O$5</f>
        <v>16627.078763616064</v>
      </c>
      <c r="S65" s="57">
        <f>9660.63120532604*Deflactores!$P$5</f>
        <v>17674.974699565184</v>
      </c>
      <c r="T65" s="57">
        <f>9502.78515930559*Deflactores!$Q$5</f>
        <v>16440.83354289682</v>
      </c>
      <c r="U65" s="57">
        <f>10080.0557626981*Deflactores!$R$5</f>
        <v>16754.321605049467</v>
      </c>
      <c r="V65" s="57">
        <f>9678.92347981509*Deflactores!$S$5</f>
        <v>15591.770938530117</v>
      </c>
    </row>
    <row r="66" spans="3:22" x14ac:dyDescent="0.2">
      <c r="C66" s="87" t="s">
        <v>137</v>
      </c>
      <c r="D66" s="56">
        <f>24.57339304396*Deflactores!$A$5</f>
        <v>91.504262499974814</v>
      </c>
      <c r="E66" s="56">
        <f>34.22975013284*Deflactores!$B$5</f>
        <v>118.40573416242616</v>
      </c>
      <c r="F66" s="56">
        <f>48.27358724255*Deflactores!$C$5</f>
        <v>156.07305115225665</v>
      </c>
      <c r="G66" s="56">
        <f>40.99645241489*Deflactores!$D$5</f>
        <v>124.46586003107227</v>
      </c>
      <c r="H66" s="56">
        <f>70.6277477828399*Deflactores!$E$5</f>
        <v>203.25408626406045</v>
      </c>
      <c r="I66" s="56">
        <f>183.7912973625*Deflactores!$F$5</f>
        <v>504.42783295931042</v>
      </c>
      <c r="J66" s="56">
        <f>86.16784645233*Deflactores!$G$5</f>
        <v>226.35740246548244</v>
      </c>
      <c r="K66" s="56">
        <f>108.4857221096*Deflactores!$H$5</f>
        <v>269.63099690404084</v>
      </c>
      <c r="L66" s="56">
        <f>131.93953365004*Deflactores!$I$5</f>
        <v>304.55086199014085</v>
      </c>
      <c r="M66" s="56">
        <f>118.42967247042*Deflactores!$J$5</f>
        <v>268.00169870115832</v>
      </c>
      <c r="N66" s="56">
        <f>139.40786345935*Deflactores!$K$5</f>
        <v>305.77763296765482</v>
      </c>
      <c r="O66" s="56">
        <f>166.34289606903*Deflactores!$L$5</f>
        <v>351.74845799353233</v>
      </c>
      <c r="P66" s="56">
        <f>204.229181177419*Deflactores!$M$5</f>
        <v>421.5762827910404</v>
      </c>
      <c r="Q66" s="56">
        <f>247.83098465129*Deflactores!$N$5</f>
        <v>501.84470608391484</v>
      </c>
      <c r="R66" s="56">
        <f>452.723491077799*Deflactores!$O$5</f>
        <v>884.37319376823245</v>
      </c>
      <c r="S66" s="56">
        <f>253.62825114754*Deflactores!$P$5</f>
        <v>464.03519882388878</v>
      </c>
      <c r="T66" s="56">
        <f>196.547354125999*Deflactores!$Q$5</f>
        <v>340.04792051075651</v>
      </c>
      <c r="U66" s="56">
        <f>247.01843566443*Deflactores!$R$5</f>
        <v>410.57573598087981</v>
      </c>
      <c r="V66" s="56">
        <f>453.681754739759*Deflactores!$S$5</f>
        <v>730.83561551494586</v>
      </c>
    </row>
    <row r="67" spans="3:22" x14ac:dyDescent="0.2">
      <c r="C67" s="88" t="s">
        <v>138</v>
      </c>
      <c r="D67" s="57">
        <f>10.89385624734*Deflactores!$A$5</f>
        <v>40.565593848205104</v>
      </c>
      <c r="E67" s="57">
        <f>22.07577355643*Deflactores!$B$5</f>
        <v>76.363343729021125</v>
      </c>
      <c r="F67" s="57">
        <f>5.73239353153*Deflactores!$C$5</f>
        <v>18.533367830654026</v>
      </c>
      <c r="G67" s="57">
        <f>40.78988764735*Deflactores!$D$5</f>
        <v>123.83872621998556</v>
      </c>
      <c r="H67" s="57">
        <f>25.34981986463*Deflactores!$E$5</f>
        <v>72.952269260889096</v>
      </c>
      <c r="I67" s="57">
        <f>17.8148936322399*Deflactores!$F$5</f>
        <v>48.894198573435418</v>
      </c>
      <c r="J67" s="57">
        <f>38.53041158853*Deflactores!$G$5</f>
        <v>101.21691840042196</v>
      </c>
      <c r="K67" s="57">
        <f>36.11206215059*Deflactores!$H$5</f>
        <v>89.753113392076799</v>
      </c>
      <c r="L67" s="57">
        <f>93.0244481236*Deflactores!$I$5</f>
        <v>214.72469303510326</v>
      </c>
      <c r="M67" s="57">
        <f>35.52198580133*Deflactores!$J$5</f>
        <v>80.384859110141079</v>
      </c>
      <c r="N67" s="57">
        <f>47.23435662654*Deflactores!$K$5</f>
        <v>103.60398191042475</v>
      </c>
      <c r="O67" s="57">
        <f>26.999793958*Deflactores!$L$5</f>
        <v>57.093726965823727</v>
      </c>
      <c r="P67" s="57">
        <f>70.0109971273099*Deflactores!$M$5</f>
        <v>144.51889663008106</v>
      </c>
      <c r="Q67" s="57">
        <f>37.47919553503*Deflactores!$N$5</f>
        <v>75.893399261611663</v>
      </c>
      <c r="R67" s="57">
        <f>19.08622883591*Deflactores!$O$5</f>
        <v>37.284014382422228</v>
      </c>
      <c r="S67" s="57">
        <f>16.82887569798*Deflactores!$P$5</f>
        <v>30.789908636604981</v>
      </c>
      <c r="T67" s="57">
        <f>10.5742991878899*Deflactores!$Q$5</f>
        <v>18.294667286110769</v>
      </c>
      <c r="U67" s="57">
        <f>8.47548850454999*Deflactores!$R$5</f>
        <v>14.087328831117622</v>
      </c>
      <c r="V67" s="57">
        <f>7.03642349455999*Deflactores!$S$5</f>
        <v>11.334969594755691</v>
      </c>
    </row>
    <row r="68" spans="3:22" x14ac:dyDescent="0.2">
      <c r="C68" s="87" t="s">
        <v>139</v>
      </c>
      <c r="D68" s="56">
        <f>119.727238948879*Deflactores!$A$5</f>
        <v>445.82987304914514</v>
      </c>
      <c r="E68" s="56">
        <f>158.44519155018*Deflactores!$B$5</f>
        <v>548.08519364581002</v>
      </c>
      <c r="F68" s="56">
        <f>128.16769484692*Deflactores!$C$5</f>
        <v>414.3782208146813</v>
      </c>
      <c r="G68" s="56">
        <f>110.97813783851*Deflactores!$D$5</f>
        <v>336.93133325116986</v>
      </c>
      <c r="H68" s="56">
        <f>209.49339619641*Deflactores!$E$5</f>
        <v>602.88470408512262</v>
      </c>
      <c r="I68" s="56">
        <f>175.34865527804*Deflactores!$F$5</f>
        <v>481.25642216766892</v>
      </c>
      <c r="J68" s="56">
        <f>263.213575186869*Deflactores!$G$5</f>
        <v>691.44516923622803</v>
      </c>
      <c r="K68" s="56">
        <f>408.65473663742*Deflactores!$H$5</f>
        <v>1015.6726791917197</v>
      </c>
      <c r="L68" s="56">
        <f>759.43853059978*Deflactores!$I$5</f>
        <v>1752.9822390926636</v>
      </c>
      <c r="M68" s="56">
        <f>717.45672782416*Deflactores!$J$5</f>
        <v>1623.5764043802017</v>
      </c>
      <c r="N68" s="56">
        <f>451.126281778649*Deflactores!$K$5</f>
        <v>989.50176258886427</v>
      </c>
      <c r="O68" s="56">
        <f>3943.69980383221*Deflactores!$L$5</f>
        <v>8339.3421514779384</v>
      </c>
      <c r="P68" s="56">
        <f>408.405348834899*Deflactores!$M$5</f>
        <v>843.04313341110139</v>
      </c>
      <c r="Q68" s="56">
        <f>671.95415504055*Deflactores!$N$5</f>
        <v>1360.6718139488087</v>
      </c>
      <c r="R68" s="56">
        <f>687.02972218934*Deflactores!$O$5</f>
        <v>1342.0789545949929</v>
      </c>
      <c r="S68" s="56">
        <f>798.00337470015*Deflactores!$P$5</f>
        <v>1460.0173796321583</v>
      </c>
      <c r="T68" s="56">
        <f>936.72266709488*Deflactores!$Q$5</f>
        <v>1620.6302875830413</v>
      </c>
      <c r="U68" s="56">
        <f>1005.9413361351*Deflactores!$R$5</f>
        <v>1672.0011335442659</v>
      </c>
      <c r="V68" s="56">
        <f>271.1353616903*Deflactores!$S$5</f>
        <v>436.77176099458478</v>
      </c>
    </row>
    <row r="69" spans="3:22" x14ac:dyDescent="0.2">
      <c r="C69" s="88" t="s">
        <v>140</v>
      </c>
      <c r="D69" s="57">
        <f>227.23497030876*Deflactores!$A$5</f>
        <v>846.1578071497762</v>
      </c>
      <c r="E69" s="57">
        <f>394.08415434986*Deflactores!$B$5</f>
        <v>1363.194982040103</v>
      </c>
      <c r="F69" s="57">
        <f>242.43145180094*Deflactores!$C$5</f>
        <v>783.80370175790677</v>
      </c>
      <c r="G69" s="57">
        <f>341.77931677173*Deflactores!$D$5</f>
        <v>1037.6472620683417</v>
      </c>
      <c r="H69" s="57">
        <f>654.389601783899*Deflactores!$E$5</f>
        <v>1883.2167915115788</v>
      </c>
      <c r="I69" s="57">
        <f>814.257229966939*Deflactores!$F$5</f>
        <v>2234.7848667369949</v>
      </c>
      <c r="J69" s="57">
        <f>782.82997354275*Deflactores!$G$5</f>
        <v>2056.4440992649147</v>
      </c>
      <c r="K69" s="57">
        <f>2428.00388549644*Deflactores!$H$5</f>
        <v>6034.5739089232447</v>
      </c>
      <c r="L69" s="57">
        <f>1682.69411147202*Deflactores!$I$5</f>
        <v>3884.096964248914</v>
      </c>
      <c r="M69" s="57">
        <f>6369.59814044289*Deflactores!$J$5</f>
        <v>14414.150491793382</v>
      </c>
      <c r="N69" s="57">
        <f>1352.05280337109*Deflactores!$K$5</f>
        <v>2965.5967432758584</v>
      </c>
      <c r="O69" s="57">
        <f>2121.27851630293*Deflactores!$L$5</f>
        <v>4485.6526170779125</v>
      </c>
      <c r="P69" s="57">
        <f>2497.2536351605*Deflactores!$M$5</f>
        <v>5154.9092966435464</v>
      </c>
      <c r="Q69" s="57">
        <f>3073.39334532385*Deflactores!$N$5</f>
        <v>6223.4598399166671</v>
      </c>
      <c r="R69" s="57">
        <f>2523.4668918607*Deflactores!$O$5</f>
        <v>4929.4691318320265</v>
      </c>
      <c r="S69" s="57">
        <f>2646.63690577086*Deflactores!$P$5</f>
        <v>4842.2550612060813</v>
      </c>
      <c r="T69" s="57">
        <f>2640.86416113166*Deflactores!$Q$5</f>
        <v>4568.9771319359397</v>
      </c>
      <c r="U69" s="57">
        <f>3137.39968365568*Deflactores!$R$5</f>
        <v>5214.7532256783661</v>
      </c>
      <c r="V69" s="57">
        <f>3484.49702719016*Deflactores!$S$5</f>
        <v>5613.1737788029359</v>
      </c>
    </row>
    <row r="70" spans="3:22" x14ac:dyDescent="0.2">
      <c r="C70" s="87" t="s">
        <v>141</v>
      </c>
      <c r="D70" s="56">
        <f>5.64863593475*Deflactores!$A$5</f>
        <v>21.033898917235579</v>
      </c>
      <c r="E70" s="56">
        <f>20.0888766262399*Deflactores!$B$5</f>
        <v>69.49037536637681</v>
      </c>
      <c r="F70" s="56">
        <f>17.040597778*Deflactores!$C$5</f>
        <v>55.093856508069514</v>
      </c>
      <c r="G70" s="56">
        <f>12.34781983744*Deflactores!$D$5</f>
        <v>37.488170928114393</v>
      </c>
      <c r="H70" s="56">
        <f>22.20479667019*Deflactores!$E$5</f>
        <v>63.901452326578017</v>
      </c>
      <c r="I70" s="56">
        <f>23.7869984367499*Deflactores!$F$5</f>
        <v>65.285050196856858</v>
      </c>
      <c r="J70" s="56">
        <f>30.1996308465999*Deflactores!$G$5</f>
        <v>79.332492052410657</v>
      </c>
      <c r="K70" s="56">
        <f>38.2449217338699*Deflactores!$H$5</f>
        <v>95.054134065701533</v>
      </c>
      <c r="L70" s="56">
        <f>46.1133924340599*Deflactores!$I$5</f>
        <v>106.44173907975855</v>
      </c>
      <c r="M70" s="56">
        <f>58.40956156394*Deflactores!$J$5</f>
        <v>132.17854438832165</v>
      </c>
      <c r="N70" s="56">
        <f>71.1284227231599*Deflactores!$K$5</f>
        <v>156.01329937426755</v>
      </c>
      <c r="O70" s="56">
        <f>78.90159201012*Deflactores!$L$5</f>
        <v>166.84519735232453</v>
      </c>
      <c r="P70" s="56">
        <f>74.44581626539*Deflactores!$M$5</f>
        <v>153.67338942246116</v>
      </c>
      <c r="Q70" s="56">
        <f>95.60328578269*Deflactores!$N$5</f>
        <v>193.59162423446733</v>
      </c>
      <c r="R70" s="56">
        <f>75.9384131105*Deflactores!$O$5</f>
        <v>148.3419753022788</v>
      </c>
      <c r="S70" s="56">
        <f>153.2975827367*Deflactores!$P$5</f>
        <v>280.47141421586105</v>
      </c>
      <c r="T70" s="56">
        <f>88.1234609444*Deflactores!$Q$5</f>
        <v>152.46300198548539</v>
      </c>
      <c r="U70" s="56">
        <f>214.37124976986*Deflactores!$R$5</f>
        <v>356.31200323432091</v>
      </c>
      <c r="V70" s="56">
        <f>218.45234918743*Deflactores!$S$5</f>
        <v>351.90473368421289</v>
      </c>
    </row>
    <row r="71" spans="3:22" x14ac:dyDescent="0.2">
      <c r="C71" s="88" t="s">
        <v>142</v>
      </c>
      <c r="D71" s="57">
        <f>319.71505752809*Deflactores!$A$5</f>
        <v>1190.5271077913142</v>
      </c>
      <c r="E71" s="57">
        <f>1026.7587121883*Deflactores!$B$5</f>
        <v>3551.7092193928911</v>
      </c>
      <c r="F71" s="57">
        <f>816.77624874391*Deflactores!$C$5</f>
        <v>2640.7144886426454</v>
      </c>
      <c r="G71" s="57">
        <f>368.7337686534*Deflactores!$D$5</f>
        <v>1119.4813925234855</v>
      </c>
      <c r="H71" s="57">
        <f>239.0631142026*Deflactores!$E$5</f>
        <v>687.98108904863045</v>
      </c>
      <c r="I71" s="57">
        <f>133.09740078643*Deflactores!$F$5</f>
        <v>365.29495364949889</v>
      </c>
      <c r="J71" s="57">
        <f>231.06354141588*Deflactores!$G$5</f>
        <v>606.9890938763242</v>
      </c>
      <c r="K71" s="57">
        <f>354.545164823959*Deflactores!$H$5</f>
        <v>881.18845853662913</v>
      </c>
      <c r="L71" s="57">
        <f>557.914150005*Deflactores!$I$5</f>
        <v>1287.8113981454715</v>
      </c>
      <c r="M71" s="57">
        <f>1033.4395108197*Deflactores!$J$5</f>
        <v>2338.6330353463604</v>
      </c>
      <c r="N71" s="57">
        <f>822.2258136482*Deflactores!$K$5</f>
        <v>1803.4726078099732</v>
      </c>
      <c r="O71" s="57">
        <f>800.47422819391*Deflactores!$L$5</f>
        <v>1692.6816959705027</v>
      </c>
      <c r="P71" s="57">
        <f>882.597791052379*Deflactores!$M$5</f>
        <v>1821.8860488316216</v>
      </c>
      <c r="Q71" s="57">
        <f>450.650062939899*Deflactores!$N$5</f>
        <v>912.54266975932842</v>
      </c>
      <c r="R71" s="57">
        <f>267.55806601478*Deflactores!$O$5</f>
        <v>522.66159371721233</v>
      </c>
      <c r="S71" s="57">
        <f>237.976973845649*Deflactores!$P$5</f>
        <v>435.39981005402365</v>
      </c>
      <c r="T71" s="57">
        <f>381.226073441589*Deflactores!$Q$5</f>
        <v>659.56183482983522</v>
      </c>
      <c r="U71" s="57">
        <f>358.58074157386*Deflactores!$R$5</f>
        <v>596.00633241908747</v>
      </c>
      <c r="V71" s="57">
        <f>306.02988571119*Deflactores!$S$5</f>
        <v>492.9833248815583</v>
      </c>
    </row>
    <row r="72" spans="3:22" x14ac:dyDescent="0.2">
      <c r="C72" s="87" t="s">
        <v>143</v>
      </c>
      <c r="D72" s="56">
        <f>718.892507634819*Deflactores!$A$5</f>
        <v>2676.9493577953576</v>
      </c>
      <c r="E72" s="56">
        <f>722.37718287329*Deflactores!$B$5</f>
        <v>2498.808794932926</v>
      </c>
      <c r="F72" s="56">
        <f>932.78088231035*Deflactores!$C$5</f>
        <v>3015.768387528271</v>
      </c>
      <c r="G72" s="56">
        <f>758.92303201324*Deflactores!$D$5</f>
        <v>2304.1019969476392</v>
      </c>
      <c r="H72" s="56">
        <f>685.51949633694*Deflactores!$E$5</f>
        <v>1972.8030868629394</v>
      </c>
      <c r="I72" s="56">
        <f>559.62141062962*Deflactores!$F$5</f>
        <v>1535.9193797123094</v>
      </c>
      <c r="J72" s="56">
        <f>48.00364836342*Deflactores!$G$5</f>
        <v>126.10250342535211</v>
      </c>
      <c r="K72" s="56">
        <f>132.29978147938*Deflactores!$H$5</f>
        <v>328.81858807588952</v>
      </c>
      <c r="L72" s="56">
        <f>82.8717276501*Deflactores!$I$5</f>
        <v>191.28956569904088</v>
      </c>
      <c r="M72" s="56">
        <f>48.50818394186*Deflactores!$J$5</f>
        <v>109.77211560366163</v>
      </c>
      <c r="N72" s="56">
        <f>47.92771045118*Deflactores!$K$5</f>
        <v>105.12478630442732</v>
      </c>
      <c r="O72" s="56">
        <f>66.8277242546*Deflactores!$L$5</f>
        <v>141.31381329334098</v>
      </c>
      <c r="P72" s="56">
        <f>384.054789287749*Deflactores!$M$5</f>
        <v>792.77794447685517</v>
      </c>
      <c r="Q72" s="56">
        <f>129.32715268784*Deflactores!$N$5</f>
        <v>261.88068058002938</v>
      </c>
      <c r="R72" s="56">
        <f>133.52403697987*Deflactores!$O$5</f>
        <v>260.83267459258633</v>
      </c>
      <c r="S72" s="56">
        <f>136.6506213577*Deflactores!$P$5</f>
        <v>250.014333830032</v>
      </c>
      <c r="T72" s="56">
        <f>90.36951734326*Deflactores!$Q$5</f>
        <v>156.34891950993401</v>
      </c>
      <c r="U72" s="56">
        <f>82.9492878664099*Deflactores!$R$5</f>
        <v>137.87215850199485</v>
      </c>
      <c r="V72" s="56">
        <f>782.2668063402*Deflactores!$S$5</f>
        <v>1260.1530410595738</v>
      </c>
    </row>
    <row r="73" spans="3:22" x14ac:dyDescent="0.2">
      <c r="C73" s="88" t="s">
        <v>144</v>
      </c>
      <c r="D73" s="57">
        <f>15.2193574071399*Deflactores!$A$5</f>
        <v>56.672518637232614</v>
      </c>
      <c r="E73" s="57">
        <f>45.32678188888*Deflactores!$B$5</f>
        <v>156.79199719380796</v>
      </c>
      <c r="F73" s="57">
        <f>30.92432823204*Deflactores!$C$5</f>
        <v>99.98126382773043</v>
      </c>
      <c r="G73" s="57">
        <f>37.2056596771999*Deflactores!$D$5</f>
        <v>112.95695497945434</v>
      </c>
      <c r="H73" s="57">
        <f>67.48196439365*Deflactores!$E$5</f>
        <v>194.20108162457507</v>
      </c>
      <c r="I73" s="57">
        <f>68.95384151998*Deflactores!$F$5</f>
        <v>189.24855176108059</v>
      </c>
      <c r="J73" s="57">
        <f>80.74833162888*Deflactores!$G$5</f>
        <v>212.12068484323129</v>
      </c>
      <c r="K73" s="57">
        <f>87.14270982288*Deflactores!$H$5</f>
        <v>216.5849594357216</v>
      </c>
      <c r="L73" s="57">
        <f>95.53384608263*Deflactores!$I$5</f>
        <v>220.51703813711021</v>
      </c>
      <c r="M73" s="57">
        <f>86.6913067308*Deflactores!$J$5</f>
        <v>196.17902322815704</v>
      </c>
      <c r="N73" s="57">
        <f>132.322731976669*Deflactores!$K$5</f>
        <v>290.23708396074363</v>
      </c>
      <c r="O73" s="57">
        <f>179.644728939399*Deflactores!$L$5</f>
        <v>379.87649538623407</v>
      </c>
      <c r="P73" s="57">
        <f>108.201749797299*Deflactores!$M$5</f>
        <v>223.35344639806576</v>
      </c>
      <c r="Q73" s="57">
        <f>278.88190536155*Deflactores!$N$5</f>
        <v>564.72118700255805</v>
      </c>
      <c r="R73" s="57">
        <f>250.50582259173*Deflactores!$O$5</f>
        <v>489.35087034155134</v>
      </c>
      <c r="S73" s="57">
        <f>209.56169389352*Deflactores!$P$5</f>
        <v>383.41155550207981</v>
      </c>
      <c r="T73" s="57">
        <f>157.6644854495*Deflactores!$Q$5</f>
        <v>272.77640370132559</v>
      </c>
      <c r="U73" s="57">
        <f>230.93068023465*Deflactores!$R$5</f>
        <v>383.83586125009083</v>
      </c>
      <c r="V73" s="57">
        <f>214.92697770978*Deflactores!$S$5</f>
        <v>346.22571528228247</v>
      </c>
    </row>
    <row r="74" spans="3:22" x14ac:dyDescent="0.2">
      <c r="C74" s="87" t="s">
        <v>145</v>
      </c>
      <c r="D74" s="56">
        <f>26.09426472715*Deflactores!$A$5</f>
        <v>97.167552118890612</v>
      </c>
      <c r="E74" s="56">
        <f>0.326138672*Deflactores!$B$5</f>
        <v>1.1281615771968452</v>
      </c>
      <c r="F74" s="56">
        <f>14.252334354*Deflactores!$C$5</f>
        <v>46.079138421895429</v>
      </c>
      <c r="G74" s="56">
        <f>15.019419406*Deflactores!$D$5</f>
        <v>45.59918830577142</v>
      </c>
      <c r="H74" s="56">
        <f>22.930728134*Deflactores!$E$5</f>
        <v>65.990553862431923</v>
      </c>
      <c r="I74" s="56">
        <f>56.181247037*Deflactores!$F$5</f>
        <v>154.19328935869319</v>
      </c>
      <c r="J74" s="56">
        <f>91.83233440581*Deflactores!$G$5</f>
        <v>241.23764877819599</v>
      </c>
      <c r="K74" s="56">
        <f>98.24444500864*Deflactores!$H$5</f>
        <v>244.17727174458949</v>
      </c>
      <c r="L74" s="56">
        <f>109.529061624*Deflactores!$I$5</f>
        <v>252.82164645994519</v>
      </c>
      <c r="M74" s="56">
        <f>120.392690806*Deflactores!$J$5</f>
        <v>272.44393211735189</v>
      </c>
      <c r="N74" s="56">
        <f>76.071545116*Deflactores!$K$5</f>
        <v>166.85555910944234</v>
      </c>
      <c r="O74" s="56">
        <f>60.92003483266*Deflactores!$L$5</f>
        <v>128.82142141139522</v>
      </c>
      <c r="P74" s="56">
        <f>65.12523317392*Deflactores!$M$5</f>
        <v>134.43354940305946</v>
      </c>
      <c r="Q74" s="56">
        <f>60.47270304083*Deflactores!$N$5</f>
        <v>122.45404232374794</v>
      </c>
      <c r="R74" s="56">
        <f>68.62930038107*Deflactores!$O$5</f>
        <v>134.0639811280661</v>
      </c>
      <c r="S74" s="56">
        <f>79.91722015371*Deflactores!$P$5</f>
        <v>146.21558511597615</v>
      </c>
      <c r="T74" s="56">
        <f>82.378584339*Deflactores!$Q$5</f>
        <v>142.52375171196186</v>
      </c>
      <c r="U74" s="56">
        <f>93.826054076*Deflactores!$R$5</f>
        <v>155.95071316364383</v>
      </c>
      <c r="V74" s="56">
        <f>97.8293452713999*Deflactores!$S$5</f>
        <v>157.59322260570059</v>
      </c>
    </row>
    <row r="75" spans="3:22" x14ac:dyDescent="0.2">
      <c r="C75" s="88" t="s">
        <v>146</v>
      </c>
      <c r="D75" s="57">
        <f>3.22159064087999*Deflactores!$A$5</f>
        <v>11.996278867276825</v>
      </c>
      <c r="E75" s="57">
        <f>4.51765405322999*Deflactores!$B$5</f>
        <v>15.627229027049161</v>
      </c>
      <c r="F75" s="57">
        <f>1.57433331087*Deflactores!$C$5</f>
        <v>5.0899677731332327</v>
      </c>
      <c r="G75" s="57">
        <f>2.73446456904*Deflactores!$D$5</f>
        <v>8.3018764859381839</v>
      </c>
      <c r="H75" s="57">
        <f>2.8179860867*Deflactores!$E$5</f>
        <v>8.1096623513769543</v>
      </c>
      <c r="I75" s="57">
        <f>4.37867774702*Deflactores!$F$5</f>
        <v>12.017581674719239</v>
      </c>
      <c r="J75" s="57">
        <f>5.86855709659999*Deflactores!$G$5</f>
        <v>15.416322854739596</v>
      </c>
      <c r="K75" s="57">
        <f>5.98697280648*Deflactores!$H$5</f>
        <v>14.880054396630475</v>
      </c>
      <c r="L75" s="57">
        <f>9.21550287405*Deflactores!$I$5</f>
        <v>21.271784629835217</v>
      </c>
      <c r="M75" s="57">
        <f>10.9045053922699*Deflactores!$J$5</f>
        <v>24.676467541140955</v>
      </c>
      <c r="N75" s="57">
        <f>12.43080617001*Deflactores!$K$5</f>
        <v>27.265768172781225</v>
      </c>
      <c r="O75" s="57">
        <f>12.7747935133372*Deflactores!$L$5</f>
        <v>27.01356069716012</v>
      </c>
      <c r="P75" s="57">
        <f>69.8538993243879*Deflactores!$M$5</f>
        <v>144.19461041687353</v>
      </c>
      <c r="Q75" s="57">
        <f>59.930301032965*Deflactores!$N$5</f>
        <v>121.35570679238032</v>
      </c>
      <c r="R75" s="57">
        <f>55.7023213212515*Deflactores!$O$5</f>
        <v>108.81175988880607</v>
      </c>
      <c r="S75" s="57">
        <f>70.3600827777151*Deflactores!$P$5</f>
        <v>128.72996148220682</v>
      </c>
      <c r="T75" s="57">
        <f>84.21693369572*Deflactores!$Q$5</f>
        <v>145.70429249667362</v>
      </c>
      <c r="U75" s="57">
        <f>93.59706901458*Deflactores!$R$5</f>
        <v>155.57011116578784</v>
      </c>
      <c r="V75" s="57">
        <f>73.26330434615*Deflactores!$S$5</f>
        <v>118.01980477965425</v>
      </c>
    </row>
    <row r="76" spans="3:22" x14ac:dyDescent="0.2">
      <c r="C76" s="90" t="s">
        <v>147</v>
      </c>
      <c r="D76" s="58">
        <f>989.78775145476*Deflactores!$A$5</f>
        <v>3685.6854918795079</v>
      </c>
      <c r="E76" s="58">
        <f>1755.89557409813*Deflactores!$B$5</f>
        <v>6073.9007371303287</v>
      </c>
      <c r="F76" s="58">
        <f>1494.75505883773*Deflactores!$C$5</f>
        <v>4832.6837942643042</v>
      </c>
      <c r="G76" s="58">
        <f>1777.32729708236*Deflactores!$D$5</f>
        <v>5395.9930081099083</v>
      </c>
      <c r="H76" s="58">
        <f>2359.2248863853*Deflactores!$E$5</f>
        <v>6789.4292771173887</v>
      </c>
      <c r="I76" s="58">
        <f>2420.14798968525*Deflactores!$F$5</f>
        <v>6642.2623018430641</v>
      </c>
      <c r="J76" s="58">
        <f>3170.72773514745*Deflactores!$G$5</f>
        <v>8329.2982661496208</v>
      </c>
      <c r="K76" s="58">
        <f>3552.98136967907*Deflactores!$H$5</f>
        <v>8830.598995508537</v>
      </c>
      <c r="L76" s="58">
        <f>2975.2371666732*Deflactores!$I$5</f>
        <v>6867.623514107765</v>
      </c>
      <c r="M76" s="58">
        <f>3409.17739509461*Deflactores!$J$5</f>
        <v>7714.8345849487177</v>
      </c>
      <c r="N76" s="58">
        <f>4255.79829299177*Deflactores!$K$5</f>
        <v>9334.6809579236105</v>
      </c>
      <c r="O76" s="58">
        <f>5311.28893396895*Deflactores!$L$5</f>
        <v>11231.244234838845</v>
      </c>
      <c r="P76" s="58">
        <f>5908.56287567496*Deflactores!$M$5</f>
        <v>12196.640849283305</v>
      </c>
      <c r="Q76" s="58">
        <f>7077.15248863616*Deflactores!$N$5</f>
        <v>14330.861476291897</v>
      </c>
      <c r="R76" s="58">
        <f>8187.49563742287*Deflactores!$O$5</f>
        <v>15993.87221677619</v>
      </c>
      <c r="S76" s="58">
        <f>8948.61063958914*Deflactores!$P$5</f>
        <v>16372.270433405893</v>
      </c>
      <c r="T76" s="58">
        <f>9122.47074600947*Deflactores!$Q$5</f>
        <v>15782.848977514635</v>
      </c>
      <c r="U76" s="58">
        <f>5262.64191461493*Deflactores!$R$5</f>
        <v>8747.1733495719345</v>
      </c>
      <c r="V76" s="58">
        <f>5211.67511385831*Deflactores!$S$5</f>
        <v>8395.4837282037333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20.4014959273*Deflactores!$S$5</f>
        <v>32.864755255601395</v>
      </c>
    </row>
    <row r="78" spans="3:22" x14ac:dyDescent="0.2">
      <c r="C78" s="87" t="s">
        <v>149</v>
      </c>
      <c r="D78" s="56">
        <f>94.92866373272*Deflactores!$A$5</f>
        <v>353.48709677297541</v>
      </c>
      <c r="E78" s="56">
        <f>124.96637658264*Deflactores!$B$5</f>
        <v>432.27705453478404</v>
      </c>
      <c r="F78" s="56">
        <f>127.09479091885*Deflactores!$C$5</f>
        <v>410.90942143157827</v>
      </c>
      <c r="G78" s="56">
        <f>62.45041103596*Deflactores!$D$5</f>
        <v>189.60040835293296</v>
      </c>
      <c r="H78" s="56">
        <f>115.19599336315*Deflactores!$E$5</f>
        <v>331.51356382337633</v>
      </c>
      <c r="I78" s="56">
        <f>135.943686189019*Deflactores!$F$5</f>
        <v>373.1067793355644</v>
      </c>
      <c r="J78" s="56">
        <f>171.3510852463*Deflactores!$G$5</f>
        <v>450.12830380357173</v>
      </c>
      <c r="K78" s="56">
        <f>291.82601416961*Deflactores!$H$5</f>
        <v>725.30594434898228</v>
      </c>
      <c r="L78" s="56">
        <f>382.78438342914*Deflactores!$I$5</f>
        <v>883.56621176880924</v>
      </c>
      <c r="M78" s="56">
        <f>555.621623883059*Deflactores!$J$5</f>
        <v>1257.3499185598803</v>
      </c>
      <c r="N78" s="56">
        <f>627.912782037709*Deflactores!$K$5</f>
        <v>1377.2658115344509</v>
      </c>
      <c r="O78" s="56">
        <f>727.79979852558*Deflactores!$L$5</f>
        <v>1539.0044474946426</v>
      </c>
      <c r="P78" s="56">
        <f>788.39366213296*Deflactores!$M$5</f>
        <v>1627.4269305780167</v>
      </c>
      <c r="Q78" s="56">
        <f>993.413038428192*Deflactores!$N$5</f>
        <v>2011.6091415744202</v>
      </c>
      <c r="R78" s="56">
        <f>1447.40953454117*Deflactores!$O$5</f>
        <v>2827.4437222273336</v>
      </c>
      <c r="S78" s="56">
        <f>1085.93943674198*Deflactores!$P$5</f>
        <v>1986.8217367714719</v>
      </c>
      <c r="T78" s="56">
        <f>1067.36258416419*Deflactores!$Q$5</f>
        <v>1846.6513008531467</v>
      </c>
      <c r="U78" s="56">
        <f>1123.12554452276*Deflactores!$R$5</f>
        <v>1866.7760396142764</v>
      </c>
      <c r="V78" s="56">
        <f>968.907864216589*Deflactores!$S$5</f>
        <v>1560.8129882326652</v>
      </c>
    </row>
    <row r="79" spans="3:22" x14ac:dyDescent="0.2">
      <c r="C79" s="88" t="s">
        <v>150</v>
      </c>
      <c r="D79" s="57">
        <f>702.01381730529*Deflactores!$A$5</f>
        <v>2614.0979596263678</v>
      </c>
      <c r="E79" s="57">
        <f>1373.06638180853*Deflactores!$B$5</f>
        <v>4749.6383222443392</v>
      </c>
      <c r="F79" s="57">
        <f>1247.4656233438*Deflactores!$C$5</f>
        <v>4033.1737739847736</v>
      </c>
      <c r="G79" s="57">
        <f>916.490096626689*Deflactores!$D$5</f>
        <v>2782.4780283957029</v>
      </c>
      <c r="H79" s="57">
        <f>1123.21922522114*Deflactores!$E$5</f>
        <v>3232.4249953219869</v>
      </c>
      <c r="I79" s="57">
        <f>1451.19082690951*Deflactores!$F$5</f>
        <v>3982.892849298491</v>
      </c>
      <c r="J79" s="57">
        <f>2186.62970227212*Deflactores!$G$5</f>
        <v>5744.1358921974606</v>
      </c>
      <c r="K79" s="57">
        <f>2790.25660309624*Deflactores!$H$5</f>
        <v>6934.9187605614552</v>
      </c>
      <c r="L79" s="57">
        <f>2278.7590363171*Deflactores!$I$5</f>
        <v>5259.9703029038637</v>
      </c>
      <c r="M79" s="57">
        <f>3356.08929555989*Deflactores!$J$5</f>
        <v>7594.6983001871886</v>
      </c>
      <c r="N79" s="57">
        <f>3462.36372206233*Deflactores!$K$5</f>
        <v>7594.3591497190473</v>
      </c>
      <c r="O79" s="57">
        <f>4715.7018796556*Deflactores!$L$5</f>
        <v>9971.8166734196147</v>
      </c>
      <c r="P79" s="57">
        <f>7302.37233020823*Deflactores!$M$5</f>
        <v>15073.78605142111</v>
      </c>
      <c r="Q79" s="57">
        <f>7870.85595220785*Deflactores!$N$5</f>
        <v>15938.069235056884</v>
      </c>
      <c r="R79" s="57">
        <f>6921.97566008769*Deflactores!$O$5</f>
        <v>13521.740846988081</v>
      </c>
      <c r="S79" s="57">
        <f>6469.63236206052*Deflactores!$P$5</f>
        <v>11836.761582603915</v>
      </c>
      <c r="T79" s="57">
        <f>5231.96920664025*Deflactores!$Q$5</f>
        <v>9051.8656778956374</v>
      </c>
      <c r="U79" s="57">
        <f>5573.50352266434*Deflactores!$R$5</f>
        <v>9263.8644749520354</v>
      </c>
      <c r="V79" s="57">
        <f>4461.96739629762*Deflactores!$S$5</f>
        <v>7187.7801000645195</v>
      </c>
    </row>
    <row r="80" spans="3:22" x14ac:dyDescent="0.2">
      <c r="C80" s="87" t="s">
        <v>151</v>
      </c>
      <c r="D80" s="56">
        <f>144.665488085*Deflactores!$A$5</f>
        <v>538.6927549132464</v>
      </c>
      <c r="E80" s="56">
        <f>168.7184571175*Deflactores!$B$5</f>
        <v>583.62192841668616</v>
      </c>
      <c r="F80" s="56">
        <f>137.165073188*Deflactores!$C$5</f>
        <v>443.46759184086915</v>
      </c>
      <c r="G80" s="56">
        <f>180.8746133005*Deflactores!$D$5</f>
        <v>549.13810771728356</v>
      </c>
      <c r="H80" s="56">
        <f>222.92307995768*Deflactores!$E$5</f>
        <v>641.53294344432004</v>
      </c>
      <c r="I80" s="56">
        <f>253.97432739284*Deflactores!$F$5</f>
        <v>697.04997697136935</v>
      </c>
      <c r="J80" s="56">
        <f>196.418069320079*Deflactores!$G$5</f>
        <v>515.97766219183404</v>
      </c>
      <c r="K80" s="56">
        <f>367.54313335697*Deflactores!$H$5</f>
        <v>913.49367940009404</v>
      </c>
      <c r="L80" s="56">
        <f>429.39915759823*Deflactores!$I$5</f>
        <v>991.16527068565722</v>
      </c>
      <c r="M80" s="56">
        <f>692.95606381532*Deflactores!$J$5</f>
        <v>1568.1323637381449</v>
      </c>
      <c r="N80" s="56">
        <f>619.85669036762*Deflactores!$K$5</f>
        <v>1359.5955554906191</v>
      </c>
      <c r="O80" s="56">
        <f>806.44353048476*Deflactores!$L$5</f>
        <v>1705.3043743398416</v>
      </c>
      <c r="P80" s="56">
        <f>1713.8504980374*Deflactores!$M$5</f>
        <v>3537.7839643518437</v>
      </c>
      <c r="Q80" s="56">
        <f>2092.226253567*Deflactores!$N$5</f>
        <v>4236.6480961197931</v>
      </c>
      <c r="R80" s="56">
        <f>2185.42250531032*Deflactores!$O$5</f>
        <v>4269.1159589554554</v>
      </c>
      <c r="S80" s="56">
        <f>2280.40329289248*Deflactores!$P$5</f>
        <v>4172.1984464595243</v>
      </c>
      <c r="T80" s="56">
        <f>1485.76237457173*Deflactores!$Q$5</f>
        <v>2570.5276374382361</v>
      </c>
      <c r="U80" s="56">
        <f>1899.18062441549*Deflactores!$R$5</f>
        <v>3156.6772760608965</v>
      </c>
      <c r="V80" s="56">
        <f>1828.57377922835*Deflactores!$S$5</f>
        <v>2945.6481983134199</v>
      </c>
    </row>
    <row r="81" spans="3:22" x14ac:dyDescent="0.2">
      <c r="C81" s="79" t="s">
        <v>202</v>
      </c>
      <c r="D81" s="44">
        <f t="shared" ref="D81:V81" si="1">+SUM(D52:D80)</f>
        <v>22795.431715616833</v>
      </c>
      <c r="E81" s="44">
        <f t="shared" si="1"/>
        <v>36294.992872303519</v>
      </c>
      <c r="F81" s="44">
        <f t="shared" si="1"/>
        <v>29429.077061747761</v>
      </c>
      <c r="G81" s="44">
        <f t="shared" si="1"/>
        <v>26651.114077871043</v>
      </c>
      <c r="H81" s="44">
        <f t="shared" si="1"/>
        <v>30624.421147921901</v>
      </c>
      <c r="I81" s="44">
        <f t="shared" si="1"/>
        <v>32495.777611372756</v>
      </c>
      <c r="J81" s="44">
        <f t="shared" si="1"/>
        <v>36472.273450083238</v>
      </c>
      <c r="K81" s="44">
        <f t="shared" si="1"/>
        <v>46059.669112601565</v>
      </c>
      <c r="L81" s="44">
        <f t="shared" si="1"/>
        <v>49677.087000520318</v>
      </c>
      <c r="M81" s="44">
        <f t="shared" si="1"/>
        <v>65877.941222720212</v>
      </c>
      <c r="N81" s="44">
        <f t="shared" si="1"/>
        <v>52712.558560277401</v>
      </c>
      <c r="O81" s="44">
        <f t="shared" si="1"/>
        <v>65794.396772453008</v>
      </c>
      <c r="P81" s="44">
        <f t="shared" si="1"/>
        <v>74112.651440761241</v>
      </c>
      <c r="Q81" s="44">
        <f t="shared" si="1"/>
        <v>84159.270130753022</v>
      </c>
      <c r="R81" s="44">
        <f t="shared" si="1"/>
        <v>83426.259571087343</v>
      </c>
      <c r="S81" s="44">
        <f t="shared" si="1"/>
        <v>81605.428228367542</v>
      </c>
      <c r="T81" s="44">
        <f t="shared" si="1"/>
        <v>69079.215055711262</v>
      </c>
      <c r="U81" s="44">
        <f t="shared" si="1"/>
        <v>65880.247301516851</v>
      </c>
      <c r="V81" s="44">
        <f t="shared" si="1"/>
        <v>60285.607160117004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55" t="s">
        <v>204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3:22" ht="11.25" hidden="1" customHeight="1" x14ac:dyDescent="0.2">
      <c r="H87" s="27"/>
      <c r="I87" s="27"/>
      <c r="J87" s="27"/>
      <c r="L87" s="177"/>
      <c r="M87" s="156"/>
      <c r="N87" s="156"/>
      <c r="O87" s="156"/>
      <c r="P87" s="156"/>
      <c r="Q87" s="156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ht="12" thickBot="1" x14ac:dyDescent="0.25">
      <c r="C89" s="176" t="s">
        <v>120</v>
      </c>
      <c r="D89" s="153">
        <v>2000</v>
      </c>
      <c r="E89" s="153">
        <v>2001</v>
      </c>
      <c r="F89" s="153">
        <v>2002</v>
      </c>
      <c r="G89" s="153">
        <v>2003</v>
      </c>
      <c r="H89" s="153">
        <v>2004</v>
      </c>
      <c r="I89" s="153">
        <v>2005</v>
      </c>
      <c r="J89" s="153">
        <v>2006</v>
      </c>
      <c r="K89" s="153">
        <v>2007</v>
      </c>
      <c r="L89" s="153">
        <v>2008</v>
      </c>
      <c r="M89" s="153">
        <v>2009</v>
      </c>
      <c r="N89" s="153">
        <v>2010</v>
      </c>
      <c r="O89" s="153">
        <v>2011</v>
      </c>
      <c r="P89" s="153">
        <v>2012</v>
      </c>
      <c r="Q89" s="153">
        <v>2013</v>
      </c>
      <c r="R89" s="153">
        <v>2014</v>
      </c>
      <c r="S89" s="153">
        <v>2015</v>
      </c>
      <c r="T89" s="153">
        <v>2016</v>
      </c>
      <c r="U89" s="153">
        <v>2017</v>
      </c>
      <c r="V89" s="153">
        <v>2018</v>
      </c>
    </row>
    <row r="90" spans="3:22" ht="12" customHeight="1" thickBot="1" x14ac:dyDescent="0.25">
      <c r="C90" s="160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</row>
    <row r="91" spans="3:22" x14ac:dyDescent="0.2">
      <c r="C91" s="87" t="s">
        <v>123</v>
      </c>
      <c r="D91" s="60">
        <f t="shared" ref="D91:V91" si="2">+IFERROR(IF(D52&gt;0,+((D52/D13)*100)," "),"")</f>
        <v>81.741481279207846</v>
      </c>
      <c r="E91" s="60">
        <f t="shared" si="2"/>
        <v>95.251202388566981</v>
      </c>
      <c r="F91" s="60">
        <f t="shared" si="2"/>
        <v>85.768151763558649</v>
      </c>
      <c r="G91" s="60">
        <f t="shared" si="2"/>
        <v>99.098643220375877</v>
      </c>
      <c r="H91" s="60">
        <f t="shared" si="2"/>
        <v>97.796966305873468</v>
      </c>
      <c r="I91" s="60">
        <f t="shared" si="2"/>
        <v>98.513812206769671</v>
      </c>
      <c r="J91" s="60">
        <f t="shared" si="2"/>
        <v>98.561719492430086</v>
      </c>
      <c r="K91" s="60">
        <f t="shared" si="2"/>
        <v>99.169458489706003</v>
      </c>
      <c r="L91" s="60">
        <f t="shared" si="2"/>
        <v>99.490188933112734</v>
      </c>
      <c r="M91" s="60">
        <f t="shared" si="2"/>
        <v>91.575614371645372</v>
      </c>
      <c r="N91" s="60">
        <f t="shared" si="2"/>
        <v>91.119811856225112</v>
      </c>
      <c r="O91" s="60">
        <f t="shared" si="2"/>
        <v>96.060657308492253</v>
      </c>
      <c r="P91" s="60">
        <f t="shared" si="2"/>
        <v>94.460669398361915</v>
      </c>
      <c r="Q91" s="60">
        <f t="shared" si="2"/>
        <v>93.704495308374874</v>
      </c>
      <c r="R91" s="60">
        <f t="shared" si="2"/>
        <v>95.418249483014932</v>
      </c>
      <c r="S91" s="60">
        <f t="shared" si="2"/>
        <v>96.096519495772952</v>
      </c>
      <c r="T91" s="60">
        <f t="shared" si="2"/>
        <v>93.487116961366823</v>
      </c>
      <c r="U91" s="60">
        <f t="shared" si="2"/>
        <v>96.797142313470218</v>
      </c>
      <c r="V91" s="60">
        <f t="shared" si="2"/>
        <v>89.530077982726482</v>
      </c>
    </row>
    <row r="92" spans="3:22" x14ac:dyDescent="0.2">
      <c r="C92" s="88" t="s">
        <v>124</v>
      </c>
      <c r="D92" s="62">
        <f t="shared" ref="D92:V92" si="3">+IFERROR(IF(D53&gt;0,+((D53/D14)*100)," "),"")</f>
        <v>56.267134061343107</v>
      </c>
      <c r="E92" s="62">
        <f t="shared" si="3"/>
        <v>89.386690927339487</v>
      </c>
      <c r="F92" s="62">
        <f t="shared" si="3"/>
        <v>80.251016114681121</v>
      </c>
      <c r="G92" s="62">
        <f t="shared" si="3"/>
        <v>97.073985160352109</v>
      </c>
      <c r="H92" s="62">
        <f t="shared" si="3"/>
        <v>97.325459769709795</v>
      </c>
      <c r="I92" s="62">
        <f t="shared" si="3"/>
        <v>97.334635915831271</v>
      </c>
      <c r="J92" s="62">
        <f t="shared" si="3"/>
        <v>98.266567254964286</v>
      </c>
      <c r="K92" s="62">
        <f t="shared" si="3"/>
        <v>98.088009206276666</v>
      </c>
      <c r="L92" s="62">
        <f t="shared" si="3"/>
        <v>95.318588477013776</v>
      </c>
      <c r="M92" s="62">
        <f t="shared" si="3"/>
        <v>94.739410840656788</v>
      </c>
      <c r="N92" s="62">
        <f t="shared" si="3"/>
        <v>89.644994811697558</v>
      </c>
      <c r="O92" s="62">
        <f t="shared" si="3"/>
        <v>95.045637195226632</v>
      </c>
      <c r="P92" s="62">
        <f t="shared" si="3"/>
        <v>90.443843720612875</v>
      </c>
      <c r="Q92" s="62">
        <f t="shared" si="3"/>
        <v>87.067247909754343</v>
      </c>
      <c r="R92" s="62">
        <f t="shared" si="3"/>
        <v>92.853728469718192</v>
      </c>
      <c r="S92" s="62">
        <f t="shared" si="3"/>
        <v>65.864843247388421</v>
      </c>
      <c r="T92" s="62">
        <f t="shared" si="3"/>
        <v>94.260264680429856</v>
      </c>
      <c r="U92" s="62">
        <f t="shared" si="3"/>
        <v>95.595765027278674</v>
      </c>
      <c r="V92" s="62">
        <f t="shared" si="3"/>
        <v>97.954636246440188</v>
      </c>
    </row>
    <row r="93" spans="3:22" x14ac:dyDescent="0.2">
      <c r="C93" s="87" t="s">
        <v>125</v>
      </c>
      <c r="D93" s="60">
        <f t="shared" ref="D93:V93" si="4">+IFERROR(IF(D54&gt;0,+((D54/D15)*100)," "),"")</f>
        <v>79.061366541040783</v>
      </c>
      <c r="E93" s="60">
        <f t="shared" si="4"/>
        <v>99.936455155361401</v>
      </c>
      <c r="F93" s="60">
        <f t="shared" si="4"/>
        <v>91.611457768206037</v>
      </c>
      <c r="G93" s="60">
        <f t="shared" si="4"/>
        <v>99.845668255802792</v>
      </c>
      <c r="H93" s="60">
        <f t="shared" si="4"/>
        <v>99.997410537776616</v>
      </c>
      <c r="I93" s="60">
        <f t="shared" si="4"/>
        <v>99.865345412431552</v>
      </c>
      <c r="J93" s="60">
        <f t="shared" si="4"/>
        <v>99.627721468689415</v>
      </c>
      <c r="K93" s="60">
        <f t="shared" si="4"/>
        <v>97.958715439563775</v>
      </c>
      <c r="L93" s="60">
        <f t="shared" si="4"/>
        <v>98.842291842336891</v>
      </c>
      <c r="M93" s="60">
        <f t="shared" si="4"/>
        <v>87.297835701853543</v>
      </c>
      <c r="N93" s="60">
        <f t="shared" si="4"/>
        <v>98.728726735528824</v>
      </c>
      <c r="O93" s="60">
        <f t="shared" si="4"/>
        <v>96.893782597576489</v>
      </c>
      <c r="P93" s="60">
        <f t="shared" si="4"/>
        <v>96.831623104969111</v>
      </c>
      <c r="Q93" s="60">
        <f t="shared" si="4"/>
        <v>98.91147416274805</v>
      </c>
      <c r="R93" s="60">
        <f t="shared" si="4"/>
        <v>99.501530553938196</v>
      </c>
      <c r="S93" s="60">
        <f t="shared" si="4"/>
        <v>99.545563452983004</v>
      </c>
      <c r="T93" s="60">
        <f t="shared" si="4"/>
        <v>99.899632305461665</v>
      </c>
      <c r="U93" s="60">
        <f t="shared" si="4"/>
        <v>99.939707188785704</v>
      </c>
      <c r="V93" s="60">
        <f t="shared" si="4"/>
        <v>99.062791312966525</v>
      </c>
    </row>
    <row r="94" spans="3:22" x14ac:dyDescent="0.2">
      <c r="C94" s="88" t="s">
        <v>126</v>
      </c>
      <c r="D94" s="62">
        <f t="shared" ref="D94:V94" si="5">+IFERROR(IF(D55&gt;0,+((D55/D16)*100)," "),"")</f>
        <v>56.400055666634962</v>
      </c>
      <c r="E94" s="62">
        <f t="shared" si="5"/>
        <v>88.371437847389885</v>
      </c>
      <c r="F94" s="62">
        <f t="shared" si="5"/>
        <v>76.329671316457976</v>
      </c>
      <c r="G94" s="62">
        <f t="shared" si="5"/>
        <v>99.756551903564286</v>
      </c>
      <c r="H94" s="62">
        <f t="shared" si="5"/>
        <v>92.047977941225966</v>
      </c>
      <c r="I94" s="62">
        <f t="shared" si="5"/>
        <v>92.641526230071008</v>
      </c>
      <c r="J94" s="62">
        <f t="shared" si="5"/>
        <v>91.972478765184334</v>
      </c>
      <c r="K94" s="62">
        <f t="shared" si="5"/>
        <v>94.495845202816426</v>
      </c>
      <c r="L94" s="62">
        <f t="shared" si="5"/>
        <v>97.112734349871175</v>
      </c>
      <c r="M94" s="62">
        <f t="shared" si="5"/>
        <v>89.703577956469573</v>
      </c>
      <c r="N94" s="62">
        <f t="shared" si="5"/>
        <v>93.986964405423933</v>
      </c>
      <c r="O94" s="62">
        <f t="shared" si="5"/>
        <v>96.087335279577999</v>
      </c>
      <c r="P94" s="62">
        <f t="shared" si="5"/>
        <v>98.057211942357156</v>
      </c>
      <c r="Q94" s="62">
        <f t="shared" si="5"/>
        <v>97.613998720264817</v>
      </c>
      <c r="R94" s="62">
        <f t="shared" si="5"/>
        <v>98.526156084687614</v>
      </c>
      <c r="S94" s="62">
        <f t="shared" si="5"/>
        <v>96.926641140390828</v>
      </c>
      <c r="T94" s="62">
        <f t="shared" si="5"/>
        <v>98.503087626128533</v>
      </c>
      <c r="U94" s="62">
        <f t="shared" si="5"/>
        <v>98.916846357246371</v>
      </c>
      <c r="V94" s="62">
        <f t="shared" si="5"/>
        <v>98.04347686004833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>
        <f t="shared" si="6"/>
        <v>86.275959820052989</v>
      </c>
      <c r="F95" s="60" t="str">
        <f t="shared" si="6"/>
        <v xml:space="preserve"> </v>
      </c>
      <c r="G95" s="60">
        <f t="shared" si="6"/>
        <v>88.085089411764699</v>
      </c>
      <c r="H95" s="60" t="str">
        <f t="shared" si="6"/>
        <v xml:space="preserve"> </v>
      </c>
      <c r="I95" s="60">
        <f t="shared" si="6"/>
        <v>93.504525142857148</v>
      </c>
      <c r="J95" s="60">
        <f t="shared" si="6"/>
        <v>99.179170724705884</v>
      </c>
      <c r="K95" s="60">
        <f t="shared" si="6"/>
        <v>99.880070805755395</v>
      </c>
      <c r="L95" s="60">
        <f t="shared" si="6"/>
        <v>92.445057314136108</v>
      </c>
      <c r="M95" s="60">
        <f t="shared" si="6"/>
        <v>51.310286938032782</v>
      </c>
      <c r="N95" s="60">
        <f t="shared" si="6"/>
        <v>81.089578230025012</v>
      </c>
      <c r="O95" s="60">
        <f t="shared" si="6"/>
        <v>50.102299924000008</v>
      </c>
      <c r="P95" s="60">
        <f t="shared" si="6"/>
        <v>21.117925840680694</v>
      </c>
      <c r="Q95" s="60">
        <f t="shared" si="6"/>
        <v>61.527879768864246</v>
      </c>
      <c r="R95" s="60">
        <f t="shared" si="6"/>
        <v>88.509262768303714</v>
      </c>
      <c r="S95" s="60">
        <f t="shared" si="6"/>
        <v>97.20887210326535</v>
      </c>
      <c r="T95" s="60">
        <f t="shared" si="6"/>
        <v>99.405504612837532</v>
      </c>
      <c r="U95" s="60">
        <f t="shared" si="6"/>
        <v>97.590751183191372</v>
      </c>
      <c r="V95" s="60">
        <f t="shared" si="6"/>
        <v>98.646078351136751</v>
      </c>
    </row>
    <row r="96" spans="3:22" x14ac:dyDescent="0.2">
      <c r="C96" s="88" t="s">
        <v>128</v>
      </c>
      <c r="D96" s="62">
        <f t="shared" ref="D96:V96" si="7">+IFERROR(IF(D57&gt;0,+((D57/D18)*100)," "),"")</f>
        <v>47.218393279468764</v>
      </c>
      <c r="E96" s="62">
        <f t="shared" si="7"/>
        <v>99.862867662857965</v>
      </c>
      <c r="F96" s="62">
        <f t="shared" si="7"/>
        <v>70.27618052699809</v>
      </c>
      <c r="G96" s="62">
        <f t="shared" si="7"/>
        <v>99.961099434271659</v>
      </c>
      <c r="H96" s="62">
        <f t="shared" si="7"/>
        <v>99.896876673269759</v>
      </c>
      <c r="I96" s="62">
        <f t="shared" si="7"/>
        <v>99.904049661176046</v>
      </c>
      <c r="J96" s="62">
        <f t="shared" si="7"/>
        <v>92.137742864320586</v>
      </c>
      <c r="K96" s="62">
        <f t="shared" si="7"/>
        <v>84.53212988075461</v>
      </c>
      <c r="L96" s="62">
        <f t="shared" si="7"/>
        <v>98.835783438412918</v>
      </c>
      <c r="M96" s="62">
        <f t="shared" si="7"/>
        <v>85.677519938077168</v>
      </c>
      <c r="N96" s="62">
        <f t="shared" si="7"/>
        <v>99.364532131952302</v>
      </c>
      <c r="O96" s="62">
        <f t="shared" si="7"/>
        <v>95.583611580668205</v>
      </c>
      <c r="P96" s="62">
        <f t="shared" si="7"/>
        <v>99.38903716220446</v>
      </c>
      <c r="Q96" s="62">
        <f t="shared" si="7"/>
        <v>99.117043061941217</v>
      </c>
      <c r="R96" s="62">
        <f t="shared" si="7"/>
        <v>99.723129192564556</v>
      </c>
      <c r="S96" s="62">
        <f t="shared" si="7"/>
        <v>99.653160698196061</v>
      </c>
      <c r="T96" s="62">
        <f t="shared" si="7"/>
        <v>99.112346216238606</v>
      </c>
      <c r="U96" s="62">
        <f t="shared" si="7"/>
        <v>99.841930114921908</v>
      </c>
      <c r="V96" s="62">
        <f t="shared" si="7"/>
        <v>99.055895771724323</v>
      </c>
    </row>
    <row r="97" spans="3:22" x14ac:dyDescent="0.2">
      <c r="C97" s="87" t="s">
        <v>129</v>
      </c>
      <c r="D97" s="60">
        <f t="shared" ref="D97:V97" si="8">+IFERROR(IF(D58&gt;0,+((D58/D19)*100)," "),"")</f>
        <v>93.596184607594253</v>
      </c>
      <c r="E97" s="60">
        <f t="shared" si="8"/>
        <v>97.601176641040709</v>
      </c>
      <c r="F97" s="60">
        <f t="shared" si="8"/>
        <v>85.198913616780686</v>
      </c>
      <c r="G97" s="60">
        <f t="shared" si="8"/>
        <v>99.080177251624008</v>
      </c>
      <c r="H97" s="60">
        <f t="shared" si="8"/>
        <v>97.114913034598302</v>
      </c>
      <c r="I97" s="60">
        <f t="shared" si="8"/>
        <v>99.524297400724208</v>
      </c>
      <c r="J97" s="60">
        <f t="shared" si="8"/>
        <v>99.568478273498627</v>
      </c>
      <c r="K97" s="60">
        <f t="shared" si="8"/>
        <v>99.145645454086349</v>
      </c>
      <c r="L97" s="60">
        <f t="shared" si="8"/>
        <v>99.736140720805494</v>
      </c>
      <c r="M97" s="60">
        <f t="shared" si="8"/>
        <v>92.857962549133092</v>
      </c>
      <c r="N97" s="60">
        <f t="shared" si="8"/>
        <v>92.066885031342011</v>
      </c>
      <c r="O97" s="60">
        <f t="shared" si="8"/>
        <v>95.483098252125913</v>
      </c>
      <c r="P97" s="60">
        <f t="shared" si="8"/>
        <v>99.249063295835427</v>
      </c>
      <c r="Q97" s="60">
        <f t="shared" si="8"/>
        <v>99.039010107149878</v>
      </c>
      <c r="R97" s="60">
        <f t="shared" si="8"/>
        <v>99.36373228355086</v>
      </c>
      <c r="S97" s="60">
        <f t="shared" si="8"/>
        <v>98.792402731933976</v>
      </c>
      <c r="T97" s="60">
        <f t="shared" si="8"/>
        <v>98.317723864613072</v>
      </c>
      <c r="U97" s="60">
        <f t="shared" si="8"/>
        <v>99.59749367897264</v>
      </c>
      <c r="V97" s="60">
        <f t="shared" si="8"/>
        <v>99.043905455500408</v>
      </c>
    </row>
    <row r="98" spans="3:22" x14ac:dyDescent="0.2">
      <c r="C98" s="88" t="s">
        <v>130</v>
      </c>
      <c r="D98" s="62">
        <f t="shared" ref="D98:V98" si="9">+IFERROR(IF(D59&gt;0,+((D59/D20)*100)," "),"")</f>
        <v>83.948572674793084</v>
      </c>
      <c r="E98" s="62">
        <f t="shared" si="9"/>
        <v>98.804781476094533</v>
      </c>
      <c r="F98" s="62">
        <f t="shared" si="9"/>
        <v>88.775095128870319</v>
      </c>
      <c r="G98" s="62">
        <f t="shared" si="9"/>
        <v>96.249317951000251</v>
      </c>
      <c r="H98" s="62">
        <f t="shared" si="9"/>
        <v>99.25868760739894</v>
      </c>
      <c r="I98" s="62">
        <f t="shared" si="9"/>
        <v>99.40342697107431</v>
      </c>
      <c r="J98" s="62">
        <f t="shared" si="9"/>
        <v>97.46451519403449</v>
      </c>
      <c r="K98" s="62">
        <f t="shared" si="9"/>
        <v>96.57056611447824</v>
      </c>
      <c r="L98" s="62">
        <f t="shared" si="9"/>
        <v>98.463305688096582</v>
      </c>
      <c r="M98" s="62">
        <f t="shared" si="9"/>
        <v>93.08596604025972</v>
      </c>
      <c r="N98" s="62">
        <f t="shared" si="9"/>
        <v>98.255010683988914</v>
      </c>
      <c r="O98" s="62">
        <f t="shared" si="9"/>
        <v>99.377527885354894</v>
      </c>
      <c r="P98" s="62">
        <f t="shared" si="9"/>
        <v>94.143725387640899</v>
      </c>
      <c r="Q98" s="62">
        <f t="shared" si="9"/>
        <v>95.051529652547359</v>
      </c>
      <c r="R98" s="62">
        <f t="shared" si="9"/>
        <v>95.509726926351391</v>
      </c>
      <c r="S98" s="62">
        <f t="shared" si="9"/>
        <v>98.230277215616169</v>
      </c>
      <c r="T98" s="62">
        <f t="shared" si="9"/>
        <v>98.887004591858997</v>
      </c>
      <c r="U98" s="62">
        <f t="shared" si="9"/>
        <v>98.732996833185595</v>
      </c>
      <c r="V98" s="62">
        <f t="shared" si="9"/>
        <v>99.334745993127726</v>
      </c>
    </row>
    <row r="99" spans="3:22" x14ac:dyDescent="0.2">
      <c r="C99" s="87" t="s">
        <v>131</v>
      </c>
      <c r="D99" s="60">
        <f t="shared" ref="D99:V99" si="10">+IFERROR(IF(D60&gt;0,+((D60/D21)*100)," "),"")</f>
        <v>90.311226815294262</v>
      </c>
      <c r="E99" s="60">
        <f t="shared" si="10"/>
        <v>88.044971511227615</v>
      </c>
      <c r="F99" s="60">
        <f t="shared" si="10"/>
        <v>90.645421560357278</v>
      </c>
      <c r="G99" s="60">
        <f t="shared" si="10"/>
        <v>98.642161883947907</v>
      </c>
      <c r="H99" s="60">
        <f t="shared" si="10"/>
        <v>97.222269041135817</v>
      </c>
      <c r="I99" s="60">
        <f t="shared" si="10"/>
        <v>98.870971359710779</v>
      </c>
      <c r="J99" s="60">
        <f t="shared" si="10"/>
        <v>79.817059389533597</v>
      </c>
      <c r="K99" s="60">
        <f t="shared" si="10"/>
        <v>98.49763181557519</v>
      </c>
      <c r="L99" s="60">
        <f t="shared" si="10"/>
        <v>95.102063657005729</v>
      </c>
      <c r="M99" s="60">
        <f t="shared" si="10"/>
        <v>93.60225696974031</v>
      </c>
      <c r="N99" s="60">
        <f t="shared" si="10"/>
        <v>92.896966070172056</v>
      </c>
      <c r="O99" s="60">
        <f t="shared" si="10"/>
        <v>98.110527903515944</v>
      </c>
      <c r="P99" s="60">
        <f t="shared" si="10"/>
        <v>90.072492302769888</v>
      </c>
      <c r="Q99" s="60">
        <f t="shared" si="10"/>
        <v>94.668092333592142</v>
      </c>
      <c r="R99" s="60">
        <f t="shared" si="10"/>
        <v>99.539637084152275</v>
      </c>
      <c r="S99" s="60">
        <f t="shared" si="10"/>
        <v>99.692453954514974</v>
      </c>
      <c r="T99" s="60">
        <f t="shared" si="10"/>
        <v>99.247954405361256</v>
      </c>
      <c r="U99" s="60">
        <f t="shared" si="10"/>
        <v>99.267355755871861</v>
      </c>
      <c r="V99" s="60">
        <f t="shared" si="10"/>
        <v>99.912900345043525</v>
      </c>
    </row>
    <row r="100" spans="3:22" x14ac:dyDescent="0.2">
      <c r="C100" s="88" t="s">
        <v>132</v>
      </c>
      <c r="D100" s="62">
        <f t="shared" ref="D100:V100" si="11">+IFERROR(IF(D61&gt;0,+((D61/D22)*100)," "),"")</f>
        <v>94.126181160700881</v>
      </c>
      <c r="E100" s="62">
        <f t="shared" si="11"/>
        <v>67.44072604839053</v>
      </c>
      <c r="F100" s="62">
        <f t="shared" si="11"/>
        <v>72.044725899927869</v>
      </c>
      <c r="G100" s="62">
        <f t="shared" si="11"/>
        <v>97.794902315915834</v>
      </c>
      <c r="H100" s="62">
        <f t="shared" si="11"/>
        <v>88.685011255378015</v>
      </c>
      <c r="I100" s="62">
        <f t="shared" si="11"/>
        <v>96.335394983348749</v>
      </c>
      <c r="J100" s="62">
        <f t="shared" si="11"/>
        <v>93.313944103445507</v>
      </c>
      <c r="K100" s="62">
        <f t="shared" si="11"/>
        <v>42.090778150718023</v>
      </c>
      <c r="L100" s="62">
        <f t="shared" si="11"/>
        <v>64.528206304795148</v>
      </c>
      <c r="M100" s="62">
        <f t="shared" si="11"/>
        <v>92.045862169953637</v>
      </c>
      <c r="N100" s="62">
        <f t="shared" si="11"/>
        <v>75.233900664177042</v>
      </c>
      <c r="O100" s="62">
        <f t="shared" si="11"/>
        <v>73.418648102604806</v>
      </c>
      <c r="P100" s="62">
        <f t="shared" si="11"/>
        <v>76.068981496784218</v>
      </c>
      <c r="Q100" s="62">
        <f t="shared" si="11"/>
        <v>87.327356606307617</v>
      </c>
      <c r="R100" s="62">
        <f t="shared" si="11"/>
        <v>80.948613776041427</v>
      </c>
      <c r="S100" s="62">
        <f t="shared" si="11"/>
        <v>84.781427383647852</v>
      </c>
      <c r="T100" s="62">
        <f t="shared" si="11"/>
        <v>96.088885529269191</v>
      </c>
      <c r="U100" s="62">
        <f t="shared" si="11"/>
        <v>96.672725213384652</v>
      </c>
      <c r="V100" s="62">
        <f t="shared" si="11"/>
        <v>95.127608095883659</v>
      </c>
    </row>
    <row r="101" spans="3:22" x14ac:dyDescent="0.2">
      <c r="C101" s="87" t="s">
        <v>133</v>
      </c>
      <c r="D101" s="60">
        <f t="shared" ref="D101:V101" si="12">+IFERROR(IF(D62&gt;0,+((D62/D23)*100)," "),"")</f>
        <v>67.232714102531617</v>
      </c>
      <c r="E101" s="60">
        <f t="shared" si="12"/>
        <v>82.200445175163566</v>
      </c>
      <c r="F101" s="60">
        <f t="shared" si="12"/>
        <v>62.984559575784345</v>
      </c>
      <c r="G101" s="60">
        <f t="shared" si="12"/>
        <v>96.368893120620584</v>
      </c>
      <c r="H101" s="60">
        <f t="shared" si="12"/>
        <v>97.816628159804608</v>
      </c>
      <c r="I101" s="60">
        <f t="shared" si="12"/>
        <v>99.522485022445835</v>
      </c>
      <c r="J101" s="60">
        <f t="shared" si="12"/>
        <v>99.693797404457371</v>
      </c>
      <c r="K101" s="60">
        <f t="shared" si="12"/>
        <v>96.889480795177391</v>
      </c>
      <c r="L101" s="60">
        <f t="shared" si="12"/>
        <v>81.954352580383883</v>
      </c>
      <c r="M101" s="60">
        <f t="shared" si="12"/>
        <v>87.821367197822042</v>
      </c>
      <c r="N101" s="60">
        <f t="shared" si="12"/>
        <v>78.048852960700316</v>
      </c>
      <c r="O101" s="60">
        <f t="shared" si="12"/>
        <v>91.685398847906512</v>
      </c>
      <c r="P101" s="60">
        <f t="shared" si="12"/>
        <v>91.744545760779033</v>
      </c>
      <c r="Q101" s="60">
        <f t="shared" si="12"/>
        <v>96.580331005847157</v>
      </c>
      <c r="R101" s="60">
        <f t="shared" si="12"/>
        <v>93.086693063800013</v>
      </c>
      <c r="S101" s="60">
        <f t="shared" si="12"/>
        <v>79.026145775141387</v>
      </c>
      <c r="T101" s="60">
        <f t="shared" si="12"/>
        <v>92.303509794149065</v>
      </c>
      <c r="U101" s="60">
        <f t="shared" si="12"/>
        <v>98.825319411605349</v>
      </c>
      <c r="V101" s="60">
        <f t="shared" si="12"/>
        <v>97.232628894150238</v>
      </c>
    </row>
    <row r="102" spans="3:22" x14ac:dyDescent="0.2">
      <c r="C102" s="88" t="s">
        <v>134</v>
      </c>
      <c r="D102" s="62">
        <f t="shared" ref="D102:V102" si="13">+IFERROR(IF(D63&gt;0,+((D63/D24)*100)," "),"")</f>
        <v>98.645564056052564</v>
      </c>
      <c r="E102" s="62">
        <f t="shared" si="13"/>
        <v>97.469825302953993</v>
      </c>
      <c r="F102" s="62">
        <f t="shared" si="13"/>
        <v>86.508211969965416</v>
      </c>
      <c r="G102" s="62">
        <f t="shared" si="13"/>
        <v>99.587280928501372</v>
      </c>
      <c r="H102" s="62">
        <f t="shared" si="13"/>
        <v>92.350050122564909</v>
      </c>
      <c r="I102" s="62">
        <f t="shared" si="13"/>
        <v>85.706255484020701</v>
      </c>
      <c r="J102" s="62">
        <f t="shared" si="13"/>
        <v>98.490002215255785</v>
      </c>
      <c r="K102" s="62">
        <f t="shared" si="13"/>
        <v>82.956003195929412</v>
      </c>
      <c r="L102" s="62">
        <f t="shared" si="13"/>
        <v>90.283393433802715</v>
      </c>
      <c r="M102" s="62">
        <f t="shared" si="13"/>
        <v>94.641011532055614</v>
      </c>
      <c r="N102" s="62">
        <f t="shared" si="13"/>
        <v>96.4608452732529</v>
      </c>
      <c r="O102" s="62">
        <f t="shared" si="13"/>
        <v>94.570708646297476</v>
      </c>
      <c r="P102" s="62">
        <f t="shared" si="13"/>
        <v>83.175310756138515</v>
      </c>
      <c r="Q102" s="62">
        <f t="shared" si="13"/>
        <v>70.89158002463293</v>
      </c>
      <c r="R102" s="62">
        <f t="shared" si="13"/>
        <v>69.581519787381467</v>
      </c>
      <c r="S102" s="62">
        <f t="shared" si="13"/>
        <v>84.002733127085605</v>
      </c>
      <c r="T102" s="62">
        <f t="shared" si="13"/>
        <v>69.251710626006542</v>
      </c>
      <c r="U102" s="62">
        <f t="shared" si="13"/>
        <v>94.91417489062998</v>
      </c>
      <c r="V102" s="62">
        <f t="shared" si="13"/>
        <v>88.4075815821422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77.322352101139984</v>
      </c>
      <c r="E104" s="62">
        <f t="shared" si="15"/>
        <v>80.681238332149206</v>
      </c>
      <c r="F104" s="62">
        <f t="shared" si="15"/>
        <v>90.413783145108212</v>
      </c>
      <c r="G104" s="62">
        <f t="shared" si="15"/>
        <v>96.571585692339809</v>
      </c>
      <c r="H104" s="62">
        <f t="shared" si="15"/>
        <v>99.366193938889396</v>
      </c>
      <c r="I104" s="62">
        <f t="shared" si="15"/>
        <v>98.551826488303902</v>
      </c>
      <c r="J104" s="62">
        <f t="shared" si="15"/>
        <v>99.492837821775453</v>
      </c>
      <c r="K104" s="62">
        <f t="shared" si="15"/>
        <v>96.036258417541632</v>
      </c>
      <c r="L104" s="62">
        <f t="shared" si="15"/>
        <v>98.792805615163431</v>
      </c>
      <c r="M104" s="62">
        <f t="shared" si="15"/>
        <v>99.010214324161751</v>
      </c>
      <c r="N104" s="62">
        <f t="shared" si="15"/>
        <v>97.661261820768118</v>
      </c>
      <c r="O104" s="62">
        <f t="shared" si="15"/>
        <v>93.514482638050708</v>
      </c>
      <c r="P104" s="62">
        <f t="shared" si="15"/>
        <v>96.424099610519278</v>
      </c>
      <c r="Q104" s="62">
        <f t="shared" si="15"/>
        <v>97.689746471428222</v>
      </c>
      <c r="R104" s="62">
        <f t="shared" si="15"/>
        <v>98.124000956672177</v>
      </c>
      <c r="S104" s="62">
        <f t="shared" si="15"/>
        <v>98.699299902323745</v>
      </c>
      <c r="T104" s="62">
        <f t="shared" si="15"/>
        <v>98.954814998571948</v>
      </c>
      <c r="U104" s="62">
        <f t="shared" si="15"/>
        <v>98.795898594436622</v>
      </c>
      <c r="V104" s="62">
        <f t="shared" si="15"/>
        <v>98.767131059736741</v>
      </c>
    </row>
    <row r="105" spans="3:22" x14ac:dyDescent="0.2">
      <c r="C105" s="87" t="s">
        <v>137</v>
      </c>
      <c r="D105" s="60">
        <f t="shared" ref="D105:V105" si="16">+IFERROR(IF(D66&gt;0,+((D66/D27)*100)," "),"")</f>
        <v>48.040321405312831</v>
      </c>
      <c r="E105" s="60">
        <f t="shared" si="16"/>
        <v>84.692627681414649</v>
      </c>
      <c r="F105" s="60">
        <f t="shared" si="16"/>
        <v>85.918661457449545</v>
      </c>
      <c r="G105" s="60">
        <f t="shared" si="16"/>
        <v>96.306935791157002</v>
      </c>
      <c r="H105" s="60">
        <f t="shared" si="16"/>
        <v>90.315801533064445</v>
      </c>
      <c r="I105" s="60">
        <f t="shared" si="16"/>
        <v>84.854977912865181</v>
      </c>
      <c r="J105" s="60">
        <f t="shared" si="16"/>
        <v>95.229281065929655</v>
      </c>
      <c r="K105" s="60">
        <f t="shared" si="16"/>
        <v>95.272370956976133</v>
      </c>
      <c r="L105" s="60">
        <f t="shared" si="16"/>
        <v>92.08170660243195</v>
      </c>
      <c r="M105" s="60">
        <f t="shared" si="16"/>
        <v>84.966077214146878</v>
      </c>
      <c r="N105" s="60">
        <f t="shared" si="16"/>
        <v>74.998776797980867</v>
      </c>
      <c r="O105" s="60">
        <f t="shared" si="16"/>
        <v>87.041957515128047</v>
      </c>
      <c r="P105" s="60">
        <f t="shared" si="16"/>
        <v>93.306283407857165</v>
      </c>
      <c r="Q105" s="60">
        <f t="shared" si="16"/>
        <v>89.982582042870291</v>
      </c>
      <c r="R105" s="60">
        <f t="shared" si="16"/>
        <v>98.383081210509303</v>
      </c>
      <c r="S105" s="60">
        <f t="shared" si="16"/>
        <v>98.352292446117275</v>
      </c>
      <c r="T105" s="60">
        <f t="shared" si="16"/>
        <v>97.626891114459355</v>
      </c>
      <c r="U105" s="60">
        <f t="shared" si="16"/>
        <v>98.498165290783007</v>
      </c>
      <c r="V105" s="60">
        <f t="shared" si="16"/>
        <v>97.266831815017682</v>
      </c>
    </row>
    <row r="106" spans="3:22" x14ac:dyDescent="0.2">
      <c r="C106" s="88" t="s">
        <v>138</v>
      </c>
      <c r="D106" s="62">
        <f t="shared" ref="D106:V106" si="17">+IFERROR(IF(D67&gt;0,+((D67/D28)*100)," "),"")</f>
        <v>98.054511677227723</v>
      </c>
      <c r="E106" s="62">
        <f t="shared" si="17"/>
        <v>99.328564933318333</v>
      </c>
      <c r="F106" s="62">
        <f t="shared" si="17"/>
        <v>47.189126596228085</v>
      </c>
      <c r="G106" s="62">
        <f t="shared" si="17"/>
        <v>97.803818583861073</v>
      </c>
      <c r="H106" s="62">
        <f t="shared" si="17"/>
        <v>93.88822172085186</v>
      </c>
      <c r="I106" s="62">
        <f t="shared" si="17"/>
        <v>77.777313391136872</v>
      </c>
      <c r="J106" s="62">
        <f t="shared" si="17"/>
        <v>85.596088499434174</v>
      </c>
      <c r="K106" s="62">
        <f t="shared" si="17"/>
        <v>81.886762246235818</v>
      </c>
      <c r="L106" s="62">
        <f t="shared" si="17"/>
        <v>90.555739084348318</v>
      </c>
      <c r="M106" s="62">
        <f t="shared" si="17"/>
        <v>42.086200835004377</v>
      </c>
      <c r="N106" s="62">
        <f t="shared" si="17"/>
        <v>60.835323751453842</v>
      </c>
      <c r="O106" s="62">
        <f t="shared" si="17"/>
        <v>53.105294752370092</v>
      </c>
      <c r="P106" s="62">
        <f t="shared" si="17"/>
        <v>92.791248677680443</v>
      </c>
      <c r="Q106" s="62">
        <f t="shared" si="17"/>
        <v>94.676611693474058</v>
      </c>
      <c r="R106" s="62">
        <f t="shared" si="17"/>
        <v>94.422709640588522</v>
      </c>
      <c r="S106" s="62">
        <f t="shared" si="17"/>
        <v>99.750315322031895</v>
      </c>
      <c r="T106" s="62">
        <f t="shared" si="17"/>
        <v>99.363833752019374</v>
      </c>
      <c r="U106" s="62">
        <f t="shared" si="17"/>
        <v>98.199524011969729</v>
      </c>
      <c r="V106" s="62">
        <f t="shared" si="17"/>
        <v>99.974759094086423</v>
      </c>
    </row>
    <row r="107" spans="3:22" x14ac:dyDescent="0.2">
      <c r="C107" s="87" t="s">
        <v>139</v>
      </c>
      <c r="D107" s="60">
        <f t="shared" ref="D107:V107" si="18">+IFERROR(IF(D68&gt;0,+((D68/D29)*100)," "),"")</f>
        <v>74.80144528301723</v>
      </c>
      <c r="E107" s="60">
        <f t="shared" si="18"/>
        <v>82.825919050268894</v>
      </c>
      <c r="F107" s="60">
        <f t="shared" si="18"/>
        <v>67.20397263156687</v>
      </c>
      <c r="G107" s="60">
        <f t="shared" si="18"/>
        <v>99.286254875684236</v>
      </c>
      <c r="H107" s="60">
        <f t="shared" si="18"/>
        <v>78.251000085191151</v>
      </c>
      <c r="I107" s="60">
        <f t="shared" si="18"/>
        <v>96.295258459762806</v>
      </c>
      <c r="J107" s="60">
        <f t="shared" si="18"/>
        <v>96.707585887392739</v>
      </c>
      <c r="K107" s="60">
        <f t="shared" si="18"/>
        <v>68.688742428297218</v>
      </c>
      <c r="L107" s="60">
        <f t="shared" si="18"/>
        <v>97.133676299916175</v>
      </c>
      <c r="M107" s="60">
        <f t="shared" si="18"/>
        <v>92.474044498009079</v>
      </c>
      <c r="N107" s="60">
        <f t="shared" si="18"/>
        <v>84.618158235682884</v>
      </c>
      <c r="O107" s="60">
        <f t="shared" si="18"/>
        <v>97.722607255306031</v>
      </c>
      <c r="P107" s="60">
        <f t="shared" si="18"/>
        <v>83.154022683702337</v>
      </c>
      <c r="Q107" s="60">
        <f t="shared" si="18"/>
        <v>86.16103727893595</v>
      </c>
      <c r="R107" s="60">
        <f t="shared" si="18"/>
        <v>92.098900516861761</v>
      </c>
      <c r="S107" s="60">
        <f t="shared" si="18"/>
        <v>96.368804037525152</v>
      </c>
      <c r="T107" s="60">
        <f t="shared" si="18"/>
        <v>97.098423683309306</v>
      </c>
      <c r="U107" s="60">
        <f t="shared" si="18"/>
        <v>87.266820381947042</v>
      </c>
      <c r="V107" s="60">
        <f t="shared" si="18"/>
        <v>53.593632151314843</v>
      </c>
    </row>
    <row r="108" spans="3:22" x14ac:dyDescent="0.2">
      <c r="C108" s="88" t="s">
        <v>140</v>
      </c>
      <c r="D108" s="62">
        <f t="shared" ref="D108:V108" si="19">+IFERROR(IF(D69&gt;0,+((D69/D30)*100)," "),"")</f>
        <v>83.338493623297865</v>
      </c>
      <c r="E108" s="62">
        <f t="shared" si="19"/>
        <v>74.118298848345304</v>
      </c>
      <c r="F108" s="62">
        <f t="shared" si="19"/>
        <v>77.339564616572602</v>
      </c>
      <c r="G108" s="62">
        <f t="shared" si="19"/>
        <v>99.670603374798887</v>
      </c>
      <c r="H108" s="62">
        <f t="shared" si="19"/>
        <v>98.289398107338627</v>
      </c>
      <c r="I108" s="62">
        <f t="shared" si="19"/>
        <v>92.855916021829984</v>
      </c>
      <c r="J108" s="62">
        <f t="shared" si="19"/>
        <v>82.732893588705167</v>
      </c>
      <c r="K108" s="62">
        <f t="shared" si="19"/>
        <v>61.587745922454864</v>
      </c>
      <c r="L108" s="62">
        <f t="shared" si="19"/>
        <v>97.80975769937055</v>
      </c>
      <c r="M108" s="62">
        <f t="shared" si="19"/>
        <v>88.450459191629719</v>
      </c>
      <c r="N108" s="62">
        <f t="shared" si="19"/>
        <v>94.789358032721552</v>
      </c>
      <c r="O108" s="62">
        <f t="shared" si="19"/>
        <v>96.091593130445119</v>
      </c>
      <c r="P108" s="62">
        <f t="shared" si="19"/>
        <v>96.665471566525866</v>
      </c>
      <c r="Q108" s="62">
        <f t="shared" si="19"/>
        <v>97.867413090833821</v>
      </c>
      <c r="R108" s="62">
        <f t="shared" si="19"/>
        <v>98.84426717599456</v>
      </c>
      <c r="S108" s="62">
        <f t="shared" si="19"/>
        <v>99.183886706775155</v>
      </c>
      <c r="T108" s="62">
        <f t="shared" si="19"/>
        <v>97.336187825364675</v>
      </c>
      <c r="U108" s="62">
        <f t="shared" si="19"/>
        <v>97.846633655643103</v>
      </c>
      <c r="V108" s="62">
        <f t="shared" si="19"/>
        <v>98.727615943947598</v>
      </c>
    </row>
    <row r="109" spans="3:22" x14ac:dyDescent="0.2">
      <c r="C109" s="87" t="s">
        <v>141</v>
      </c>
      <c r="D109" s="60">
        <f t="shared" ref="D109:V109" si="20">+IFERROR(IF(D70&gt;0,+((D70/D31)*100)," "),"")</f>
        <v>70.918216381042058</v>
      </c>
      <c r="E109" s="60">
        <f t="shared" si="20"/>
        <v>96.711325949547017</v>
      </c>
      <c r="F109" s="60">
        <f t="shared" si="20"/>
        <v>81.1457037047619</v>
      </c>
      <c r="G109" s="60">
        <f t="shared" si="20"/>
        <v>66.425466648137913</v>
      </c>
      <c r="H109" s="60">
        <f t="shared" si="20"/>
        <v>91.455567912074471</v>
      </c>
      <c r="I109" s="60">
        <f t="shared" si="20"/>
        <v>76.491429471604448</v>
      </c>
      <c r="J109" s="60">
        <f t="shared" si="20"/>
        <v>85.251763565367568</v>
      </c>
      <c r="K109" s="60">
        <f t="shared" si="20"/>
        <v>80.396384170992491</v>
      </c>
      <c r="L109" s="60">
        <f t="shared" si="20"/>
        <v>82.858427800739605</v>
      </c>
      <c r="M109" s="60">
        <f t="shared" si="20"/>
        <v>84.802573036322883</v>
      </c>
      <c r="N109" s="60">
        <f t="shared" si="20"/>
        <v>67.738727421457853</v>
      </c>
      <c r="O109" s="60">
        <f t="shared" si="20"/>
        <v>85.018384921282347</v>
      </c>
      <c r="P109" s="60">
        <f t="shared" si="20"/>
        <v>83.445863448093888</v>
      </c>
      <c r="Q109" s="60">
        <f t="shared" si="20"/>
        <v>81.250402228946584</v>
      </c>
      <c r="R109" s="60">
        <f t="shared" si="20"/>
        <v>92.629648589042219</v>
      </c>
      <c r="S109" s="60">
        <f t="shared" si="20"/>
        <v>94.438213354530617</v>
      </c>
      <c r="T109" s="60">
        <f t="shared" si="20"/>
        <v>90.879412768344309</v>
      </c>
      <c r="U109" s="60">
        <f t="shared" si="20"/>
        <v>92.937369628521566</v>
      </c>
      <c r="V109" s="60">
        <f t="shared" si="20"/>
        <v>97.076964476470479</v>
      </c>
    </row>
    <row r="110" spans="3:22" x14ac:dyDescent="0.2">
      <c r="C110" s="88" t="s">
        <v>142</v>
      </c>
      <c r="D110" s="62">
        <f t="shared" ref="D110:V110" si="21">+IFERROR(IF(D71&gt;0,+((D71/D32)*100)," "),"")</f>
        <v>68.316536749065023</v>
      </c>
      <c r="E110" s="62">
        <f t="shared" si="21"/>
        <v>97.221117664132848</v>
      </c>
      <c r="F110" s="62">
        <f t="shared" si="21"/>
        <v>95.600043773567762</v>
      </c>
      <c r="G110" s="62">
        <f t="shared" si="21"/>
        <v>94.663276006600611</v>
      </c>
      <c r="H110" s="62">
        <f t="shared" si="21"/>
        <v>82.248336504376667</v>
      </c>
      <c r="I110" s="62">
        <f t="shared" si="21"/>
        <v>51.757767457540716</v>
      </c>
      <c r="J110" s="62">
        <f t="shared" si="21"/>
        <v>68.686883572807616</v>
      </c>
      <c r="K110" s="62">
        <f t="shared" si="21"/>
        <v>95.958588536155688</v>
      </c>
      <c r="L110" s="62">
        <f t="shared" si="21"/>
        <v>95.212366463201775</v>
      </c>
      <c r="M110" s="62">
        <f t="shared" si="21"/>
        <v>93.481333879814599</v>
      </c>
      <c r="N110" s="62">
        <f t="shared" si="21"/>
        <v>93.43746518855292</v>
      </c>
      <c r="O110" s="62">
        <f t="shared" si="21"/>
        <v>92.168940419292213</v>
      </c>
      <c r="P110" s="62">
        <f t="shared" si="21"/>
        <v>92.302090483363955</v>
      </c>
      <c r="Q110" s="62">
        <f t="shared" si="21"/>
        <v>83.455905948496877</v>
      </c>
      <c r="R110" s="62">
        <f t="shared" si="21"/>
        <v>85.272409799471291</v>
      </c>
      <c r="S110" s="62">
        <f t="shared" si="21"/>
        <v>94.568269068570714</v>
      </c>
      <c r="T110" s="62">
        <f t="shared" si="21"/>
        <v>96.378845702818978</v>
      </c>
      <c r="U110" s="62">
        <f t="shared" si="21"/>
        <v>98.175235972707185</v>
      </c>
      <c r="V110" s="62">
        <f t="shared" si="21"/>
        <v>95.619066911461886</v>
      </c>
    </row>
    <row r="111" spans="3:22" x14ac:dyDescent="0.2">
      <c r="C111" s="87" t="s">
        <v>143</v>
      </c>
      <c r="D111" s="60">
        <f t="shared" ref="D111:V111" si="22">+IFERROR(IF(D72&gt;0,+((D72/D33)*100)," "),"")</f>
        <v>97.013622321299891</v>
      </c>
      <c r="E111" s="60">
        <f t="shared" si="22"/>
        <v>93.612083979960275</v>
      </c>
      <c r="F111" s="60">
        <f t="shared" si="22"/>
        <v>83.622869502516579</v>
      </c>
      <c r="G111" s="60">
        <f t="shared" si="22"/>
        <v>99.924967153624038</v>
      </c>
      <c r="H111" s="60">
        <f t="shared" si="22"/>
        <v>89.952257064030334</v>
      </c>
      <c r="I111" s="60">
        <f t="shared" si="22"/>
        <v>94.327359920168448</v>
      </c>
      <c r="J111" s="60">
        <f t="shared" si="22"/>
        <v>99.940643232884725</v>
      </c>
      <c r="K111" s="60">
        <f t="shared" si="22"/>
        <v>96.332225193342168</v>
      </c>
      <c r="L111" s="60">
        <f t="shared" si="22"/>
        <v>70.761160334801943</v>
      </c>
      <c r="M111" s="60">
        <f t="shared" si="22"/>
        <v>82.935342815502196</v>
      </c>
      <c r="N111" s="60">
        <f t="shared" si="22"/>
        <v>61.35926926803846</v>
      </c>
      <c r="O111" s="60">
        <f t="shared" si="22"/>
        <v>78.141440481139568</v>
      </c>
      <c r="P111" s="60">
        <f t="shared" si="22"/>
        <v>87.382237526172545</v>
      </c>
      <c r="Q111" s="60">
        <f t="shared" si="22"/>
        <v>90.901522138598295</v>
      </c>
      <c r="R111" s="60">
        <f t="shared" si="22"/>
        <v>93.783378987538399</v>
      </c>
      <c r="S111" s="60">
        <f t="shared" si="22"/>
        <v>95.556571031795585</v>
      </c>
      <c r="T111" s="60">
        <f t="shared" si="22"/>
        <v>94.918516643992859</v>
      </c>
      <c r="U111" s="60">
        <f t="shared" si="22"/>
        <v>98.79532667007696</v>
      </c>
      <c r="V111" s="60">
        <f t="shared" si="22"/>
        <v>88.821547973432885</v>
      </c>
    </row>
    <row r="112" spans="3:22" x14ac:dyDescent="0.2">
      <c r="C112" s="88" t="s">
        <v>144</v>
      </c>
      <c r="D112" s="62">
        <f t="shared" ref="D112:V112" si="23">+IFERROR(IF(D73&gt;0,+((D73/D34)*100)," "),"")</f>
        <v>64.306202573593779</v>
      </c>
      <c r="E112" s="62">
        <f t="shared" si="23"/>
        <v>95.727100082111917</v>
      </c>
      <c r="F112" s="62">
        <f t="shared" si="23"/>
        <v>74.108725222530509</v>
      </c>
      <c r="G112" s="62">
        <f t="shared" si="23"/>
        <v>98.989168990600689</v>
      </c>
      <c r="H112" s="62">
        <f t="shared" si="23"/>
        <v>99.854783472304717</v>
      </c>
      <c r="I112" s="62">
        <f t="shared" si="23"/>
        <v>98.440711182170531</v>
      </c>
      <c r="J112" s="62">
        <f t="shared" si="23"/>
        <v>97.130078225063201</v>
      </c>
      <c r="K112" s="62">
        <f t="shared" si="23"/>
        <v>93.757785705437868</v>
      </c>
      <c r="L112" s="62">
        <f t="shared" si="23"/>
        <v>91.882871309739173</v>
      </c>
      <c r="M112" s="62">
        <f t="shared" si="23"/>
        <v>98.942190202622427</v>
      </c>
      <c r="N112" s="62">
        <f t="shared" si="23"/>
        <v>87.054594863804155</v>
      </c>
      <c r="O112" s="62">
        <f t="shared" si="23"/>
        <v>77.956680575776858</v>
      </c>
      <c r="P112" s="62">
        <f t="shared" si="23"/>
        <v>53.813245988879309</v>
      </c>
      <c r="Q112" s="62">
        <f t="shared" si="23"/>
        <v>84.02333639863707</v>
      </c>
      <c r="R112" s="62">
        <f t="shared" si="23"/>
        <v>93.340369066456617</v>
      </c>
      <c r="S112" s="62">
        <f t="shared" si="23"/>
        <v>83.860590254407171</v>
      </c>
      <c r="T112" s="62">
        <f t="shared" si="23"/>
        <v>95.238760081132483</v>
      </c>
      <c r="U112" s="62">
        <f t="shared" si="23"/>
        <v>97.863583735279619</v>
      </c>
      <c r="V112" s="62">
        <f t="shared" si="23"/>
        <v>96.299697311447076</v>
      </c>
    </row>
    <row r="113" spans="3:22" x14ac:dyDescent="0.2">
      <c r="C113" s="87" t="s">
        <v>145</v>
      </c>
      <c r="D113" s="60">
        <f t="shared" ref="D113:V113" si="24">+IFERROR(IF(D74&gt;0,+((D74/D35)*100)," "),"")</f>
        <v>74.788145414587504</v>
      </c>
      <c r="E113" s="60">
        <f t="shared" si="24"/>
        <v>6.5227734399999999</v>
      </c>
      <c r="F113" s="60">
        <f t="shared" si="24"/>
        <v>98.342149469384381</v>
      </c>
      <c r="G113" s="60">
        <f t="shared" si="24"/>
        <v>97.360546900813475</v>
      </c>
      <c r="H113" s="60">
        <f t="shared" si="24"/>
        <v>99.467150378934321</v>
      </c>
      <c r="I113" s="60">
        <f t="shared" si="24"/>
        <v>95.971354496785068</v>
      </c>
      <c r="J113" s="60">
        <f t="shared" si="24"/>
        <v>91.779084536147181</v>
      </c>
      <c r="K113" s="60">
        <f t="shared" si="24"/>
        <v>96.280505540006331</v>
      </c>
      <c r="L113" s="60">
        <f t="shared" si="24"/>
        <v>98.977047064203035</v>
      </c>
      <c r="M113" s="60">
        <f t="shared" si="24"/>
        <v>99.367517729594994</v>
      </c>
      <c r="N113" s="60">
        <f t="shared" si="24"/>
        <v>81.512504812215383</v>
      </c>
      <c r="O113" s="60">
        <f t="shared" si="24"/>
        <v>86.978604623792805</v>
      </c>
      <c r="P113" s="60">
        <f t="shared" si="24"/>
        <v>84.344483371973169</v>
      </c>
      <c r="Q113" s="60">
        <f t="shared" si="24"/>
        <v>81.842417059937318</v>
      </c>
      <c r="R113" s="60">
        <f t="shared" si="24"/>
        <v>91.287929255319057</v>
      </c>
      <c r="S113" s="60">
        <f t="shared" si="24"/>
        <v>89.243033863553308</v>
      </c>
      <c r="T113" s="60">
        <f t="shared" si="24"/>
        <v>97.319214825192361</v>
      </c>
      <c r="U113" s="60">
        <f t="shared" si="24"/>
        <v>97.270086999293184</v>
      </c>
      <c r="V113" s="60">
        <f t="shared" si="24"/>
        <v>97.195512579709813</v>
      </c>
    </row>
    <row r="114" spans="3:22" x14ac:dyDescent="0.2">
      <c r="C114" s="88" t="s">
        <v>146</v>
      </c>
      <c r="D114" s="62">
        <f t="shared" ref="D114:V114" si="25">+IFERROR(IF(D75&gt;0,+((D75/D36)*100)," "),"")</f>
        <v>60.468694575144809</v>
      </c>
      <c r="E114" s="62">
        <f t="shared" si="25"/>
        <v>59.757328746428442</v>
      </c>
      <c r="F114" s="62">
        <f t="shared" si="25"/>
        <v>21.546440141223844</v>
      </c>
      <c r="G114" s="62">
        <f t="shared" si="25"/>
        <v>99.952722938897566</v>
      </c>
      <c r="H114" s="62">
        <f t="shared" si="25"/>
        <v>83.311009145382585</v>
      </c>
      <c r="I114" s="62">
        <f t="shared" si="25"/>
        <v>85.188283015953317</v>
      </c>
      <c r="J114" s="62">
        <f t="shared" si="25"/>
        <v>86.991848573249584</v>
      </c>
      <c r="K114" s="62">
        <f t="shared" si="25"/>
        <v>79.929581098136907</v>
      </c>
      <c r="L114" s="62">
        <f t="shared" si="25"/>
        <v>85.645937491170983</v>
      </c>
      <c r="M114" s="62">
        <f t="shared" si="25"/>
        <v>73.979005374965396</v>
      </c>
      <c r="N114" s="62">
        <f t="shared" si="25"/>
        <v>88.791472642928554</v>
      </c>
      <c r="O114" s="62">
        <f t="shared" si="25"/>
        <v>96.698156939953066</v>
      </c>
      <c r="P114" s="62">
        <f t="shared" si="25"/>
        <v>98.040545319197065</v>
      </c>
      <c r="Q114" s="62">
        <f t="shared" si="25"/>
        <v>97.630204501042599</v>
      </c>
      <c r="R114" s="62">
        <f t="shared" si="25"/>
        <v>98.453022713382239</v>
      </c>
      <c r="S114" s="62">
        <f t="shared" si="25"/>
        <v>98.714006160995766</v>
      </c>
      <c r="T114" s="62">
        <f t="shared" si="25"/>
        <v>97.972180166872064</v>
      </c>
      <c r="U114" s="62">
        <f t="shared" si="25"/>
        <v>99.866275299457556</v>
      </c>
      <c r="V114" s="62">
        <f t="shared" si="25"/>
        <v>99.068411198066514</v>
      </c>
    </row>
    <row r="115" spans="3:22" x14ac:dyDescent="0.2">
      <c r="C115" s="90" t="s">
        <v>147</v>
      </c>
      <c r="D115" s="61">
        <f t="shared" ref="D115:V115" si="26">+IFERROR(IF(D76&gt;0,+((D76/D37)*100)," "),"")</f>
        <v>68.384460339581736</v>
      </c>
      <c r="E115" s="61">
        <f t="shared" si="26"/>
        <v>93.489628234303751</v>
      </c>
      <c r="F115" s="61">
        <f t="shared" si="26"/>
        <v>86.08014038103056</v>
      </c>
      <c r="G115" s="61">
        <f t="shared" si="26"/>
        <v>96.955365367909636</v>
      </c>
      <c r="H115" s="61">
        <f t="shared" si="26"/>
        <v>96.218522415702168</v>
      </c>
      <c r="I115" s="61">
        <f t="shared" si="26"/>
        <v>94.972122565602305</v>
      </c>
      <c r="J115" s="61">
        <f t="shared" si="26"/>
        <v>94.771851767453668</v>
      </c>
      <c r="K115" s="61">
        <f t="shared" si="26"/>
        <v>94.102536521223229</v>
      </c>
      <c r="L115" s="61">
        <f t="shared" si="26"/>
        <v>98.047442581800794</v>
      </c>
      <c r="M115" s="61">
        <f t="shared" si="26"/>
        <v>97.422733993224355</v>
      </c>
      <c r="N115" s="61">
        <f t="shared" si="26"/>
        <v>94.971161136738388</v>
      </c>
      <c r="O115" s="61">
        <f t="shared" si="26"/>
        <v>94.099225393456848</v>
      </c>
      <c r="P115" s="61">
        <f t="shared" si="26"/>
        <v>95.449240897219681</v>
      </c>
      <c r="Q115" s="61">
        <f t="shared" si="26"/>
        <v>97.52999937341464</v>
      </c>
      <c r="R115" s="61">
        <f t="shared" si="26"/>
        <v>98.697099105656434</v>
      </c>
      <c r="S115" s="61">
        <f t="shared" si="26"/>
        <v>98.532479319017071</v>
      </c>
      <c r="T115" s="61">
        <f t="shared" si="26"/>
        <v>99.160558691312744</v>
      </c>
      <c r="U115" s="61">
        <f t="shared" si="26"/>
        <v>98.203196851293399</v>
      </c>
      <c r="V115" s="61">
        <f t="shared" si="26"/>
        <v>97.692202307021248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>
        <f t="shared" si="27"/>
        <v>93.221827626375486</v>
      </c>
    </row>
    <row r="117" spans="3:22" x14ac:dyDescent="0.2">
      <c r="C117" s="87" t="s">
        <v>149</v>
      </c>
      <c r="D117" s="60">
        <f t="shared" ref="D117:V117" si="28">+IFERROR(IF(D78&gt;0,+((D78/D39)*100)," "),"")</f>
        <v>94.314206676224387</v>
      </c>
      <c r="E117" s="60">
        <f t="shared" si="28"/>
        <v>99.371831726397758</v>
      </c>
      <c r="F117" s="60">
        <f t="shared" si="28"/>
        <v>99.369817013537045</v>
      </c>
      <c r="G117" s="60">
        <f t="shared" si="28"/>
        <v>98.739485751934438</v>
      </c>
      <c r="H117" s="60">
        <f t="shared" si="28"/>
        <v>99.817258192426792</v>
      </c>
      <c r="I117" s="60">
        <f t="shared" si="28"/>
        <v>98.630020901389045</v>
      </c>
      <c r="J117" s="60">
        <f t="shared" si="28"/>
        <v>91.850789315366711</v>
      </c>
      <c r="K117" s="60">
        <f t="shared" si="28"/>
        <v>98.764230373517449</v>
      </c>
      <c r="L117" s="60">
        <f t="shared" si="28"/>
        <v>95.529032237776136</v>
      </c>
      <c r="M117" s="60">
        <f t="shared" si="28"/>
        <v>83.120660434668352</v>
      </c>
      <c r="N117" s="60">
        <f t="shared" si="28"/>
        <v>91.836604002069208</v>
      </c>
      <c r="O117" s="60">
        <f t="shared" si="28"/>
        <v>93.913049903511848</v>
      </c>
      <c r="P117" s="60">
        <f t="shared" si="28"/>
        <v>97.215400322273368</v>
      </c>
      <c r="Q117" s="60">
        <f t="shared" si="28"/>
        <v>93.871788961543686</v>
      </c>
      <c r="R117" s="60">
        <f t="shared" si="28"/>
        <v>96.766616215057539</v>
      </c>
      <c r="S117" s="60">
        <f t="shared" si="28"/>
        <v>96.177744631396507</v>
      </c>
      <c r="T117" s="60">
        <f t="shared" si="28"/>
        <v>98.292123522449657</v>
      </c>
      <c r="U117" s="60">
        <f t="shared" si="28"/>
        <v>98.41334711950897</v>
      </c>
      <c r="V117" s="60">
        <f t="shared" si="28"/>
        <v>93.797450311702534</v>
      </c>
    </row>
    <row r="118" spans="3:22" x14ac:dyDescent="0.2">
      <c r="C118" s="88" t="s">
        <v>150</v>
      </c>
      <c r="D118" s="62">
        <f t="shared" ref="D118:V118" si="29">+IFERROR(IF(D79&gt;0,+((D79/D40)*100)," "),"")</f>
        <v>72.122237761640989</v>
      </c>
      <c r="E118" s="62">
        <f t="shared" si="29"/>
        <v>88.47209525679952</v>
      </c>
      <c r="F118" s="62">
        <f t="shared" si="29"/>
        <v>81.389204267162938</v>
      </c>
      <c r="G118" s="62">
        <f t="shared" si="29"/>
        <v>98.34016478975505</v>
      </c>
      <c r="H118" s="62">
        <f t="shared" si="29"/>
        <v>96.637668978743534</v>
      </c>
      <c r="I118" s="62">
        <f t="shared" si="29"/>
        <v>98.685184340370597</v>
      </c>
      <c r="J118" s="62">
        <f t="shared" si="29"/>
        <v>85.041168800412976</v>
      </c>
      <c r="K118" s="62">
        <f t="shared" si="29"/>
        <v>96.952864411419156</v>
      </c>
      <c r="L118" s="62">
        <f t="shared" si="29"/>
        <v>97.736252415920958</v>
      </c>
      <c r="M118" s="62">
        <f t="shared" si="29"/>
        <v>95.146179074591643</v>
      </c>
      <c r="N118" s="62">
        <f t="shared" si="29"/>
        <v>91.392928294917112</v>
      </c>
      <c r="O118" s="62">
        <f t="shared" si="29"/>
        <v>94.88570018300949</v>
      </c>
      <c r="P118" s="62">
        <f t="shared" si="29"/>
        <v>94.969169141713749</v>
      </c>
      <c r="Q118" s="62">
        <f t="shared" si="29"/>
        <v>98.969982922988137</v>
      </c>
      <c r="R118" s="62">
        <f t="shared" si="29"/>
        <v>98.189097304406786</v>
      </c>
      <c r="S118" s="62">
        <f t="shared" si="29"/>
        <v>97.603878221308875</v>
      </c>
      <c r="T118" s="62">
        <f t="shared" si="29"/>
        <v>99.812623459945527</v>
      </c>
      <c r="U118" s="62">
        <f t="shared" si="29"/>
        <v>98.74600557102012</v>
      </c>
      <c r="V118" s="62">
        <f t="shared" si="29"/>
        <v>99.150110656370401</v>
      </c>
    </row>
    <row r="119" spans="3:22" x14ac:dyDescent="0.2">
      <c r="C119" s="87" t="s">
        <v>151</v>
      </c>
      <c r="D119" s="60">
        <f t="shared" ref="D119:V119" si="30">+IFERROR(IF(D80&gt;0,+((D80/D41)*100)," "),"")</f>
        <v>94.75700922761753</v>
      </c>
      <c r="E119" s="60">
        <f t="shared" si="30"/>
        <v>88.973833495541996</v>
      </c>
      <c r="F119" s="60">
        <f t="shared" si="30"/>
        <v>85.437682621586603</v>
      </c>
      <c r="G119" s="60">
        <f t="shared" si="30"/>
        <v>92.727829064672108</v>
      </c>
      <c r="H119" s="60">
        <f t="shared" si="30"/>
        <v>95.666262223381565</v>
      </c>
      <c r="I119" s="60">
        <f t="shared" si="30"/>
        <v>99.005682640226112</v>
      </c>
      <c r="J119" s="60">
        <f t="shared" si="30"/>
        <v>90.348697939318768</v>
      </c>
      <c r="K119" s="60">
        <f t="shared" si="30"/>
        <v>99.470401449788895</v>
      </c>
      <c r="L119" s="60">
        <f t="shared" si="30"/>
        <v>99.099702042159464</v>
      </c>
      <c r="M119" s="60">
        <f t="shared" si="30"/>
        <v>97.021688286558373</v>
      </c>
      <c r="N119" s="60">
        <f t="shared" si="30"/>
        <v>99.466619411220492</v>
      </c>
      <c r="O119" s="60">
        <f t="shared" si="30"/>
        <v>98.702553903290806</v>
      </c>
      <c r="P119" s="60">
        <f t="shared" si="30"/>
        <v>99.880675592097518</v>
      </c>
      <c r="Q119" s="60">
        <f t="shared" si="30"/>
        <v>98.23533223106304</v>
      </c>
      <c r="R119" s="60">
        <f t="shared" si="30"/>
        <v>99.514945346193556</v>
      </c>
      <c r="S119" s="60">
        <f t="shared" si="30"/>
        <v>99.755266498961021</v>
      </c>
      <c r="T119" s="60">
        <f t="shared" si="30"/>
        <v>99.46465299638615</v>
      </c>
      <c r="U119" s="60">
        <f t="shared" si="30"/>
        <v>99.916072261317737</v>
      </c>
      <c r="V119" s="60">
        <f t="shared" si="30"/>
        <v>99.411453341819808</v>
      </c>
    </row>
    <row r="120" spans="3:22" x14ac:dyDescent="0.2">
      <c r="C120" s="91" t="s">
        <v>202</v>
      </c>
      <c r="D120" s="64">
        <f t="shared" ref="D120:V120" si="31">+IFERROR(IF(D81&gt;0,+((D81/D42)*100)," "),"")</f>
        <v>80.328413452784915</v>
      </c>
      <c r="E120" s="64">
        <f t="shared" si="31"/>
        <v>91.506175293855719</v>
      </c>
      <c r="F120" s="64">
        <f t="shared" si="31"/>
        <v>85.608393039852842</v>
      </c>
      <c r="G120" s="64">
        <f t="shared" si="31"/>
        <v>97.941115639634617</v>
      </c>
      <c r="H120" s="64">
        <f t="shared" si="31"/>
        <v>95.221298515952896</v>
      </c>
      <c r="I120" s="64">
        <f t="shared" si="31"/>
        <v>93.98005089949983</v>
      </c>
      <c r="J120" s="64">
        <f t="shared" si="31"/>
        <v>92.672105390482514</v>
      </c>
      <c r="K120" s="64">
        <f t="shared" si="31"/>
        <v>88.280591548463647</v>
      </c>
      <c r="L120" s="64">
        <f t="shared" si="31"/>
        <v>97.425488878885758</v>
      </c>
      <c r="M120" s="64">
        <f t="shared" si="31"/>
        <v>93.335863583955913</v>
      </c>
      <c r="N120" s="64">
        <f t="shared" si="31"/>
        <v>93.566990145436435</v>
      </c>
      <c r="O120" s="64">
        <f t="shared" si="31"/>
        <v>94.685576772045636</v>
      </c>
      <c r="P120" s="64">
        <f t="shared" si="31"/>
        <v>94.282958287672926</v>
      </c>
      <c r="Q120" s="64">
        <f t="shared" si="31"/>
        <v>95.224340682546327</v>
      </c>
      <c r="R120" s="64">
        <f t="shared" si="31"/>
        <v>96.003864608662724</v>
      </c>
      <c r="S120" s="64">
        <f t="shared" si="31"/>
        <v>96.776851394611356</v>
      </c>
      <c r="T120" s="64">
        <f t="shared" si="31"/>
        <v>97.050791297858069</v>
      </c>
      <c r="U120" s="64">
        <f t="shared" si="31"/>
        <v>98.064298787638876</v>
      </c>
      <c r="V120" s="64">
        <f t="shared" si="31"/>
        <v>96.897784348358414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55" t="s">
        <v>205</v>
      </c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</row>
    <row r="127" spans="3:22" ht="15.75" customHeight="1" x14ac:dyDescent="0.2"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3:22" x14ac:dyDescent="0.2">
      <c r="C128" s="176" t="s">
        <v>120</v>
      </c>
      <c r="D128" s="153">
        <v>2000</v>
      </c>
      <c r="E128" s="153">
        <v>2001</v>
      </c>
      <c r="F128" s="153">
        <v>2002</v>
      </c>
      <c r="G128" s="153">
        <v>2003</v>
      </c>
      <c r="H128" s="153">
        <v>2004</v>
      </c>
      <c r="I128" s="153">
        <v>2005</v>
      </c>
      <c r="J128" s="153">
        <v>2006</v>
      </c>
      <c r="K128" s="153">
        <v>2007</v>
      </c>
      <c r="L128" s="153">
        <v>2008</v>
      </c>
      <c r="M128" s="153">
        <v>2009</v>
      </c>
      <c r="N128" s="153">
        <v>2010</v>
      </c>
      <c r="O128" s="153">
        <v>2011</v>
      </c>
      <c r="P128" s="153">
        <v>2012</v>
      </c>
      <c r="Q128" s="153">
        <v>2013</v>
      </c>
      <c r="R128" s="153">
        <v>2014</v>
      </c>
      <c r="S128" s="153">
        <v>2015</v>
      </c>
      <c r="T128" s="153">
        <v>2016</v>
      </c>
      <c r="U128" s="153">
        <v>2017</v>
      </c>
      <c r="V128" s="153">
        <v>2018</v>
      </c>
    </row>
    <row r="129" spans="3:22" ht="12" customHeight="1" thickBot="1" x14ac:dyDescent="0.25">
      <c r="C129" s="160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</row>
    <row r="130" spans="3:22" x14ac:dyDescent="0.2">
      <c r="C130" s="87" t="s">
        <v>123</v>
      </c>
      <c r="D130" s="56">
        <f>207.75689053058*Deflactores!$A$5</f>
        <v>773.62702876562787</v>
      </c>
      <c r="E130" s="56">
        <f>272.43566427354*Deflactores!$B$5</f>
        <v>942.39498433815629</v>
      </c>
      <c r="F130" s="56">
        <f>252.585938565229*Deflactores!$C$5</f>
        <v>816.63411322546085</v>
      </c>
      <c r="G130" s="56">
        <f>147.61099801293*Deflactores!$D$5</f>
        <v>448.14926013089098</v>
      </c>
      <c r="H130" s="56">
        <f>243.11482166859*Deflactores!$E$5</f>
        <v>699.64118192517492</v>
      </c>
      <c r="I130" s="56">
        <f>316.82432990279*Deflactores!$F$5</f>
        <v>869.5461235383716</v>
      </c>
      <c r="J130" s="56">
        <f>497.609970482129*Deflactores!$G$5</f>
        <v>1307.1894563545097</v>
      </c>
      <c r="K130" s="56">
        <f>914.85738942896*Deflactores!$H$5</f>
        <v>2273.7914735687636</v>
      </c>
      <c r="L130" s="56">
        <f>1098.93787471741*Deflactores!$I$5</f>
        <v>2536.6352886051691</v>
      </c>
      <c r="M130" s="56">
        <f>1097.81445766062*Deflactores!$J$5</f>
        <v>2484.311012387735</v>
      </c>
      <c r="N130" s="56">
        <f>993.3353146508*Deflactores!$K$5</f>
        <v>2178.7847092690708</v>
      </c>
      <c r="O130" s="56">
        <f>1081.40990698468*Deflactores!$L$5</f>
        <v>2286.7478938381369</v>
      </c>
      <c r="P130" s="56">
        <f>1534.72406654622*Deflactores!$M$5</f>
        <v>3168.0255649775963</v>
      </c>
      <c r="Q130" s="56">
        <f>1932.12086694923*Deflactores!$N$5</f>
        <v>3912.4431110058458</v>
      </c>
      <c r="R130" s="56">
        <f>2790.43210500736*Deflactores!$O$5</f>
        <v>5450.9726164721824</v>
      </c>
      <c r="S130" s="56">
        <f>2849.83266036778*Deflactores!$P$5</f>
        <v>5214.0195707113808</v>
      </c>
      <c r="T130" s="56">
        <f>1595.16618495287*Deflactores!$Q$5</f>
        <v>2759.8079174068516</v>
      </c>
      <c r="U130" s="56">
        <f>2037.07655094953*Deflactores!$R$5</f>
        <v>3385.8776649840597</v>
      </c>
      <c r="V130" s="56">
        <f>927.172975358759*Deflactores!$S$5</f>
        <v>1493.5822855028271</v>
      </c>
    </row>
    <row r="131" spans="3:22" x14ac:dyDescent="0.2">
      <c r="C131" s="88" t="s">
        <v>124</v>
      </c>
      <c r="D131" s="57">
        <f>24.38843370814*Deflactores!$A$5</f>
        <v>90.81552702146692</v>
      </c>
      <c r="E131" s="57">
        <f>34.42623613422*Deflactores!$B$5</f>
        <v>119.08540810558233</v>
      </c>
      <c r="F131" s="57">
        <f>37.64934524624*Deflactores!$C$5</f>
        <v>121.72387680536895</v>
      </c>
      <c r="G131" s="57">
        <f>56.91737805126*Deflactores!$D$5</f>
        <v>172.80203511684172</v>
      </c>
      <c r="H131" s="57">
        <f>52.02653453181*Deflactores!$E$5</f>
        <v>149.72310557406578</v>
      </c>
      <c r="I131" s="57">
        <f>74.29435947338*Deflactores!$F$5</f>
        <v>203.90596991293432</v>
      </c>
      <c r="J131" s="57">
        <f>128.66572878166*Deflactores!$G$5</f>
        <v>337.9966118737471</v>
      </c>
      <c r="K131" s="57">
        <f>374.26508692413*Deflactores!$H$5</f>
        <v>930.20045893026088</v>
      </c>
      <c r="L131" s="57">
        <f>389.24992232481*Deflactores!$I$5</f>
        <v>898.49036216886998</v>
      </c>
      <c r="M131" s="57">
        <f>360.13403759477*Deflactores!$J$5</f>
        <v>814.96918654074591</v>
      </c>
      <c r="N131" s="57">
        <f>432.34387071055*Deflactores!$K$5</f>
        <v>948.3043648573979</v>
      </c>
      <c r="O131" s="57">
        <f>252.78436895838*Deflactores!$L$5</f>
        <v>534.53747702624582</v>
      </c>
      <c r="P131" s="57">
        <f>138.306058197201*Deflactores!$M$5</f>
        <v>285.49570421870777</v>
      </c>
      <c r="Q131" s="57">
        <f>169.891483067059*Deflactores!$N$5</f>
        <v>344.02131559906559</v>
      </c>
      <c r="R131" s="57">
        <f>184.660942707571*Deflactores!$O$5</f>
        <v>360.72611844761337</v>
      </c>
      <c r="S131" s="57">
        <f>231.280426054616*Deflactores!$P$5</f>
        <v>423.14788673086815</v>
      </c>
      <c r="T131" s="57">
        <f>236.443298020056*Deflactores!$Q$5</f>
        <v>409.07216567709395</v>
      </c>
      <c r="U131" s="57">
        <f>268.70336574514*Deflactores!$R$5</f>
        <v>446.61881958163747</v>
      </c>
      <c r="V131" s="57">
        <f>240.04557480974*Deflactores!$S$5</f>
        <v>386.68924545653749</v>
      </c>
    </row>
    <row r="132" spans="3:22" x14ac:dyDescent="0.2">
      <c r="C132" s="87" t="s">
        <v>125</v>
      </c>
      <c r="D132" s="56">
        <f>22.3760689816*Deflactores!$A$5</f>
        <v>83.322058380258383</v>
      </c>
      <c r="E132" s="56">
        <f>34.4481051749799*Deflactores!$B$5</f>
        <v>119.16105633019849</v>
      </c>
      <c r="F132" s="56">
        <f>24.7174111176699*Deflactores!$C$5</f>
        <v>79.913716590738943</v>
      </c>
      <c r="G132" s="56">
        <f>12.22815740684*Deflactores!$D$5</f>
        <v>37.12487394848042</v>
      </c>
      <c r="H132" s="56">
        <f>36.23429495413*Deflactores!$E$5</f>
        <v>104.27585111405085</v>
      </c>
      <c r="I132" s="56">
        <f>37.50168702346*Deflactores!$F$5</f>
        <v>102.92595454207803</v>
      </c>
      <c r="J132" s="56">
        <f>38.2569486918*Deflactores!$G$5</f>
        <v>100.49854892128296</v>
      </c>
      <c r="K132" s="56">
        <f>107.22378086097*Deflactores!$H$5</f>
        <v>266.4945613410394</v>
      </c>
      <c r="L132" s="56">
        <f>172.059847420899*Deflactores!$I$5</f>
        <v>397.15901213442714</v>
      </c>
      <c r="M132" s="56">
        <f>174.16763726217*Deflactores!$J$5</f>
        <v>394.13452449332078</v>
      </c>
      <c r="N132" s="56">
        <f>310.11040079419*Deflactores!$K$5</f>
        <v>680.19709907646757</v>
      </c>
      <c r="O132" s="56">
        <f>351.51111180104*Deflactores!$L$5</f>
        <v>743.30491091304327</v>
      </c>
      <c r="P132" s="56">
        <f>374.33902296769*Deflactores!$M$5</f>
        <v>772.72235483945371</v>
      </c>
      <c r="Q132" s="56">
        <f>398.39529388994*Deflactores!$N$5</f>
        <v>806.7295114399293</v>
      </c>
      <c r="R132" s="56">
        <f>336.17126917952*Deflactores!$O$5</f>
        <v>656.6941297206115</v>
      </c>
      <c r="S132" s="56">
        <f>328.274931341819*Deflactores!$P$5</f>
        <v>600.60786739993625</v>
      </c>
      <c r="T132" s="56">
        <f>281.088120646199*Deflactores!$Q$5</f>
        <v>486.31247839002572</v>
      </c>
      <c r="U132" s="56">
        <f>356.684413090219*Deflactores!$R$5</f>
        <v>592.85439576003535</v>
      </c>
      <c r="V132" s="56">
        <f>247.07504864002*Deflactores!$S$5</f>
        <v>398.01301984205537</v>
      </c>
    </row>
    <row r="133" spans="3:22" x14ac:dyDescent="0.2">
      <c r="C133" s="88" t="s">
        <v>126</v>
      </c>
      <c r="D133" s="57">
        <f>53.24243859357*Deflactores!$A$5</f>
        <v>198.25955937339742</v>
      </c>
      <c r="E133" s="57">
        <f>67.7599987169*Deflactores!$B$5</f>
        <v>234.3917897087473</v>
      </c>
      <c r="F133" s="57">
        <f>45.3434680132099*Deflactores!$C$5</f>
        <v>146.59969989569379</v>
      </c>
      <c r="G133" s="57">
        <f>25.75932846141*Deflactores!$D$5</f>
        <v>78.205717370993554</v>
      </c>
      <c r="H133" s="57">
        <f>14.07881189925*Deflactores!$E$5</f>
        <v>40.516314594430604</v>
      </c>
      <c r="I133" s="57">
        <f>16.36594000554*Deflactores!$F$5</f>
        <v>44.917445873696913</v>
      </c>
      <c r="J133" s="57">
        <f>28.45390370256*Deflactores!$G$5</f>
        <v>74.746578884011285</v>
      </c>
      <c r="K133" s="57">
        <f>80.1799888930199*Deflactores!$H$5</f>
        <v>199.27977540803766</v>
      </c>
      <c r="L133" s="57">
        <f>68.0964490781*Deflactores!$I$5</f>
        <v>157.18436841084588</v>
      </c>
      <c r="M133" s="57">
        <f>161.22756615091*Deflactores!$J$5</f>
        <v>364.85165165587671</v>
      </c>
      <c r="N133" s="57">
        <f>196.947816135099*Deflactores!$K$5</f>
        <v>431.98594068906084</v>
      </c>
      <c r="O133" s="57">
        <f>190.46371623978*Deflactores!$L$5</f>
        <v>402.75431097014319</v>
      </c>
      <c r="P133" s="57">
        <f>269.75182525852*Deflactores!$M$5</f>
        <v>556.83018025613524</v>
      </c>
      <c r="Q133" s="57">
        <f>340.227922619699*Deflactores!$N$5</f>
        <v>688.94364467326511</v>
      </c>
      <c r="R133" s="57">
        <f>265.280484673829*Deflactores!$O$5</f>
        <v>518.21244998100258</v>
      </c>
      <c r="S133" s="57">
        <f>296.32573987144*Deflactores!$P$5</f>
        <v>542.15401082385813</v>
      </c>
      <c r="T133" s="57">
        <f>283.24741470155*Deflactores!$Q$5</f>
        <v>490.04828779106521</v>
      </c>
      <c r="U133" s="57">
        <f>344.67392163169*Deflactores!$R$5</f>
        <v>572.8914470156891</v>
      </c>
      <c r="V133" s="57">
        <f>176.62144535663*Deflactores!$S$5</f>
        <v>284.51936050281694</v>
      </c>
    </row>
    <row r="134" spans="3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7.4222326*Deflactores!$D$5</f>
        <v>22.534012322835284</v>
      </c>
      <c r="H134" s="56">
        <f>0*Deflactores!$E$5</f>
        <v>0</v>
      </c>
      <c r="I134" s="56">
        <f>4.468227078*Deflactores!$F$5</f>
        <v>12.26335596119214</v>
      </c>
      <c r="J134" s="56">
        <f>37.905725492*Deflactores!$G$5</f>
        <v>99.575908116556292</v>
      </c>
      <c r="K134" s="56">
        <f>12.99541459514*Deflactores!$H$5</f>
        <v>32.29887329255147</v>
      </c>
      <c r="L134" s="56">
        <f>13.60924860814*Deflactores!$I$5</f>
        <v>31.413695955911884</v>
      </c>
      <c r="M134" s="56">
        <f>10.39842512527*Deflactores!$J$5</f>
        <v>23.531227767983726</v>
      </c>
      <c r="N134" s="56">
        <f>26.66466349089*Deflactores!$K$5</f>
        <v>58.48635423998774</v>
      </c>
      <c r="O134" s="56">
        <f>13.969757142*Deflactores!$L$5</f>
        <v>29.540429133826429</v>
      </c>
      <c r="P134" s="56">
        <f>5.50236868371*Deflactores!$M$5</f>
        <v>11.358162055250752</v>
      </c>
      <c r="Q134" s="56">
        <f>36.250531477*Deflactores!$N$5</f>
        <v>73.405419181374654</v>
      </c>
      <c r="R134" s="56">
        <f>50.0090147194*Deflactores!$O$5</f>
        <v>97.690163943797046</v>
      </c>
      <c r="S134" s="56">
        <f>52.21069267632*Deflactores!$P$5</f>
        <v>95.524055570195472</v>
      </c>
      <c r="T134" s="56">
        <f>62.44311337586*Deflactores!$Q$5</f>
        <v>108.03325716644609</v>
      </c>
      <c r="U134" s="56">
        <f>64.75029318367*Deflactores!$R$5</f>
        <v>107.62313835951156</v>
      </c>
      <c r="V134" s="56">
        <f>47.1439929030099*Deflactores!$S$5</f>
        <v>75.944224582862674</v>
      </c>
    </row>
    <row r="135" spans="3:22" x14ac:dyDescent="0.2">
      <c r="C135" s="88" t="s">
        <v>128</v>
      </c>
      <c r="D135" s="57">
        <f>10.81033053774*Deflactores!$A$5</f>
        <v>40.254568079681306</v>
      </c>
      <c r="E135" s="57">
        <f>16.33027567655*Deflactores!$B$5</f>
        <v>56.488822531649745</v>
      </c>
      <c r="F135" s="57">
        <f>9.56217100551*Deflactores!$C$5</f>
        <v>30.91539886959421</v>
      </c>
      <c r="G135" s="57">
        <f>8.85966617445*Deflactores!$D$5</f>
        <v>26.898082761683224</v>
      </c>
      <c r="H135" s="57">
        <f>23.9751768125299*Deflactores!$E$5</f>
        <v>68.996291245663031</v>
      </c>
      <c r="I135" s="57">
        <f>27.54740621182*Deflactores!$F$5</f>
        <v>75.605747489072485</v>
      </c>
      <c r="J135" s="57">
        <f>41.98571098829*Deflactores!$G$5</f>
        <v>110.29376816598861</v>
      </c>
      <c r="K135" s="57">
        <f>48.8601640135099*Deflactores!$H$5</f>
        <v>121.43731429052097</v>
      </c>
      <c r="L135" s="57">
        <f>66.02130261582*Deflactores!$I$5</f>
        <v>152.39438904408942</v>
      </c>
      <c r="M135" s="57">
        <f>74.20576713338*Deflactores!$J$5</f>
        <v>167.92473735951296</v>
      </c>
      <c r="N135" s="57">
        <f>88.33363912274*Deflactores!$K$5</f>
        <v>193.75127350866009</v>
      </c>
      <c r="O135" s="57">
        <f>99.35858038635*Deflactores!$L$5</f>
        <v>210.10351668292219</v>
      </c>
      <c r="P135" s="57">
        <f>178.169738125579*Deflactores!$M$5</f>
        <v>367.78356291593269</v>
      </c>
      <c r="Q135" s="57">
        <f>184.03218067343*Deflactores!$N$5</f>
        <v>372.65548434142761</v>
      </c>
      <c r="R135" s="57">
        <f>185.030510433559*Deflactores!$O$5</f>
        <v>361.44805092204177</v>
      </c>
      <c r="S135" s="57">
        <f>215.144885750789*Deflactores!$P$5</f>
        <v>393.62649619515201</v>
      </c>
      <c r="T135" s="57">
        <f>166.25990999328*Deflactores!$Q$5</f>
        <v>287.64740644270961</v>
      </c>
      <c r="U135" s="57">
        <f>162.92680751657*Deflactores!$R$5</f>
        <v>270.804864127651</v>
      </c>
      <c r="V135" s="57">
        <f>114.45080612089*Deflactores!$S$5</f>
        <v>184.3687220472921</v>
      </c>
    </row>
    <row r="136" spans="3:22" x14ac:dyDescent="0.2">
      <c r="C136" s="87" t="s">
        <v>129</v>
      </c>
      <c r="D136" s="56">
        <f>374.780201278269*Deflactores!$A$5</f>
        <v>1395.5738980046708</v>
      </c>
      <c r="E136" s="56">
        <f>486.1584655014*Deflactores!$B$5</f>
        <v>1681.6935503056732</v>
      </c>
      <c r="F136" s="56">
        <f>594.142404962609*Deflactores!$C$5</f>
        <v>1920.9183169988034</v>
      </c>
      <c r="G136" s="56">
        <f>489.906165050439*Deflactores!$D$5</f>
        <v>1487.3626515395877</v>
      </c>
      <c r="H136" s="56">
        <f>488.87610196832*Deflactores!$E$5</f>
        <v>1406.8984007167935</v>
      </c>
      <c r="I136" s="56">
        <f>443.46374567396*Deflactores!$F$5</f>
        <v>1217.11669397017</v>
      </c>
      <c r="J136" s="56">
        <f>780.094188589369*Deflactores!$G$5</f>
        <v>2049.2573677722798</v>
      </c>
      <c r="K136" s="56">
        <f>1051.38409716063*Deflactores!$H$5</f>
        <v>2613.1156868742423</v>
      </c>
      <c r="L136" s="56">
        <f>3178.24698326772*Deflactores!$I$5</f>
        <v>7336.2231288397115</v>
      </c>
      <c r="M136" s="56">
        <f>2692.66550749357*Deflactores!$J$5</f>
        <v>6093.3963168946193</v>
      </c>
      <c r="N136" s="56">
        <f>1654.59335431806*Deflactores!$K$5</f>
        <v>3629.1901106060282</v>
      </c>
      <c r="O136" s="56">
        <f>1221.70833427074*Deflactores!$L$5</f>
        <v>2583.4227541598534</v>
      </c>
      <c r="P136" s="56">
        <f>1728.4208645898*Deflactores!$M$5</f>
        <v>3567.8605720856203</v>
      </c>
      <c r="Q136" s="56">
        <f>2611.96601479736*Deflactores!$N$5</f>
        <v>5289.0937702624851</v>
      </c>
      <c r="R136" s="56">
        <f>1954.77701016862*Deflactores!$O$5</f>
        <v>3818.5612667721252</v>
      </c>
      <c r="S136" s="56">
        <f>1297.93957147016*Deflactores!$P$5</f>
        <v>2374.6946343062796</v>
      </c>
      <c r="T136" s="56">
        <f>919.92657398606*Deflactores!$Q$5</f>
        <v>1591.5712521167186</v>
      </c>
      <c r="U136" s="56">
        <f>870.369440705935*Deflactores!$R$5</f>
        <v>1446.6635768779738</v>
      </c>
      <c r="V136" s="56">
        <f>572.697959538358*Deflactores!$S$5</f>
        <v>922.55873503984526</v>
      </c>
    </row>
    <row r="137" spans="3:22" x14ac:dyDescent="0.2">
      <c r="C137" s="88" t="s">
        <v>130</v>
      </c>
      <c r="D137" s="57">
        <f>27.695599534*Deflactores!$A$5</f>
        <v>103.13046331533056</v>
      </c>
      <c r="E137" s="57">
        <f>45.9626122644199*Deflactores!$B$5</f>
        <v>158.99142786818922</v>
      </c>
      <c r="F137" s="57">
        <f>17.7510424217999*Deflactores!$C$5</f>
        <v>57.390790909805759</v>
      </c>
      <c r="G137" s="57">
        <f>18.94644900922*Deflactores!$D$5</f>
        <v>57.521710576374801</v>
      </c>
      <c r="H137" s="57">
        <f>65.29733279061*Deflactores!$E$5</f>
        <v>187.91410073903464</v>
      </c>
      <c r="I137" s="57">
        <f>55.02314283727*Deflactores!$F$5</f>
        <v>151.01479287820601</v>
      </c>
      <c r="J137" s="57">
        <f>85.7099960436*Deflactores!$G$5</f>
        <v>225.15465882612253</v>
      </c>
      <c r="K137" s="57">
        <f>68.90876094461*Deflactores!$H$5</f>
        <v>171.26620487575914</v>
      </c>
      <c r="L137" s="57">
        <f>134.61671082754*Deflactores!$I$5</f>
        <v>310.73048529599987</v>
      </c>
      <c r="M137" s="57">
        <f>109.875524249819*Deflactores!$J$5</f>
        <v>248.64399715355702</v>
      </c>
      <c r="N137" s="57">
        <f>111.83176094635*Deflactores!$K$5</f>
        <v>245.29212559627706</v>
      </c>
      <c r="O137" s="57">
        <f>137.59055559581*Deflactores!$L$5</f>
        <v>290.9487985902046</v>
      </c>
      <c r="P137" s="57">
        <f>264.16768379326*Deflactores!$M$5</f>
        <v>545.30322025986266</v>
      </c>
      <c r="Q137" s="57">
        <f>321.37163963124*Deflactores!$N$5</f>
        <v>650.7606636085967</v>
      </c>
      <c r="R137" s="57">
        <f>290.49069110278*Deflactores!$O$5</f>
        <v>567.45935502242094</v>
      </c>
      <c r="S137" s="57">
        <f>350.12694987756*Deflactores!$P$5</f>
        <v>640.58805777721864</v>
      </c>
      <c r="T137" s="57">
        <f>227.25612097164*Deflactores!$Q$5</f>
        <v>393.17736788360509</v>
      </c>
      <c r="U137" s="57">
        <f>416.07362905724*Deflactores!$R$5</f>
        <v>691.56674890647002</v>
      </c>
      <c r="V137" s="57">
        <f>366.45051589856*Deflactores!$S$5</f>
        <v>590.31487500774119</v>
      </c>
    </row>
    <row r="138" spans="3:22" x14ac:dyDescent="0.2">
      <c r="C138" s="87" t="s">
        <v>131</v>
      </c>
      <c r="D138" s="56">
        <f>169.188048669849*Deflactores!$A$5</f>
        <v>630.00773192571478</v>
      </c>
      <c r="E138" s="56">
        <f>139.11346896152*Deflactores!$B$5</f>
        <v>481.21392532362057</v>
      </c>
      <c r="F138" s="56">
        <f>196.42927268097*Deflactores!$C$5</f>
        <v>635.0743268549802</v>
      </c>
      <c r="G138" s="56">
        <f>205.01550600608*Deflactores!$D$5</f>
        <v>622.43022924306058</v>
      </c>
      <c r="H138" s="56">
        <f>230.76454297012*Deflactores!$E$5</f>
        <v>664.0992782008442</v>
      </c>
      <c r="I138" s="56">
        <f>332.8362102315*Deflactores!$F$5</f>
        <v>913.49182832266649</v>
      </c>
      <c r="J138" s="56">
        <f>327.58081383208*Deflactores!$G$5</f>
        <v>860.53377413325597</v>
      </c>
      <c r="K138" s="56">
        <f>588.49145276112*Deflactores!$H$5</f>
        <v>1462.6398201708303</v>
      </c>
      <c r="L138" s="56">
        <f>747.77543992495*Deflactores!$I$5</f>
        <v>1726.0607833301315</v>
      </c>
      <c r="M138" s="56">
        <f>847.0796552275*Deflactores!$J$5</f>
        <v>1916.9079994953429</v>
      </c>
      <c r="N138" s="56">
        <f>872.891935211169*Deflactores!$K$5</f>
        <v>1914.603833400369</v>
      </c>
      <c r="O138" s="56">
        <f>823.59137679668*Deflactores!$L$5</f>
        <v>1741.5651864374311</v>
      </c>
      <c r="P138" s="56">
        <f>939.444264046669*Deflactores!$M$5</f>
        <v>1939.2303217535941</v>
      </c>
      <c r="Q138" s="56">
        <f>1452.86796654884*Deflactores!$N$5</f>
        <v>2941.9812001204609</v>
      </c>
      <c r="R138" s="56">
        <f>1828.69422446178*Deflactores!$O$5</f>
        <v>3572.2647125348012</v>
      </c>
      <c r="S138" s="56">
        <f>2404.93892024993*Deflactores!$P$5</f>
        <v>4400.0473329302013</v>
      </c>
      <c r="T138" s="56">
        <f>2540.95208699506*Deflactores!$Q$5</f>
        <v>4396.1185697072806</v>
      </c>
      <c r="U138" s="56">
        <f>3215.79767578864*Deflactores!$R$5</f>
        <v>5345.0605577316728</v>
      </c>
      <c r="V138" s="56">
        <f>3216.79805199394*Deflactores!$S$5</f>
        <v>5181.9376903636394</v>
      </c>
    </row>
    <row r="139" spans="3:22" x14ac:dyDescent="0.2">
      <c r="C139" s="88" t="s">
        <v>132</v>
      </c>
      <c r="D139" s="57">
        <f>10.71460767639*Deflactores!$A$5</f>
        <v>39.898123618936715</v>
      </c>
      <c r="E139" s="57">
        <f>13.4776209981599*Deflactores!$B$5</f>
        <v>46.621070935572433</v>
      </c>
      <c r="F139" s="57">
        <f>13.7587882372099*Deflactores!$C$5</f>
        <v>44.483457372862418</v>
      </c>
      <c r="G139" s="57">
        <f>4.77014016313*Deflactores!$D$5</f>
        <v>14.482218896996427</v>
      </c>
      <c r="H139" s="57">
        <f>8.00518310248*Deflactores!$E$5</f>
        <v>23.037492033214665</v>
      </c>
      <c r="I139" s="57">
        <f>7.40048757974*Deflactores!$F$5</f>
        <v>20.311146209103413</v>
      </c>
      <c r="J139" s="57">
        <f>13.73105068396*Deflactores!$G$5</f>
        <v>36.07058890188879</v>
      </c>
      <c r="K139" s="57">
        <f>18.82257105827*Deflactores!$H$5</f>
        <v>46.781719290315557</v>
      </c>
      <c r="L139" s="57">
        <f>26.45965187497*Deflactores!$I$5</f>
        <v>61.075778908353875</v>
      </c>
      <c r="M139" s="57">
        <f>54.8975614129099*Deflactores!$J$5</f>
        <v>124.23102594399023</v>
      </c>
      <c r="N139" s="57">
        <f>55.12108273146*Deflactores!$K$5</f>
        <v>120.90275100697463</v>
      </c>
      <c r="O139" s="57">
        <f>56.6895695242899*Deflactores!$L$5</f>
        <v>119.87568532058681</v>
      </c>
      <c r="P139" s="57">
        <f>80.1373566613899*Deflactores!$M$5</f>
        <v>165.42204566084783</v>
      </c>
      <c r="Q139" s="57">
        <f>102.67366818914*Deflactores!$N$5</f>
        <v>207.90877665049118</v>
      </c>
      <c r="R139" s="57">
        <f>104.075041159179*Deflactores!$O$5</f>
        <v>203.30550182492388</v>
      </c>
      <c r="S139" s="57">
        <f>129.36235917998*Deflactores!$P$5</f>
        <v>236.67981697941681</v>
      </c>
      <c r="T139" s="57">
        <f>194.748476017*Deflactores!$Q$5</f>
        <v>336.93566920145992</v>
      </c>
      <c r="U139" s="57">
        <f>255.078204177249*Deflactores!$R$5</f>
        <v>423.97208585284483</v>
      </c>
      <c r="V139" s="57">
        <f>339.458929162989*Deflactores!$S$5</f>
        <v>546.83414716376717</v>
      </c>
    </row>
    <row r="140" spans="3:22" x14ac:dyDescent="0.2">
      <c r="C140" s="87" t="s">
        <v>133</v>
      </c>
      <c r="D140" s="56">
        <f>18.9942303141999*Deflactores!$A$5</f>
        <v>70.72906185752521</v>
      </c>
      <c r="E140" s="56">
        <f>24.84059606474*Deflactores!$B$5</f>
        <v>85.927270945982229</v>
      </c>
      <c r="F140" s="56">
        <f>9.08884023026*Deflactores!$C$5</f>
        <v>29.385075922464743</v>
      </c>
      <c r="G140" s="56">
        <f>18.127861628*Deflactores!$D$5</f>
        <v>55.036466697635554</v>
      </c>
      <c r="H140" s="56">
        <f>27.88430015412*Deflactores!$E$5</f>
        <v>80.246052392392599</v>
      </c>
      <c r="I140" s="56">
        <f>33.70649794642*Deflactores!$F$5</f>
        <v>92.509797578855355</v>
      </c>
      <c r="J140" s="56">
        <f>28.05706183419*Deflactores!$G$5</f>
        <v>73.704100764710972</v>
      </c>
      <c r="K140" s="56">
        <f>64.56180970379*Deflactores!$H$5</f>
        <v>160.46226889447453</v>
      </c>
      <c r="L140" s="56">
        <f>66.9291484721199*Deflactores!$I$5</f>
        <v>154.4899341050843</v>
      </c>
      <c r="M140" s="56">
        <f>65.28756853026*Deflactores!$J$5</f>
        <v>147.74320409058134</v>
      </c>
      <c r="N140" s="56">
        <f>47.77773096756*Deflactores!$K$5</f>
        <v>104.79582084755116</v>
      </c>
      <c r="O140" s="56">
        <f>77.95589247418*Deflactores!$L$5</f>
        <v>164.8454224214249</v>
      </c>
      <c r="P140" s="56">
        <f>86.19673746862*Deflactores!$M$5</f>
        <v>177.93000961585329</v>
      </c>
      <c r="Q140" s="56">
        <f>107.75934030461*Deflactores!$N$5</f>
        <v>218.20699513845909</v>
      </c>
      <c r="R140" s="56">
        <f>106.336095625098*Deflactores!$O$5</f>
        <v>207.72236111921015</v>
      </c>
      <c r="S140" s="56">
        <f>97.02218605889*Deflactores!$P$5</f>
        <v>177.51062507612937</v>
      </c>
      <c r="T140" s="56">
        <f>121.89319768445*Deflactores!$Q$5</f>
        <v>210.88825429027185</v>
      </c>
      <c r="U140" s="56">
        <f>145.77749863347*Deflactores!$R$5</f>
        <v>242.30055392382715</v>
      </c>
      <c r="V140" s="56">
        <f>91.74052183514*Deflactores!$S$5</f>
        <v>147.78474126980601</v>
      </c>
    </row>
    <row r="141" spans="3:22" x14ac:dyDescent="0.2">
      <c r="C141" s="88" t="s">
        <v>134</v>
      </c>
      <c r="D141" s="57">
        <f>801.46593205672*Deflactores!$A$5</f>
        <v>2984.4290896462521</v>
      </c>
      <c r="E141" s="57">
        <f>1559.82854455736*Deflactores!$B$5</f>
        <v>5395.6760791142569</v>
      </c>
      <c r="F141" s="57">
        <f>809.87538221251*Deflactores!$C$5</f>
        <v>2618.4033376246257</v>
      </c>
      <c r="G141" s="57">
        <f>1103.3633023722*Deflactores!$D$5</f>
        <v>3349.8279550305911</v>
      </c>
      <c r="H141" s="57">
        <f>890.26765944766*Deflactores!$E$5</f>
        <v>2562.0318547867187</v>
      </c>
      <c r="I141" s="57">
        <f>1174.51310616847*Deflactores!$F$5</f>
        <v>3223.5318506857234</v>
      </c>
      <c r="J141" s="57">
        <f>291.993925303829*Deflactores!$G$5</f>
        <v>767.04930189986908</v>
      </c>
      <c r="K141" s="57">
        <f>765.099038578859*Deflactores!$H$5</f>
        <v>1901.5812633290825</v>
      </c>
      <c r="L141" s="57">
        <f>833.782151987589*Deflactores!$I$5</f>
        <v>1924.5867108591062</v>
      </c>
      <c r="M141" s="57">
        <f>939.48507055268*Deflactores!$J$5</f>
        <v>2126.0178261101196</v>
      </c>
      <c r="N141" s="57">
        <f>790.9529417306*Deflactores!$K$5</f>
        <v>1734.8785951497568</v>
      </c>
      <c r="O141" s="57">
        <f>1259.04466016327*Deflactores!$L$5</f>
        <v>2662.3740972601408</v>
      </c>
      <c r="P141" s="57">
        <f>2021.72160811752*Deflactores!$M$5</f>
        <v>4173.3011682012548</v>
      </c>
      <c r="Q141" s="57">
        <f>1814.92079018698*Deflactores!$N$5</f>
        <v>3675.1191211967389</v>
      </c>
      <c r="R141" s="57">
        <f>1015.41085541104*Deflactores!$O$5</f>
        <v>1983.5554347951334</v>
      </c>
      <c r="S141" s="57">
        <f>1110.37882274774*Deflactores!$P$5</f>
        <v>2031.5357435629296</v>
      </c>
      <c r="T141" s="57">
        <f>526.79344931591*Deflactores!$Q$5</f>
        <v>911.40894658763614</v>
      </c>
      <c r="U141" s="57">
        <f>810.35270506719*Deflactores!$R$5</f>
        <v>1346.9082070418433</v>
      </c>
      <c r="V141" s="57">
        <f>739.679385667829*Deflactores!$S$5</f>
        <v>1191.5489954370212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817.00175736841*Deflactores!$A$5</f>
        <v>3042.2800439256025</v>
      </c>
      <c r="E143" s="57">
        <f>877.317112734489*Deflactores!$B$5</f>
        <v>3034.7687734630977</v>
      </c>
      <c r="F143" s="57">
        <f>857.16431398532*Deflactores!$C$5</f>
        <v>2771.2929049656641</v>
      </c>
      <c r="G143" s="57">
        <f>928.74532389988*Deflactores!$D$5</f>
        <v>2819.685086874742</v>
      </c>
      <c r="H143" s="57">
        <f>1078.94435076419*Deflactores!$E$5</f>
        <v>3105.0097876351597</v>
      </c>
      <c r="I143" s="57">
        <f>1311.52550112266*Deflactores!$F$5</f>
        <v>3599.5717745945949</v>
      </c>
      <c r="J143" s="57">
        <f>2123.84716704215*Deflactores!$G$5</f>
        <v>5579.2102014676166</v>
      </c>
      <c r="K143" s="57">
        <f>3287.63952890138*Deflactores!$H$5</f>
        <v>8171.1169580754213</v>
      </c>
      <c r="L143" s="57">
        <f>4135.68846171922*Deflactores!$I$5</f>
        <v>9546.2478234921837</v>
      </c>
      <c r="M143" s="57">
        <f>4964.55824101403*Deflactores!$J$5</f>
        <v>11234.600367782945</v>
      </c>
      <c r="N143" s="57">
        <f>5022.27878588627*Deflactores!$K$5</f>
        <v>11015.881609144426</v>
      </c>
      <c r="O143" s="57">
        <f>5129.14889700087*Deflactores!$L$5</f>
        <v>10846.091164545902</v>
      </c>
      <c r="P143" s="57">
        <f>6589.98532507785*Deflactores!$M$5</f>
        <v>13603.254446681396</v>
      </c>
      <c r="Q143" s="57">
        <f>7572.82294810456*Deflactores!$N$5</f>
        <v>15334.568080598863</v>
      </c>
      <c r="R143" s="57">
        <f>7946.36494688745*Deflactores!$O$5</f>
        <v>15522.835208299637</v>
      </c>
      <c r="S143" s="57">
        <f>9264.28027735149*Deflactores!$P$5</f>
        <v>16949.815807231407</v>
      </c>
      <c r="T143" s="57">
        <f>8514.94929041735*Deflactores!$Q$5</f>
        <v>14731.771955600954</v>
      </c>
      <c r="U143" s="57">
        <f>9806.64375952104*Deflactores!$R$5</f>
        <v>16299.876437309327</v>
      </c>
      <c r="V143" s="57">
        <f>9038.05083604682*Deflactores!$S$5</f>
        <v>14559.389653230815</v>
      </c>
    </row>
    <row r="144" spans="3:22" x14ac:dyDescent="0.2">
      <c r="C144" s="87" t="s">
        <v>137</v>
      </c>
      <c r="D144" s="56">
        <f>24.36744170196*Deflactores!$A$5</f>
        <v>90.737358815698215</v>
      </c>
      <c r="E144" s="56">
        <f>26.42519348584*Deflactores!$B$5</f>
        <v>91.408626207679703</v>
      </c>
      <c r="F144" s="56">
        <f>30.22770868621*Deflactores!$C$5</f>
        <v>97.729027268974036</v>
      </c>
      <c r="G144" s="56">
        <f>22.88263410236*Deflactores!$D$5</f>
        <v>69.47202905518094</v>
      </c>
      <c r="H144" s="56">
        <f>45.4067096615799*Deflactores!$E$5</f>
        <v>130.67242793722866</v>
      </c>
      <c r="I144" s="56">
        <f>137.53648224792*Deflactores!$F$5</f>
        <v>377.4783174653208</v>
      </c>
      <c r="J144" s="56">
        <f>70.83701341901*Deflactores!$G$5</f>
        <v>186.08428800422985</v>
      </c>
      <c r="K144" s="56">
        <f>95.87794444704*Deflactores!$H$5</f>
        <v>238.29555852749402</v>
      </c>
      <c r="L144" s="56">
        <f>120.604147199779*Deflactores!$I$5</f>
        <v>278.38583306427648</v>
      </c>
      <c r="M144" s="56">
        <f>110.95893645974*Deflactores!$J$5</f>
        <v>251.0957164448092</v>
      </c>
      <c r="N144" s="56">
        <f>131.72810381729*Deflactores!$K$5</f>
        <v>288.93282474208166</v>
      </c>
      <c r="O144" s="56">
        <f>159.51962882887*Deflactores!$L$5</f>
        <v>337.3199865233226</v>
      </c>
      <c r="P144" s="56">
        <f>185.62468888608*Deflactores!$M$5</f>
        <v>383.17230614979991</v>
      </c>
      <c r="Q144" s="56">
        <f>229.75940640711*Deflactores!$N$5</f>
        <v>465.25071084484625</v>
      </c>
      <c r="R144" s="56">
        <f>442.145904402699*Deflactores!$O$5</f>
        <v>863.71039562637293</v>
      </c>
      <c r="S144" s="56">
        <f>233.386044956109*Deflactores!$P$5</f>
        <v>427.00030175632708</v>
      </c>
      <c r="T144" s="56">
        <f>183.21774493076*Deflactores!$Q$5</f>
        <v>316.98627255208527</v>
      </c>
      <c r="U144" s="56">
        <f>220.72471494984*Deflactores!$R$5</f>
        <v>366.87226216917588</v>
      </c>
      <c r="V144" s="56">
        <f>424.446039833209*Deflactores!$S$5</f>
        <v>683.7398231990212</v>
      </c>
    </row>
    <row r="145" spans="3:22" x14ac:dyDescent="0.2">
      <c r="C145" s="88" t="s">
        <v>138</v>
      </c>
      <c r="D145" s="57">
        <f>7.52295500662999*Deflactores!$A$5</f>
        <v>28.013325163143104</v>
      </c>
      <c r="E145" s="57">
        <f>20.17112825247*Deflactores!$B$5</f>
        <v>69.774895824517245</v>
      </c>
      <c r="F145" s="57">
        <f>4.38859275891*Deflactores!$C$5</f>
        <v>14.188733451821308</v>
      </c>
      <c r="G145" s="57">
        <f>2.28970573560999*Deflactores!$D$5</f>
        <v>6.9515818275355779</v>
      </c>
      <c r="H145" s="57">
        <f>7.12534524595*Deflactores!$E$5</f>
        <v>20.505475294702944</v>
      </c>
      <c r="I145" s="57">
        <f>3.16276031088*Deflactores!$F$5</f>
        <v>8.6804127980024202</v>
      </c>
      <c r="J145" s="57">
        <f>2.11638848706*Deflactores!$G$5</f>
        <v>5.5596167278450075</v>
      </c>
      <c r="K145" s="57">
        <f>30.79647868335*Deflactores!$H$5</f>
        <v>76.54173366829535</v>
      </c>
      <c r="L145" s="57">
        <f>71.2173298511699*Deflactores!$I$5</f>
        <v>164.38817536174764</v>
      </c>
      <c r="M145" s="57">
        <f>25.2180316322599*Deflactores!$J$5</f>
        <v>57.067415406668893</v>
      </c>
      <c r="N145" s="57">
        <f>23.2431248755599*Deflactores!$K$5</f>
        <v>50.981541003909882</v>
      </c>
      <c r="O145" s="57">
        <f>20.1905176041299*Deflactores!$L$5</f>
        <v>42.694840604414729</v>
      </c>
      <c r="P145" s="57">
        <f>61.56805910132*Deflactores!$M$5</f>
        <v>127.09071908800956</v>
      </c>
      <c r="Q145" s="57">
        <f>35.68837414953*Deflactores!$N$5</f>
        <v>72.267080167090157</v>
      </c>
      <c r="R145" s="57">
        <f>16.94319640491*Deflactores!$O$5</f>
        <v>33.097705360020122</v>
      </c>
      <c r="S145" s="57">
        <f>15.94781464683*Deflactores!$P$5</f>
        <v>29.177929930776415</v>
      </c>
      <c r="T145" s="57">
        <f>10.34211277051*Deflactores!$Q$5</f>
        <v>17.892959978719276</v>
      </c>
      <c r="U145" s="57">
        <f>7.8715181802*Deflactores!$R$5</f>
        <v>13.083454121266096</v>
      </c>
      <c r="V145" s="57">
        <f>6.81710210028*Deflactores!$S$5</f>
        <v>10.981664916950965</v>
      </c>
    </row>
    <row r="146" spans="3:22" x14ac:dyDescent="0.2">
      <c r="C146" s="87" t="s">
        <v>139</v>
      </c>
      <c r="D146" s="56">
        <f>113.282107713959*Deflactores!$A$5</f>
        <v>421.83005424871021</v>
      </c>
      <c r="E146" s="56">
        <f>123.5719322651*Deflactores!$B$5</f>
        <v>427.45346679236172</v>
      </c>
      <c r="F146" s="56">
        <f>101.83389389402*Deflactores!$C$5</f>
        <v>329.23856374911696</v>
      </c>
      <c r="G146" s="56">
        <f>90.38338924063*Deflactores!$D$5</f>
        <v>274.40535977381984</v>
      </c>
      <c r="H146" s="56">
        <f>122.97180658007*Deflactores!$E$5</f>
        <v>353.89097015416519</v>
      </c>
      <c r="I146" s="56">
        <f>143.79416348421*Deflactores!$F$5</f>
        <v>394.65295321070158</v>
      </c>
      <c r="J146" s="56">
        <f>225.996687735199*Deflactores!$G$5</f>
        <v>593.67879444269352</v>
      </c>
      <c r="K146" s="56">
        <f>394.79532147188*Deflactores!$H$5</f>
        <v>981.22641423699861</v>
      </c>
      <c r="L146" s="56">
        <f>644.72682019834*Deflactores!$I$5</f>
        <v>1488.1976872858793</v>
      </c>
      <c r="M146" s="56">
        <f>644.77386761342*Deflactores!$J$5</f>
        <v>1459.0979455902186</v>
      </c>
      <c r="N146" s="56">
        <f>379.485892584169*Deflactores!$K$5</f>
        <v>832.36551439467803</v>
      </c>
      <c r="O146" s="56">
        <f>3871.01836837401*Deflactores!$L$5</f>
        <v>8185.6500885685082</v>
      </c>
      <c r="P146" s="56">
        <f>314.057097133329*Deflactores!$M$5</f>
        <v>648.28651238921236</v>
      </c>
      <c r="Q146" s="56">
        <f>590.26395046095*Deflactores!$N$5</f>
        <v>1195.2534472144505</v>
      </c>
      <c r="R146" s="56">
        <f>597.90107394488*Deflactores!$O$5</f>
        <v>1167.970500190419</v>
      </c>
      <c r="S146" s="56">
        <f>653.66416680226*Deflactores!$P$5</f>
        <v>1195.9361003111987</v>
      </c>
      <c r="T146" s="56">
        <f>680.13159640313*Deflactores!$Q$5</f>
        <v>1176.7003227236648</v>
      </c>
      <c r="U146" s="56">
        <f>751.12750158627*Deflactores!$R$5</f>
        <v>1248.4684632940143</v>
      </c>
      <c r="V146" s="56">
        <f>171.16764030663*Deflactores!$S$5</f>
        <v>275.73382983297188</v>
      </c>
    </row>
    <row r="147" spans="3:22" x14ac:dyDescent="0.2">
      <c r="C147" s="88" t="s">
        <v>140</v>
      </c>
      <c r="D147" s="57">
        <f>227.03769302656*Deflactores!$A$5</f>
        <v>845.42320317451652</v>
      </c>
      <c r="E147" s="57">
        <f>374.08923224375*Deflactores!$B$5</f>
        <v>1294.0296091610562</v>
      </c>
      <c r="F147" s="57">
        <f>231.66463807137*Deflactores!$C$5</f>
        <v>748.99357957828079</v>
      </c>
      <c r="G147" s="57">
        <f>324.010158458349*Deflactores!$D$5</f>
        <v>983.69982415051902</v>
      </c>
      <c r="H147" s="57">
        <f>553.23098619496*Deflactores!$E$5</f>
        <v>1592.1003022461127</v>
      </c>
      <c r="I147" s="57">
        <f>546.688745857729*Deflactores!$F$5</f>
        <v>1500.4247934131149</v>
      </c>
      <c r="J147" s="57">
        <f>631.35953685754*Deflactores!$G$5</f>
        <v>1658.540983311512</v>
      </c>
      <c r="K147" s="57">
        <f>2364.65997421346*Deflactores!$H$5</f>
        <v>5877.1386113107519</v>
      </c>
      <c r="L147" s="57">
        <f>1592.21400222523*Deflactores!$I$5</f>
        <v>3675.2452690688951</v>
      </c>
      <c r="M147" s="57">
        <f>6301.95146951901*Deflactores!$J$5</f>
        <v>14261.068731615364</v>
      </c>
      <c r="N147" s="57">
        <f>1192.31335319672*Deflactores!$K$5</f>
        <v>2615.2237459871067</v>
      </c>
      <c r="O147" s="57">
        <f>1961.63514664162*Deflactores!$L$5</f>
        <v>4148.0709683614332</v>
      </c>
      <c r="P147" s="57">
        <f>2396.12253346078*Deflactores!$M$5</f>
        <v>4946.1513038663388</v>
      </c>
      <c r="Q147" s="57">
        <f>2899.66958730926*Deflactores!$N$5</f>
        <v>5871.6783691562823</v>
      </c>
      <c r="R147" s="57">
        <f>2423.08673821602*Deflactores!$O$5</f>
        <v>4733.381412022417</v>
      </c>
      <c r="S147" s="57">
        <f>2522.46524619877*Deflactores!$P$5</f>
        <v>4615.0720858193672</v>
      </c>
      <c r="T147" s="57">
        <f>2444.9303940781*Deflactores!$Q$5</f>
        <v>4229.9907826122544</v>
      </c>
      <c r="U147" s="57">
        <f>2901.18830494239*Deflactores!$R$5</f>
        <v>4822.1401787962441</v>
      </c>
      <c r="V147" s="57">
        <f>3247.85286163991*Deflactores!$S$5</f>
        <v>5231.9638610994025</v>
      </c>
    </row>
    <row r="148" spans="3:22" x14ac:dyDescent="0.2">
      <c r="C148" s="87" t="s">
        <v>141</v>
      </c>
      <c r="D148" s="56">
        <f>5.64863593475*Deflactores!$A$5</f>
        <v>21.033898917235579</v>
      </c>
      <c r="E148" s="56">
        <f>2.66726163305*Deflactores!$B$5</f>
        <v>9.2264498174516412</v>
      </c>
      <c r="F148" s="56">
        <f>1.55640111348999*Deflactores!$C$5</f>
        <v>5.0319912911929023</v>
      </c>
      <c r="G148" s="56">
        <f>1.83048793790999*Deflactores!$D$5</f>
        <v>5.5573895312395711</v>
      </c>
      <c r="H148" s="56">
        <f>4.84555397526*Deflactores!$E$5</f>
        <v>13.944641824242742</v>
      </c>
      <c r="I148" s="56">
        <f>5.14883565759999*Deflactores!$F$5</f>
        <v>14.13133293196239</v>
      </c>
      <c r="J148" s="56">
        <f>15.54192819144*Deflactores!$G$5</f>
        <v>40.827647893761231</v>
      </c>
      <c r="K148" s="56">
        <f>26.31463174855*Deflactores!$H$5</f>
        <v>65.402527204051253</v>
      </c>
      <c r="L148" s="56">
        <f>29.1385931337199*Deflactores!$I$5</f>
        <v>67.25947417392365</v>
      </c>
      <c r="M148" s="56">
        <f>47.78993232131*Deflactores!$J$5</f>
        <v>108.14674038825405</v>
      </c>
      <c r="N148" s="56">
        <f>49.09830355952*Deflactores!$K$5</f>
        <v>107.69236879908929</v>
      </c>
      <c r="O148" s="56">
        <f>38.6246968345799*Deflactores!$L$5</f>
        <v>81.675730512669887</v>
      </c>
      <c r="P148" s="56">
        <f>67.66939726001*Deflactores!$M$5</f>
        <v>139.68529272416953</v>
      </c>
      <c r="Q148" s="56">
        <f>84.7549178525399*Deflactores!$N$5</f>
        <v>171.62424988433679</v>
      </c>
      <c r="R148" s="56">
        <f>70.14538218855*Deflactores!$O$5</f>
        <v>137.02557277621099</v>
      </c>
      <c r="S148" s="56">
        <f>75.2911576258199*Deflactores!$P$5</f>
        <v>137.75179673598029</v>
      </c>
      <c r="T148" s="56">
        <f>73.5266226617762*Deflactores!$Q$5</f>
        <v>127.20891232291974</v>
      </c>
      <c r="U148" s="56">
        <f>184.88003834659*Deflactores!$R$5</f>
        <v>307.29389734879175</v>
      </c>
      <c r="V148" s="56">
        <f>187.80872071984*Deflactores!$S$5</f>
        <v>302.54093441578311</v>
      </c>
    </row>
    <row r="149" spans="3:22" x14ac:dyDescent="0.2">
      <c r="C149" s="88" t="s">
        <v>142</v>
      </c>
      <c r="D149" s="57">
        <f>73.75037041274*Deflactores!$A$5</f>
        <v>274.62521116417304</v>
      </c>
      <c r="E149" s="57">
        <f>252.48768843675*Deflactores!$B$5</f>
        <v>873.39200550123519</v>
      </c>
      <c r="F149" s="57">
        <f>76.58199002285*Deflactores!$C$5</f>
        <v>247.59678177889029</v>
      </c>
      <c r="G149" s="57">
        <f>71.36813679982*Deflactores!$D$5</f>
        <v>216.67476092098462</v>
      </c>
      <c r="H149" s="57">
        <f>178.39657636155*Deflactores!$E$5</f>
        <v>513.39359188533285</v>
      </c>
      <c r="I149" s="57">
        <f>49.46614453939*Deflactores!$F$5</f>
        <v>135.7632295594625</v>
      </c>
      <c r="J149" s="57">
        <f>77.96077735111*Deflactores!$G$5</f>
        <v>204.79795865792926</v>
      </c>
      <c r="K149" s="57">
        <f>235.402423269129*Deflactores!$H$5</f>
        <v>585.07044821583531</v>
      </c>
      <c r="L149" s="57">
        <f>216.37885741334*Deflactores!$I$5</f>
        <v>499.45884844844983</v>
      </c>
      <c r="M149" s="57">
        <f>392.20329242046*Deflactores!$J$5</f>
        <v>887.54065102328013</v>
      </c>
      <c r="N149" s="57">
        <f>364.27379815127*Deflactores!$K$5</f>
        <v>798.99926006191129</v>
      </c>
      <c r="O149" s="57">
        <f>331.60481365184*Deflactores!$L$5</f>
        <v>701.21108037497891</v>
      </c>
      <c r="P149" s="57">
        <f>479.672873293676*Deflactores!$M$5</f>
        <v>990.1557931781216</v>
      </c>
      <c r="Q149" s="57">
        <f>305.90711746438*Deflactores!$N$5</f>
        <v>619.44581977469988</v>
      </c>
      <c r="R149" s="57">
        <f>264.62577991303*Deflactores!$O$5</f>
        <v>516.93351625723085</v>
      </c>
      <c r="S149" s="57">
        <f>236.277721472553*Deflactores!$P$5</f>
        <v>432.29087834300981</v>
      </c>
      <c r="T149" s="57">
        <f>315.659091245459*Deflactores!$Q$5</f>
        <v>546.12395086998947</v>
      </c>
      <c r="U149" s="57">
        <f>356.97338186623*Deflactores!$R$5</f>
        <v>593.3346982425893</v>
      </c>
      <c r="V149" s="57">
        <f>192.89894153638*Deflactores!$S$5</f>
        <v>310.74076750295882</v>
      </c>
    </row>
    <row r="150" spans="3:22" x14ac:dyDescent="0.2">
      <c r="C150" s="87" t="s">
        <v>143</v>
      </c>
      <c r="D150" s="56">
        <f>718.40662013482*Deflactores!$A$5</f>
        <v>2675.1400522075687</v>
      </c>
      <c r="E150" s="56">
        <f>463.112746190829*Deflactores!$B$5</f>
        <v>1601.9750217251387</v>
      </c>
      <c r="F150" s="56">
        <f>548.64166500979*Deflactores!$C$5</f>
        <v>1773.810142119635</v>
      </c>
      <c r="G150" s="56">
        <f>452.383238663089*Deflactores!$D$5</f>
        <v>1373.4424699487568</v>
      </c>
      <c r="H150" s="56">
        <f>566.94882185901*Deflactores!$E$5</f>
        <v>1631.5777914899998</v>
      </c>
      <c r="I150" s="56">
        <f>494.27365250874*Deflactores!$F$5</f>
        <v>1356.5679713991628</v>
      </c>
      <c r="J150" s="56">
        <f>41.04272188957*Deflactores!$G$5</f>
        <v>107.81659632373288</v>
      </c>
      <c r="K150" s="56">
        <f>131.67513412123*Deflactores!$H$5</f>
        <v>327.26608617410653</v>
      </c>
      <c r="L150" s="56">
        <f>81.63637765991*Deflactores!$I$5</f>
        <v>188.43805566286181</v>
      </c>
      <c r="M150" s="56">
        <f>46.1006452501199*Deflactores!$J$5</f>
        <v>104.32395007541307</v>
      </c>
      <c r="N150" s="56">
        <f>46.53746680118*Deflactores!$K$5</f>
        <v>102.07542164165656</v>
      </c>
      <c r="O150" s="56">
        <f>58.33011774961*Deflactores!$L$5</f>
        <v>123.34478632914985</v>
      </c>
      <c r="P150" s="56">
        <f>372.748891778969*Deflactores!$M$5</f>
        <v>769.43995615467043</v>
      </c>
      <c r="Q150" s="56">
        <f>124.345286329229*Deflactores!$N$5</f>
        <v>251.79266328871176</v>
      </c>
      <c r="R150" s="56">
        <f>124.1417305893*Deflactores!$O$5</f>
        <v>242.50479801656257</v>
      </c>
      <c r="S150" s="56">
        <f>130.97061398072*Deflactores!$P$5</f>
        <v>239.62226062614897</v>
      </c>
      <c r="T150" s="56">
        <f>88.30376686255*Deflactores!$Q$5</f>
        <v>152.7749504866257</v>
      </c>
      <c r="U150" s="56">
        <f>65.19307945691*Deflactores!$R$5</f>
        <v>108.35910488576999</v>
      </c>
      <c r="V150" s="56">
        <f>78.5139442469199*Deflactores!$S$5</f>
        <v>126.47805685533602</v>
      </c>
    </row>
    <row r="151" spans="3:22" x14ac:dyDescent="0.2">
      <c r="C151" s="88" t="s">
        <v>144</v>
      </c>
      <c r="D151" s="57">
        <f>14.73981976564*Deflactores!$A$5</f>
        <v>54.886858099921874</v>
      </c>
      <c r="E151" s="57">
        <f>36.9019071491*Deflactores!$B$5</f>
        <v>127.64911782954765</v>
      </c>
      <c r="F151" s="57">
        <f>15.62194082882*Deflactores!$C$5</f>
        <v>50.507205064819978</v>
      </c>
      <c r="G151" s="57">
        <f>15.42717776738*Deflactores!$D$5</f>
        <v>46.837148961986379</v>
      </c>
      <c r="H151" s="57">
        <f>24.92414537975*Deflactores!$E$5</f>
        <v>71.727253864160971</v>
      </c>
      <c r="I151" s="57">
        <f>25.71910550014*Deflactores!$F$5</f>
        <v>70.587850672273163</v>
      </c>
      <c r="J151" s="57">
        <f>40.19750277736*Deflactores!$G$5</f>
        <v>105.59625996126061</v>
      </c>
      <c r="K151" s="57">
        <f>62.7475421650899*Deflactores!$H$5</f>
        <v>155.95307860106297</v>
      </c>
      <c r="L151" s="57">
        <f>66.64584190023*Deflactores!$I$5</f>
        <v>153.8359886325666</v>
      </c>
      <c r="M151" s="57">
        <f>66.84890307403*Deflactores!$J$5</f>
        <v>151.27644285788159</v>
      </c>
      <c r="N151" s="57">
        <f>57.07880841601*Deflactores!$K$5</f>
        <v>125.19683249539968</v>
      </c>
      <c r="O151" s="57">
        <f>39.60658874449*Deflactores!$L$5</f>
        <v>83.752037787516613</v>
      </c>
      <c r="P151" s="57">
        <f>44.1923291217699*Deflactores!$M$5</f>
        <v>91.223192159054236</v>
      </c>
      <c r="Q151" s="57">
        <f>181.58406608302*Deflactores!$N$5</f>
        <v>367.69818108569177</v>
      </c>
      <c r="R151" s="57">
        <f>192.71394876508*Deflactores!$O$5</f>
        <v>376.45727184890723</v>
      </c>
      <c r="S151" s="57">
        <f>147.0199113*Deflactores!$P$5</f>
        <v>268.98586203427243</v>
      </c>
      <c r="T151" s="57">
        <f>104.66538750656*Deflactores!$Q$5</f>
        <v>181.08230217254442</v>
      </c>
      <c r="U151" s="57">
        <f>173.59849377794*Deflactores!$R$5</f>
        <v>288.54255009887652</v>
      </c>
      <c r="V151" s="57">
        <f>151.81051551769*Deflactores!$S$5</f>
        <v>244.55145130016197</v>
      </c>
    </row>
    <row r="152" spans="3:22" x14ac:dyDescent="0.2">
      <c r="C152" s="87" t="s">
        <v>145</v>
      </c>
      <c r="D152" s="56">
        <f>6.68320523515*Deflactores!$A$5</f>
        <v>24.886338043931016</v>
      </c>
      <c r="E152" s="56">
        <f>0.179651677*Deflactores!$B$5</f>
        <v>0.62144154211303781</v>
      </c>
      <c r="F152" s="56">
        <f>0.061303668*Deflactores!$C$5</f>
        <v>0.19820052865579307</v>
      </c>
      <c r="G152" s="56">
        <f>8.40790062*Deflactores!$D$5</f>
        <v>25.526515590504992</v>
      </c>
      <c r="H152" s="56">
        <f>9.425352765*Deflactores!$E$5</f>
        <v>27.124487529417856</v>
      </c>
      <c r="I152" s="56">
        <f>54.204262007*Deflactores!$F$5</f>
        <v>148.7673182230252</v>
      </c>
      <c r="J152" s="56">
        <f>89.03308216332*Deflactores!$G$5</f>
        <v>233.88419279033801</v>
      </c>
      <c r="K152" s="56">
        <f>11.112593046*Deflactores!$H$5</f>
        <v>27.619298493075583</v>
      </c>
      <c r="L152" s="56">
        <f>99.338879946*Deflactores!$I$5</f>
        <v>229.30004889160259</v>
      </c>
      <c r="M152" s="56">
        <f>96.725080599*Deflactores!$J$5</f>
        <v>218.8850595192946</v>
      </c>
      <c r="N152" s="56">
        <f>55.392725633*Deflactores!$K$5</f>
        <v>121.49857337584399</v>
      </c>
      <c r="O152" s="56">
        <f>41.18434711021*Deflactores!$L$5</f>
        <v>87.088363445800809</v>
      </c>
      <c r="P152" s="56">
        <f>49.59683279394*Deflactores!$M$5</f>
        <v>102.37933818729829</v>
      </c>
      <c r="Q152" s="56">
        <f>53.04030926297*Deflactores!$N$5</f>
        <v>107.4038359252291</v>
      </c>
      <c r="R152" s="56">
        <f>63.97678277378*Deflactores!$O$5</f>
        <v>124.97551557125028</v>
      </c>
      <c r="S152" s="56">
        <f>75.8594413196*Deflactores!$P$5</f>
        <v>138.7915217494143</v>
      </c>
      <c r="T152" s="56">
        <f>77.4344168357599*Deflactores!$Q$5</f>
        <v>133.9698137278572</v>
      </c>
      <c r="U152" s="56">
        <f>91.0800743556*Deflactores!$R$5</f>
        <v>151.38654919078394</v>
      </c>
      <c r="V152" s="56">
        <f>71.3016582573999*Deflactores!$S$5</f>
        <v>114.85979049273074</v>
      </c>
    </row>
    <row r="153" spans="3:22" x14ac:dyDescent="0.2">
      <c r="C153" s="88" t="s">
        <v>146</v>
      </c>
      <c r="D153" s="57">
        <f>3.22159064087999*Deflactores!$A$5</f>
        <v>11.996278867276825</v>
      </c>
      <c r="E153" s="57">
        <f>4.15648078777*Deflactores!$B$5</f>
        <v>14.377877644387381</v>
      </c>
      <c r="F153" s="57">
        <f>1.22104400305*Deflactores!$C$5</f>
        <v>3.9477501887243651</v>
      </c>
      <c r="G153" s="57">
        <f>2.72121537173*Deflactores!$D$5</f>
        <v>8.2616517191407635</v>
      </c>
      <c r="H153" s="57">
        <f>2.51507912359*Deflactores!$E$5</f>
        <v>7.2379500294826524</v>
      </c>
      <c r="I153" s="57">
        <f>4.06416115487*Deflactores!$F$5</f>
        <v>11.154369295870541</v>
      </c>
      <c r="J153" s="57">
        <f>4.29933402766*Deflactores!$G$5</f>
        <v>11.294074563775558</v>
      </c>
      <c r="K153" s="57">
        <f>4.2471910791*Deflactores!$H$5</f>
        <v>10.555991539077791</v>
      </c>
      <c r="L153" s="57">
        <f>8.28613521355*Deflactores!$I$5</f>
        <v>19.126561630474182</v>
      </c>
      <c r="M153" s="57">
        <f>9.8050009605*Deflactores!$J$5</f>
        <v>22.188332183700155</v>
      </c>
      <c r="N153" s="57">
        <f>12.12643918677*Deflactores!$K$5</f>
        <v>26.598168703288096</v>
      </c>
      <c r="O153" s="57">
        <f>12.2800177855892*Deflactores!$L$5</f>
        <v>25.967308627484936</v>
      </c>
      <c r="P153" s="57">
        <f>66.5097178681379*Deflactores!$M$5</f>
        <v>137.29144614242125</v>
      </c>
      <c r="Q153" s="57">
        <f>56.5490803393421*Deflactores!$N$5</f>
        <v>114.5089127662678</v>
      </c>
      <c r="R153" s="57">
        <f>54.5006118748415*Deflactores!$O$5</f>
        <v>106.46427926973557</v>
      </c>
      <c r="S153" s="57">
        <f>70.0090265771473*Deflactores!$P$5</f>
        <v>128.08767327853948</v>
      </c>
      <c r="T153" s="57">
        <f>83.3066685856979*Deflactores!$Q$5</f>
        <v>144.1294366093841</v>
      </c>
      <c r="U153" s="57">
        <f>90.76807237012*Deflactores!$R$5</f>
        <v>150.8679626145578</v>
      </c>
      <c r="V153" s="57">
        <f>72.205492557945*Deflactores!$S$5</f>
        <v>116.31577652360235</v>
      </c>
    </row>
    <row r="154" spans="3:22" x14ac:dyDescent="0.2">
      <c r="C154" s="90" t="s">
        <v>147</v>
      </c>
      <c r="D154" s="58">
        <f>971.46803810106*Deflactores!$A$5</f>
        <v>3617.4681375791706</v>
      </c>
      <c r="E154" s="58">
        <f>1444.16817623228*Deflactores!$B$5</f>
        <v>4995.589874222891</v>
      </c>
      <c r="F154" s="58">
        <f>1237.23579845466*Deflactores!$C$5</f>
        <v>4000.0997872686162</v>
      </c>
      <c r="G154" s="58">
        <f>1286.61709889984*Deflactores!$D$5</f>
        <v>3906.1892996158026</v>
      </c>
      <c r="H154" s="58">
        <f>1757.78294595062*Deflactores!$E$5</f>
        <v>5058.5864301982947</v>
      </c>
      <c r="I154" s="58">
        <f>2013.19805546808*Deflactores!$F$5</f>
        <v>5525.3602701041827</v>
      </c>
      <c r="J154" s="58">
        <f>2374.70064626304*Deflactores!$G$5</f>
        <v>6238.1861918596123</v>
      </c>
      <c r="K154" s="58">
        <f>2846.84021725201*Deflactores!$H$5</f>
        <v>7075.551979353515</v>
      </c>
      <c r="L154" s="58">
        <f>2543.73241313696*Deflactores!$I$5</f>
        <v>5871.5979787221822</v>
      </c>
      <c r="M154" s="58">
        <f>3177.62275260752*Deflactores!$J$5</f>
        <v>7190.8355209119636</v>
      </c>
      <c r="N154" s="58">
        <f>3843.70821348829*Deflactores!$K$5</f>
        <v>8430.8013204828603</v>
      </c>
      <c r="O154" s="58">
        <f>4958.18497879838*Deflactores!$L$5</f>
        <v>10484.571099539322</v>
      </c>
      <c r="P154" s="58">
        <f>5518.05437003525*Deflactores!$M$5</f>
        <v>11390.540941049057</v>
      </c>
      <c r="Q154" s="58">
        <f>6865.41331515895*Deflactores!$N$5</f>
        <v>13902.100789125865</v>
      </c>
      <c r="R154" s="58">
        <f>7804.77834762242*Deflactores!$O$5</f>
        <v>15246.252712682506</v>
      </c>
      <c r="S154" s="58">
        <f>8685.5361302055*Deflactores!$P$5</f>
        <v>15890.952474089441</v>
      </c>
      <c r="T154" s="58">
        <f>8754.06241530257*Deflactores!$Q$5</f>
        <v>15145.463206982151</v>
      </c>
      <c r="U154" s="58">
        <f>4904.71281720446*Deflactores!$R$5</f>
        <v>8152.2501317846018</v>
      </c>
      <c r="V154" s="58">
        <f>4882.98883149726*Deflactores!$S$5</f>
        <v>7866.003230098956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12.311477938*Deflactores!$S$5</f>
        <v>19.832551039832204</v>
      </c>
    </row>
    <row r="156" spans="3:22" x14ac:dyDescent="0.2">
      <c r="C156" s="87" t="s">
        <v>149</v>
      </c>
      <c r="D156" s="56">
        <f>94.40266373272*Deflactores!$A$5</f>
        <v>351.52842374850201</v>
      </c>
      <c r="E156" s="56">
        <f>81.43017299833*Deflactores!$B$5</f>
        <v>281.67893073780567</v>
      </c>
      <c r="F156" s="56">
        <f>35.13029292422*Deflactores!$C$5</f>
        <v>113.57954355053063</v>
      </c>
      <c r="G156" s="56">
        <f>7.24933269774*Deflactores!$D$5</f>
        <v>22.009085560482962</v>
      </c>
      <c r="H156" s="56">
        <f>109.438533897589*Deflactores!$E$5</f>
        <v>314.94462031872035</v>
      </c>
      <c r="I156" s="56">
        <f>51.41709900302*Deflactores!$F$5</f>
        <v>141.11775801871897</v>
      </c>
      <c r="J156" s="56">
        <f>164.40030992394*Deflactores!$G$5</f>
        <v>431.86906312542618</v>
      </c>
      <c r="K156" s="56">
        <f>291.67470827661*Deflactores!$H$5</f>
        <v>724.92988786916419</v>
      </c>
      <c r="L156" s="56">
        <f>380.42160236914*Deflactores!$I$5</f>
        <v>878.11229671689125</v>
      </c>
      <c r="M156" s="56">
        <f>555.316363883059*Deflactores!$J$5</f>
        <v>1256.6591271658067</v>
      </c>
      <c r="N156" s="56">
        <f>627.407203402709*Deflactores!$K$5</f>
        <v>1376.1568738142025</v>
      </c>
      <c r="O156" s="56">
        <f>727.71011415458*Deflactores!$L$5</f>
        <v>1538.8148010477496</v>
      </c>
      <c r="P156" s="56">
        <f>788.17832313196*Deflactores!$M$5</f>
        <v>1626.9824210566146</v>
      </c>
      <c r="Q156" s="56">
        <f>983.85580846924*Deflactores!$N$5</f>
        <v>1992.2562536920789</v>
      </c>
      <c r="R156" s="56">
        <f>1446.93779287466*Deflactores!$O$5</f>
        <v>2826.5221979581788</v>
      </c>
      <c r="S156" s="56">
        <f>1032.25091600697*Deflactores!$P$5</f>
        <v>1888.5938647536254</v>
      </c>
      <c r="T156" s="56">
        <f>1051.63255207066*Deflactores!$Q$5</f>
        <v>1819.4366648344737</v>
      </c>
      <c r="U156" s="56">
        <f>1023.37485997553*Deflactores!$R$5</f>
        <v>1700.9778447855615</v>
      </c>
      <c r="V156" s="56">
        <f>945.31420821359*Deflactores!$S$5</f>
        <v>1522.8059845851619</v>
      </c>
    </row>
    <row r="157" spans="3:22" x14ac:dyDescent="0.2">
      <c r="C157" s="88" t="s">
        <v>150</v>
      </c>
      <c r="D157" s="57">
        <f>682.09655497948*Deflactores!$A$5</f>
        <v>2539.9317914915305</v>
      </c>
      <c r="E157" s="57">
        <f>1131.43884252533*Deflactores!$B$5</f>
        <v>3913.8131680537085</v>
      </c>
      <c r="F157" s="57">
        <f>758.15952853007*Deflactores!$C$5</f>
        <v>2451.2011150798794</v>
      </c>
      <c r="G157" s="57">
        <f>625.27694496387*Deflactores!$D$5</f>
        <v>1898.3504212736</v>
      </c>
      <c r="H157" s="57">
        <f>722.12438531332*Deflactores!$E$5</f>
        <v>2078.1454416066817</v>
      </c>
      <c r="I157" s="57">
        <f>1055.88292690967*Deflactores!$F$5</f>
        <v>2897.9431796994959</v>
      </c>
      <c r="J157" s="57">
        <f>1468.84770911653*Deflactores!$G$5</f>
        <v>3858.5686626963607</v>
      </c>
      <c r="K157" s="57">
        <f>2482.14491252525*Deflactores!$H$5</f>
        <v>6169.1363085396533</v>
      </c>
      <c r="L157" s="57">
        <f>1982.43551078557*Deflactores!$I$5</f>
        <v>4575.9783057216182</v>
      </c>
      <c r="M157" s="57">
        <f>3001.02539719712*Deflactores!$J$5</f>
        <v>6791.2026396512265</v>
      </c>
      <c r="N157" s="57">
        <f>2785.10933767969*Deflactores!$K$5</f>
        <v>6108.8673170874163</v>
      </c>
      <c r="O157" s="57">
        <f>4038.06054733299*Deflactores!$L$5</f>
        <v>8538.8772491940963</v>
      </c>
      <c r="P157" s="57">
        <f>6577.41866073648*Deflactores!$M$5</f>
        <v>13577.313943911055</v>
      </c>
      <c r="Q157" s="57">
        <f>7327.1784824746*Deflactores!$N$5</f>
        <v>14837.150960505256</v>
      </c>
      <c r="R157" s="57">
        <f>6250.32099694961*Deflactores!$O$5</f>
        <v>12209.696318141943</v>
      </c>
      <c r="S157" s="57">
        <f>5623.62541849055*Deflactores!$P$5</f>
        <v>10288.917450533972</v>
      </c>
      <c r="T157" s="57">
        <f>4614.80123962273*Deflactores!$Q$5</f>
        <v>7984.0991606439138</v>
      </c>
      <c r="U157" s="57">
        <f>4113.60200255287*Deflactores!$R$5</f>
        <v>6837.3243688781449</v>
      </c>
      <c r="V157" s="57">
        <f>3163.7539422333*Deflactores!$S$5</f>
        <v>5096.4889717379656</v>
      </c>
    </row>
    <row r="158" spans="3:22" x14ac:dyDescent="0.2">
      <c r="C158" s="87" t="s">
        <v>151</v>
      </c>
      <c r="D158" s="56">
        <f>100.948252663*Deflactores!$A$5</f>
        <v>375.90231817251561</v>
      </c>
      <c r="E158" s="56">
        <f>22.2915544975*Deflactores!$B$5</f>
        <v>77.109761703049529</v>
      </c>
      <c r="F158" s="56">
        <f>62.2780432594*Deflactores!$C$5</f>
        <v>201.35077557938999</v>
      </c>
      <c r="G158" s="56">
        <f>37.7819633763*Deflactores!$D$5</f>
        <v>114.70662187310805</v>
      </c>
      <c r="H158" s="56">
        <f>11.2291030325*Deflactores!$E$5</f>
        <v>32.315359728776635</v>
      </c>
      <c r="I158" s="56">
        <f>41.03221104073*Deflactores!$F$5</f>
        <v>112.61572007939705</v>
      </c>
      <c r="J158" s="56">
        <f>125.64485526255*Deflactores!$G$5</f>
        <v>330.06097101563665</v>
      </c>
      <c r="K158" s="56">
        <f>325.9551277969*Deflactores!$H$5</f>
        <v>810.1306268217661</v>
      </c>
      <c r="L158" s="56">
        <f>389.407859120639*Deflactores!$I$5</f>
        <v>898.85492149372908</v>
      </c>
      <c r="M158" s="56">
        <f>650.05388572466*Deflactores!$J$5</f>
        <v>1471.0464192579022</v>
      </c>
      <c r="N158" s="56">
        <f>306.21313702589*Deflactores!$K$5</f>
        <v>671.64882883869245</v>
      </c>
      <c r="O158" s="56">
        <f>637.29823071676*Deflactores!$L$5</f>
        <v>1347.6299573598853</v>
      </c>
      <c r="P158" s="56">
        <f>1657.54176837605*Deflactores!$M$5</f>
        <v>3421.5497180876164</v>
      </c>
      <c r="Q158" s="56">
        <f>2016.43837959365*Deflactores!$N$5</f>
        <v>4083.1816383546516</v>
      </c>
      <c r="R158" s="56">
        <f>2151.24944030729*Deflactores!$O$5</f>
        <v>4202.3605481292361</v>
      </c>
      <c r="S158" s="56">
        <f>2217.50120484273*Deflactores!$P$5</f>
        <v>4057.1135424610989</v>
      </c>
      <c r="T158" s="56">
        <f>1425.55479938684*Deflactores!$Q$5</f>
        <v>2466.3621001728898</v>
      </c>
      <c r="U158" s="56">
        <f>1825.77093120336*Deflactores!$R$5</f>
        <v>3034.6611247658334</v>
      </c>
      <c r="V158" s="56">
        <f>347.66261301993*Deflactores!$S$5</f>
        <v>560.04945564474554</v>
      </c>
    </row>
    <row r="159" spans="3:22" x14ac:dyDescent="0.2">
      <c r="C159" s="79" t="s">
        <v>202</v>
      </c>
      <c r="D159" s="44">
        <f t="shared" ref="D159:V159" si="32">+SUM(D130:D158)</f>
        <v>20785.730403608362</v>
      </c>
      <c r="E159" s="44">
        <f t="shared" si="32"/>
        <v>26134.514405733673</v>
      </c>
      <c r="F159" s="44">
        <f t="shared" si="32"/>
        <v>19310.208212534588</v>
      </c>
      <c r="G159" s="44">
        <f t="shared" si="32"/>
        <v>18144.144460313375</v>
      </c>
      <c r="H159" s="44">
        <f t="shared" si="32"/>
        <v>20938.556455064863</v>
      </c>
      <c r="I159" s="44">
        <f t="shared" si="32"/>
        <v>23221.957958427352</v>
      </c>
      <c r="J159" s="44">
        <f t="shared" si="32"/>
        <v>25628.046167455952</v>
      </c>
      <c r="K159" s="44">
        <f t="shared" si="32"/>
        <v>41475.284928896144</v>
      </c>
      <c r="L159" s="44">
        <f t="shared" si="32"/>
        <v>44220.871206024982</v>
      </c>
      <c r="M159" s="44">
        <f t="shared" si="32"/>
        <v>60371.697769768107</v>
      </c>
      <c r="N159" s="44">
        <f t="shared" si="32"/>
        <v>44914.093178820163</v>
      </c>
      <c r="O159" s="44">
        <f t="shared" si="32"/>
        <v>58342.779945576207</v>
      </c>
      <c r="P159" s="44">
        <f t="shared" si="32"/>
        <v>67685.780197664935</v>
      </c>
      <c r="Q159" s="44">
        <f t="shared" si="32"/>
        <v>78567.450005602455</v>
      </c>
      <c r="R159" s="44">
        <f t="shared" si="32"/>
        <v>76108.8001137065</v>
      </c>
      <c r="S159" s="44">
        <f t="shared" si="32"/>
        <v>73818.245647718155</v>
      </c>
      <c r="T159" s="44">
        <f t="shared" si="32"/>
        <v>61555.014364951581</v>
      </c>
      <c r="U159" s="44">
        <f t="shared" si="32"/>
        <v>58948.581088448766</v>
      </c>
      <c r="V159" s="44">
        <f t="shared" si="32"/>
        <v>48446.571844692604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55" t="s">
        <v>206</v>
      </c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</row>
    <row r="165" spans="2:22" ht="1.5" customHeight="1" x14ac:dyDescent="0.2">
      <c r="H165" s="27"/>
      <c r="I165" s="27"/>
      <c r="J165" s="27"/>
      <c r="L165" s="177"/>
      <c r="M165" s="156"/>
      <c r="N165" s="156"/>
      <c r="O165" s="156"/>
      <c r="P165" s="156"/>
      <c r="Q165" s="156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76" t="s">
        <v>120</v>
      </c>
      <c r="D167" s="153">
        <v>2000</v>
      </c>
      <c r="E167" s="153">
        <v>2001</v>
      </c>
      <c r="F167" s="153">
        <v>2002</v>
      </c>
      <c r="G167" s="153">
        <v>2003</v>
      </c>
      <c r="H167" s="153">
        <v>2004</v>
      </c>
      <c r="I167" s="153">
        <v>2005</v>
      </c>
      <c r="J167" s="153">
        <v>2006</v>
      </c>
      <c r="K167" s="153">
        <v>2007</v>
      </c>
      <c r="L167" s="153">
        <v>2008</v>
      </c>
      <c r="M167" s="153">
        <v>2009</v>
      </c>
      <c r="N167" s="153">
        <v>2010</v>
      </c>
      <c r="O167" s="153">
        <v>2011</v>
      </c>
      <c r="P167" s="153">
        <v>2012</v>
      </c>
      <c r="Q167" s="153">
        <v>2013</v>
      </c>
      <c r="R167" s="153">
        <v>2014</v>
      </c>
      <c r="S167" s="153">
        <v>2015</v>
      </c>
      <c r="T167" s="153">
        <v>2016</v>
      </c>
      <c r="U167" s="153">
        <v>2017</v>
      </c>
      <c r="V167" s="153">
        <v>2018</v>
      </c>
    </row>
    <row r="168" spans="2:22" ht="12" customHeight="1" thickBot="1" x14ac:dyDescent="0.25">
      <c r="C168" s="160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2:22" x14ac:dyDescent="0.2">
      <c r="C169" s="87" t="s">
        <v>123</v>
      </c>
      <c r="D169" s="60">
        <f t="shared" ref="D169:V169" si="33">+IFERROR(IF(D130&gt;0,+((D130/D13)*100)," "),"")</f>
        <v>79.018396143070163</v>
      </c>
      <c r="E169" s="60">
        <f t="shared" si="33"/>
        <v>55.154954001706514</v>
      </c>
      <c r="F169" s="60">
        <f t="shared" si="33"/>
        <v>48.992902465314167</v>
      </c>
      <c r="G169" s="60">
        <f t="shared" si="33"/>
        <v>58.079822161071974</v>
      </c>
      <c r="H169" s="60">
        <f t="shared" si="33"/>
        <v>64.643652946145522</v>
      </c>
      <c r="I169" s="60">
        <f t="shared" si="33"/>
        <v>80.222120944124569</v>
      </c>
      <c r="J169" s="60">
        <f t="shared" si="33"/>
        <v>79.786377568310257</v>
      </c>
      <c r="K169" s="60">
        <f t="shared" si="33"/>
        <v>93.018582868121484</v>
      </c>
      <c r="L169" s="60">
        <f t="shared" si="33"/>
        <v>96.240865771644025</v>
      </c>
      <c r="M169" s="60">
        <f t="shared" si="33"/>
        <v>84.800534812813609</v>
      </c>
      <c r="N169" s="60">
        <f t="shared" si="33"/>
        <v>77.490075603889807</v>
      </c>
      <c r="O169" s="60">
        <f t="shared" si="33"/>
        <v>74.277722565511638</v>
      </c>
      <c r="P169" s="60">
        <f t="shared" si="33"/>
        <v>84.57644987702443</v>
      </c>
      <c r="Q169" s="60">
        <f t="shared" si="33"/>
        <v>82.821098556276937</v>
      </c>
      <c r="R169" s="60">
        <f t="shared" si="33"/>
        <v>91.737664048981401</v>
      </c>
      <c r="S169" s="60">
        <f t="shared" si="33"/>
        <v>86.686388826959032</v>
      </c>
      <c r="T169" s="60">
        <f t="shared" si="33"/>
        <v>77.505568746829383</v>
      </c>
      <c r="U169" s="60">
        <f t="shared" si="33"/>
        <v>90.628290397157642</v>
      </c>
      <c r="V169" s="60">
        <f t="shared" si="33"/>
        <v>53.071962070529622</v>
      </c>
    </row>
    <row r="170" spans="2:22" x14ac:dyDescent="0.2">
      <c r="C170" s="88" t="s">
        <v>124</v>
      </c>
      <c r="D170" s="62">
        <f t="shared" ref="D170:V170" si="34">+IFERROR(IF(D131&gt;0,+((D131/D14)*100)," "),"")</f>
        <v>45.427422852954336</v>
      </c>
      <c r="E170" s="62">
        <f t="shared" si="34"/>
        <v>53.282234970435816</v>
      </c>
      <c r="F170" s="62">
        <f t="shared" si="34"/>
        <v>50.517007225708554</v>
      </c>
      <c r="G170" s="62">
        <f t="shared" si="34"/>
        <v>55.454828045229313</v>
      </c>
      <c r="H170" s="62">
        <f t="shared" si="34"/>
        <v>22.368191467314404</v>
      </c>
      <c r="I170" s="62">
        <f t="shared" si="34"/>
        <v>37.61603640112164</v>
      </c>
      <c r="J170" s="62">
        <f t="shared" si="34"/>
        <v>40.457263877603964</v>
      </c>
      <c r="K170" s="62">
        <f t="shared" si="34"/>
        <v>94.10323867703589</v>
      </c>
      <c r="L170" s="62">
        <f t="shared" si="34"/>
        <v>92.271274121312388</v>
      </c>
      <c r="M170" s="62">
        <f t="shared" si="34"/>
        <v>78.663488505760554</v>
      </c>
      <c r="N170" s="62">
        <f t="shared" si="34"/>
        <v>83.039734660623594</v>
      </c>
      <c r="O170" s="62">
        <f t="shared" si="34"/>
        <v>83.424497014563144</v>
      </c>
      <c r="P170" s="62">
        <f t="shared" si="34"/>
        <v>77.618213029522735</v>
      </c>
      <c r="Q170" s="62">
        <f t="shared" si="34"/>
        <v>57.242801522640171</v>
      </c>
      <c r="R170" s="62">
        <f t="shared" si="34"/>
        <v>59.688797283372232</v>
      </c>
      <c r="S170" s="62">
        <f t="shared" si="34"/>
        <v>53.425270769267932</v>
      </c>
      <c r="T170" s="62">
        <f t="shared" si="34"/>
        <v>57.761011630239402</v>
      </c>
      <c r="U170" s="62">
        <f t="shared" si="34"/>
        <v>62.299374196312876</v>
      </c>
      <c r="V170" s="62">
        <f t="shared" si="34"/>
        <v>62.674553195269347</v>
      </c>
    </row>
    <row r="171" spans="2:22" x14ac:dyDescent="0.2">
      <c r="C171" s="87" t="s">
        <v>125</v>
      </c>
      <c r="D171" s="60">
        <f t="shared" ref="D171:V171" si="35">+IFERROR(IF(D132&gt;0,+((D132/D15)*100)," "),"")</f>
        <v>60.388696741130886</v>
      </c>
      <c r="E171" s="60">
        <f t="shared" si="35"/>
        <v>49.296107561265259</v>
      </c>
      <c r="F171" s="60">
        <f t="shared" si="35"/>
        <v>29.94014579069491</v>
      </c>
      <c r="G171" s="60">
        <f t="shared" si="35"/>
        <v>18.211423679428091</v>
      </c>
      <c r="H171" s="60">
        <f t="shared" si="35"/>
        <v>41.471657885409883</v>
      </c>
      <c r="I171" s="60">
        <f t="shared" si="35"/>
        <v>40.493980455974778</v>
      </c>
      <c r="J171" s="60">
        <f t="shared" si="35"/>
        <v>31.039083972286779</v>
      </c>
      <c r="K171" s="60">
        <f t="shared" si="35"/>
        <v>83.164763024500758</v>
      </c>
      <c r="L171" s="60">
        <f t="shared" si="35"/>
        <v>90.28818053024203</v>
      </c>
      <c r="M171" s="60">
        <f t="shared" si="35"/>
        <v>83.693273712992678</v>
      </c>
      <c r="N171" s="60">
        <f t="shared" si="35"/>
        <v>93.866548012097766</v>
      </c>
      <c r="O171" s="60">
        <f t="shared" si="35"/>
        <v>95.235448712212673</v>
      </c>
      <c r="P171" s="60">
        <f t="shared" si="35"/>
        <v>91.692770258591779</v>
      </c>
      <c r="Q171" s="60">
        <f t="shared" si="35"/>
        <v>96.575461161576214</v>
      </c>
      <c r="R171" s="60">
        <f t="shared" si="35"/>
        <v>94.96817664683158</v>
      </c>
      <c r="S171" s="60">
        <f t="shared" si="35"/>
        <v>98.468155598670265</v>
      </c>
      <c r="T171" s="60">
        <f t="shared" si="35"/>
        <v>98.750892667861848</v>
      </c>
      <c r="U171" s="60">
        <f t="shared" si="35"/>
        <v>99.939707188785704</v>
      </c>
      <c r="V171" s="60">
        <f t="shared" si="35"/>
        <v>79.425433055381617</v>
      </c>
    </row>
    <row r="172" spans="2:22" x14ac:dyDescent="0.2">
      <c r="C172" s="88" t="s">
        <v>126</v>
      </c>
      <c r="D172" s="62">
        <f t="shared" ref="D172:V172" si="36">+IFERROR(IF(D133&gt;0,+((D133/D16)*100)," "),"")</f>
        <v>55.402681674538655</v>
      </c>
      <c r="E172" s="62">
        <f t="shared" si="36"/>
        <v>48.364853975738733</v>
      </c>
      <c r="F172" s="62">
        <f t="shared" si="36"/>
        <v>33.645308085070262</v>
      </c>
      <c r="G172" s="62">
        <f t="shared" si="36"/>
        <v>50.247241465246773</v>
      </c>
      <c r="H172" s="62">
        <f t="shared" si="36"/>
        <v>32.314558088893996</v>
      </c>
      <c r="I172" s="62">
        <f t="shared" si="36"/>
        <v>34.328101006664873</v>
      </c>
      <c r="J172" s="62">
        <f t="shared" si="36"/>
        <v>48.796894889719574</v>
      </c>
      <c r="K172" s="62">
        <f t="shared" si="36"/>
        <v>89.376360283047802</v>
      </c>
      <c r="L172" s="62">
        <f t="shared" si="36"/>
        <v>92.64177012255891</v>
      </c>
      <c r="M172" s="62">
        <f t="shared" si="36"/>
        <v>88.472896462350931</v>
      </c>
      <c r="N172" s="62">
        <f t="shared" si="36"/>
        <v>89.893188081359057</v>
      </c>
      <c r="O172" s="62">
        <f t="shared" si="36"/>
        <v>89.622183256298541</v>
      </c>
      <c r="P172" s="62">
        <f t="shared" si="36"/>
        <v>93.955393421055618</v>
      </c>
      <c r="Q172" s="62">
        <f t="shared" si="36"/>
        <v>92.104464598508116</v>
      </c>
      <c r="R172" s="62">
        <f t="shared" si="36"/>
        <v>94.950716076893855</v>
      </c>
      <c r="S172" s="62">
        <f t="shared" si="36"/>
        <v>95.631336853011078</v>
      </c>
      <c r="T172" s="62">
        <f t="shared" si="36"/>
        <v>97.818281250817662</v>
      </c>
      <c r="U172" s="62">
        <f t="shared" si="36"/>
        <v>96.384840169530477</v>
      </c>
      <c r="V172" s="62">
        <f t="shared" si="36"/>
        <v>70.060226583987358</v>
      </c>
    </row>
    <row r="173" spans="2:22" x14ac:dyDescent="0.2">
      <c r="C173" s="87" t="s">
        <v>127</v>
      </c>
      <c r="D173" s="60" t="str">
        <f t="shared" ref="D173:V173" si="37">+IFERROR(IF(D134&gt;0,+((D134/D17)*100)," "),"")</f>
        <v xml:space="preserve"> </v>
      </c>
      <c r="E173" s="60" t="str">
        <f t="shared" si="37"/>
        <v xml:space="preserve"> </v>
      </c>
      <c r="F173" s="60" t="str">
        <f t="shared" si="37"/>
        <v xml:space="preserve"> </v>
      </c>
      <c r="G173" s="60">
        <f t="shared" si="37"/>
        <v>43.660191764705885</v>
      </c>
      <c r="H173" s="60" t="str">
        <f t="shared" si="37"/>
        <v xml:space="preserve"> </v>
      </c>
      <c r="I173" s="60">
        <f t="shared" si="37"/>
        <v>51.065452319999991</v>
      </c>
      <c r="J173" s="60">
        <f t="shared" si="37"/>
        <v>89.18994233411766</v>
      </c>
      <c r="K173" s="60">
        <f t="shared" si="37"/>
        <v>93.492191331942436</v>
      </c>
      <c r="L173" s="60">
        <f t="shared" si="37"/>
        <v>71.252610513821992</v>
      </c>
      <c r="M173" s="60">
        <f t="shared" si="37"/>
        <v>48.70456733147541</v>
      </c>
      <c r="N173" s="60">
        <f t="shared" si="37"/>
        <v>66.661658727225003</v>
      </c>
      <c r="O173" s="60">
        <f t="shared" si="37"/>
        <v>27.939514284000001</v>
      </c>
      <c r="P173" s="60">
        <f t="shared" si="37"/>
        <v>12.418999828489419</v>
      </c>
      <c r="Q173" s="60">
        <f t="shared" si="37"/>
        <v>58.007980926966198</v>
      </c>
      <c r="R173" s="60">
        <f t="shared" si="37"/>
        <v>83.064423898218493</v>
      </c>
      <c r="S173" s="60">
        <f t="shared" si="37"/>
        <v>94.475704184733573</v>
      </c>
      <c r="T173" s="60">
        <f t="shared" si="37"/>
        <v>94.677585228277508</v>
      </c>
      <c r="U173" s="60">
        <f t="shared" si="37"/>
        <v>93.474552255921125</v>
      </c>
      <c r="V173" s="60">
        <f t="shared" si="37"/>
        <v>65.555159428505732</v>
      </c>
    </row>
    <row r="174" spans="2:22" x14ac:dyDescent="0.2">
      <c r="C174" s="88" t="s">
        <v>128</v>
      </c>
      <c r="D174" s="62">
        <f t="shared" ref="D174:V174" si="38">+IFERROR(IF(D135&gt;0,+((D135/D18)*100)," "),"")</f>
        <v>43.822572482041508</v>
      </c>
      <c r="E174" s="62">
        <f t="shared" si="38"/>
        <v>65.191397900936295</v>
      </c>
      <c r="F174" s="62">
        <f t="shared" si="38"/>
        <v>55.33984030042248</v>
      </c>
      <c r="G174" s="62">
        <f t="shared" si="38"/>
        <v>70.50982428305484</v>
      </c>
      <c r="H174" s="62">
        <f t="shared" si="38"/>
        <v>65.344925860464656</v>
      </c>
      <c r="I174" s="62">
        <f t="shared" si="38"/>
        <v>81.301537981302289</v>
      </c>
      <c r="J174" s="62">
        <f t="shared" si="38"/>
        <v>76.512171663724246</v>
      </c>
      <c r="K174" s="62">
        <f t="shared" si="38"/>
        <v>77.039334639712337</v>
      </c>
      <c r="L174" s="62">
        <f t="shared" si="38"/>
        <v>87.76729371764192</v>
      </c>
      <c r="M174" s="62">
        <f t="shared" si="38"/>
        <v>76.599534017844334</v>
      </c>
      <c r="N174" s="62">
        <f t="shared" si="38"/>
        <v>86.354071593388412</v>
      </c>
      <c r="O174" s="62">
        <f t="shared" si="38"/>
        <v>83.257239715771192</v>
      </c>
      <c r="P174" s="62">
        <f t="shared" si="38"/>
        <v>92.090300383232659</v>
      </c>
      <c r="Q174" s="62">
        <f t="shared" si="38"/>
        <v>92.68247727417031</v>
      </c>
      <c r="R174" s="62">
        <f t="shared" si="38"/>
        <v>96.536220450728365</v>
      </c>
      <c r="S174" s="62">
        <f t="shared" si="38"/>
        <v>97.600455414699709</v>
      </c>
      <c r="T174" s="62">
        <f t="shared" si="38"/>
        <v>96.834783441487701</v>
      </c>
      <c r="U174" s="62">
        <f t="shared" si="38"/>
        <v>87.439786872909011</v>
      </c>
      <c r="V174" s="62">
        <f t="shared" si="38"/>
        <v>79.852003479037805</v>
      </c>
    </row>
    <row r="175" spans="2:22" x14ac:dyDescent="0.2">
      <c r="C175" s="87" t="s">
        <v>129</v>
      </c>
      <c r="D175" s="60">
        <f t="shared" ref="D175:V175" si="39">+IFERROR(IF(D136&gt;0,+((D136/D19)*100)," "),"")</f>
        <v>78.520878243874591</v>
      </c>
      <c r="E175" s="60">
        <f t="shared" si="39"/>
        <v>55.643977807899283</v>
      </c>
      <c r="F175" s="60">
        <f t="shared" si="39"/>
        <v>58.997604604334299</v>
      </c>
      <c r="G175" s="60">
        <f t="shared" si="39"/>
        <v>52.993895863215378</v>
      </c>
      <c r="H175" s="60">
        <f t="shared" si="39"/>
        <v>55.348108075475757</v>
      </c>
      <c r="I175" s="60">
        <f t="shared" si="39"/>
        <v>56.466712670806771</v>
      </c>
      <c r="J175" s="60">
        <f t="shared" si="39"/>
        <v>68.257799147121588</v>
      </c>
      <c r="K175" s="60">
        <f t="shared" si="39"/>
        <v>93.115833299189006</v>
      </c>
      <c r="L175" s="60">
        <f t="shared" si="39"/>
        <v>93.471712042320902</v>
      </c>
      <c r="M175" s="60">
        <f t="shared" si="39"/>
        <v>85.931977076698359</v>
      </c>
      <c r="N175" s="60">
        <f t="shared" si="39"/>
        <v>78.26337802914054</v>
      </c>
      <c r="O175" s="60">
        <f t="shared" si="39"/>
        <v>80.336729896328407</v>
      </c>
      <c r="P175" s="60">
        <f t="shared" si="39"/>
        <v>90.200204663502049</v>
      </c>
      <c r="Q175" s="60">
        <f t="shared" si="39"/>
        <v>89.798565787296354</v>
      </c>
      <c r="R175" s="60">
        <f t="shared" si="39"/>
        <v>82.092416162272968</v>
      </c>
      <c r="S175" s="60">
        <f t="shared" si="39"/>
        <v>88.226620936981362</v>
      </c>
      <c r="T175" s="60">
        <f t="shared" si="39"/>
        <v>88.007273036184969</v>
      </c>
      <c r="U175" s="60">
        <f t="shared" si="39"/>
        <v>87.072431097109828</v>
      </c>
      <c r="V175" s="60">
        <f t="shared" si="39"/>
        <v>68.382880959212173</v>
      </c>
    </row>
    <row r="176" spans="2:22" x14ac:dyDescent="0.2">
      <c r="C176" s="88" t="s">
        <v>130</v>
      </c>
      <c r="D176" s="62">
        <f t="shared" ref="D176:V176" si="40">+IFERROR(IF(D137&gt;0,+((D137/D20)*100)," "),"")</f>
        <v>83.948572674793084</v>
      </c>
      <c r="E176" s="62">
        <f t="shared" si="40"/>
        <v>63.938325036318552</v>
      </c>
      <c r="F176" s="62">
        <f t="shared" si="40"/>
        <v>57.563729592180557</v>
      </c>
      <c r="G176" s="62">
        <f t="shared" si="40"/>
        <v>58.057675884776138</v>
      </c>
      <c r="H176" s="62">
        <f t="shared" si="40"/>
        <v>80.512352065727669</v>
      </c>
      <c r="I176" s="62">
        <f t="shared" si="40"/>
        <v>86.03146307248619</v>
      </c>
      <c r="J176" s="62">
        <f t="shared" si="40"/>
        <v>91.435982427563019</v>
      </c>
      <c r="K176" s="62">
        <f t="shared" si="40"/>
        <v>89.903304951311497</v>
      </c>
      <c r="L176" s="62">
        <f t="shared" si="40"/>
        <v>92.46796411716403</v>
      </c>
      <c r="M176" s="62">
        <f t="shared" si="40"/>
        <v>81.141755464283534</v>
      </c>
      <c r="N176" s="62">
        <f t="shared" si="40"/>
        <v>87.106883832014134</v>
      </c>
      <c r="O176" s="62">
        <f t="shared" si="40"/>
        <v>84.201235081794081</v>
      </c>
      <c r="P176" s="62">
        <f t="shared" si="40"/>
        <v>84.805898209628168</v>
      </c>
      <c r="Q176" s="62">
        <f t="shared" si="40"/>
        <v>88.273391390315979</v>
      </c>
      <c r="R176" s="62">
        <f t="shared" si="40"/>
        <v>88.644324158159506</v>
      </c>
      <c r="S176" s="62">
        <f t="shared" si="40"/>
        <v>85.882842038393306</v>
      </c>
      <c r="T176" s="62">
        <f t="shared" si="40"/>
        <v>65.824877622423841</v>
      </c>
      <c r="U176" s="62">
        <f t="shared" si="40"/>
        <v>77.907867147495409</v>
      </c>
      <c r="V176" s="62">
        <f t="shared" si="40"/>
        <v>68.995934225392048</v>
      </c>
    </row>
    <row r="177" spans="3:22" x14ac:dyDescent="0.2">
      <c r="C177" s="87" t="s">
        <v>131</v>
      </c>
      <c r="D177" s="60">
        <f t="shared" ref="D177:V177" si="41">+IFERROR(IF(D138&gt;0,+((D138/D21)*100)," "),"")</f>
        <v>81.153054045001241</v>
      </c>
      <c r="E177" s="60">
        <f t="shared" si="41"/>
        <v>58.637918909102424</v>
      </c>
      <c r="F177" s="60">
        <f t="shared" si="41"/>
        <v>70.056314298586841</v>
      </c>
      <c r="G177" s="60">
        <f t="shared" si="41"/>
        <v>79.082405400024072</v>
      </c>
      <c r="H177" s="60">
        <f t="shared" si="41"/>
        <v>55.660375205503577</v>
      </c>
      <c r="I177" s="60">
        <f t="shared" si="41"/>
        <v>53.123545995220624</v>
      </c>
      <c r="J177" s="60">
        <f t="shared" si="41"/>
        <v>48.086881710254929</v>
      </c>
      <c r="K177" s="60">
        <f t="shared" si="41"/>
        <v>91.328175276102428</v>
      </c>
      <c r="L177" s="60">
        <f t="shared" si="41"/>
        <v>87.780068443446211</v>
      </c>
      <c r="M177" s="60">
        <f t="shared" si="41"/>
        <v>85.518877305604732</v>
      </c>
      <c r="N177" s="60">
        <f t="shared" si="41"/>
        <v>84.196820559018917</v>
      </c>
      <c r="O177" s="60">
        <f t="shared" si="41"/>
        <v>87.034364269195507</v>
      </c>
      <c r="P177" s="60">
        <f t="shared" si="41"/>
        <v>77.37728207691633</v>
      </c>
      <c r="Q177" s="60">
        <f t="shared" si="41"/>
        <v>92.430782799445893</v>
      </c>
      <c r="R177" s="60">
        <f t="shared" si="41"/>
        <v>95.97635169093806</v>
      </c>
      <c r="S177" s="60">
        <f t="shared" si="41"/>
        <v>97.577170664556974</v>
      </c>
      <c r="T177" s="60">
        <f t="shared" si="41"/>
        <v>97.783952038520411</v>
      </c>
      <c r="U177" s="60">
        <f t="shared" si="41"/>
        <v>98.198968672832777</v>
      </c>
      <c r="V177" s="60">
        <f t="shared" si="41"/>
        <v>93.875947762775155</v>
      </c>
    </row>
    <row r="178" spans="3:22" x14ac:dyDescent="0.2">
      <c r="C178" s="88" t="s">
        <v>132</v>
      </c>
      <c r="D178" s="62">
        <f t="shared" ref="D178:V178" si="42">+IFERROR(IF(D139&gt;0,+((D139/D22)*100)," "),"")</f>
        <v>93.987786634999992</v>
      </c>
      <c r="E178" s="62">
        <f t="shared" si="42"/>
        <v>63.301276465225989</v>
      </c>
      <c r="F178" s="62">
        <f t="shared" si="42"/>
        <v>70.899661121353716</v>
      </c>
      <c r="G178" s="62">
        <f t="shared" si="42"/>
        <v>94.480074464676633</v>
      </c>
      <c r="H178" s="62">
        <f t="shared" si="42"/>
        <v>63.193109957285444</v>
      </c>
      <c r="I178" s="62">
        <f t="shared" si="42"/>
        <v>47.695084793132708</v>
      </c>
      <c r="J178" s="62">
        <f t="shared" si="42"/>
        <v>71.786177021466003</v>
      </c>
      <c r="K178" s="62">
        <f t="shared" si="42"/>
        <v>41.36858575122691</v>
      </c>
      <c r="L178" s="62">
        <f t="shared" si="42"/>
        <v>60.912291373451424</v>
      </c>
      <c r="M178" s="62">
        <f t="shared" si="42"/>
        <v>83.106115681206745</v>
      </c>
      <c r="N178" s="62">
        <f t="shared" si="42"/>
        <v>63.343414763478748</v>
      </c>
      <c r="O178" s="62">
        <f t="shared" si="42"/>
        <v>59.756953715458074</v>
      </c>
      <c r="P178" s="62">
        <f t="shared" si="42"/>
        <v>71.460908047750436</v>
      </c>
      <c r="Q178" s="62">
        <f t="shared" si="42"/>
        <v>85.01448348391628</v>
      </c>
      <c r="R178" s="62">
        <f t="shared" si="42"/>
        <v>76.390644778614643</v>
      </c>
      <c r="S178" s="62">
        <f t="shared" si="42"/>
        <v>79.593406538152081</v>
      </c>
      <c r="T178" s="62">
        <f t="shared" si="42"/>
        <v>91.481068965618462</v>
      </c>
      <c r="U178" s="62">
        <f t="shared" si="42"/>
        <v>89.370315322567492</v>
      </c>
      <c r="V178" s="62">
        <f t="shared" si="42"/>
        <v>91.316412585665887</v>
      </c>
    </row>
    <row r="179" spans="3:22" x14ac:dyDescent="0.2">
      <c r="C179" s="87" t="s">
        <v>133</v>
      </c>
      <c r="D179" s="60">
        <f t="shared" ref="D179:V179" si="43">+IFERROR(IF(D140&gt;0,+((D140/D23)*100)," "),"")</f>
        <v>66.856704083298837</v>
      </c>
      <c r="E179" s="60">
        <f t="shared" si="43"/>
        <v>65.010719876315108</v>
      </c>
      <c r="F179" s="60">
        <f t="shared" si="43"/>
        <v>31.493231730364691</v>
      </c>
      <c r="G179" s="60">
        <f t="shared" si="43"/>
        <v>61.661162158306048</v>
      </c>
      <c r="H179" s="60">
        <f t="shared" si="43"/>
        <v>69.184138022705682</v>
      </c>
      <c r="I179" s="60">
        <f t="shared" si="43"/>
        <v>71.775562602819747</v>
      </c>
      <c r="J179" s="60">
        <f t="shared" si="43"/>
        <v>50.628552416342799</v>
      </c>
      <c r="K179" s="60">
        <f t="shared" si="43"/>
        <v>87.775425342390719</v>
      </c>
      <c r="L179" s="60">
        <f t="shared" si="43"/>
        <v>67.933890715806683</v>
      </c>
      <c r="M179" s="60">
        <f t="shared" si="43"/>
        <v>63.787610758895056</v>
      </c>
      <c r="N179" s="60">
        <f t="shared" si="43"/>
        <v>40.708201372622185</v>
      </c>
      <c r="O179" s="60">
        <f t="shared" si="43"/>
        <v>60.725135325554035</v>
      </c>
      <c r="P179" s="60">
        <f t="shared" si="43"/>
        <v>62.335828887183787</v>
      </c>
      <c r="Q179" s="60">
        <f t="shared" si="43"/>
        <v>69.681357937586796</v>
      </c>
      <c r="R179" s="60">
        <f t="shared" si="43"/>
        <v>69.146418246094527</v>
      </c>
      <c r="S179" s="60">
        <f t="shared" si="43"/>
        <v>59.903550208003018</v>
      </c>
      <c r="T179" s="60">
        <f t="shared" si="43"/>
        <v>66.647901769265047</v>
      </c>
      <c r="U179" s="60">
        <f t="shared" si="43"/>
        <v>85.408137172665818</v>
      </c>
      <c r="V179" s="60">
        <f t="shared" si="43"/>
        <v>64.455029855976505</v>
      </c>
    </row>
    <row r="180" spans="3:22" x14ac:dyDescent="0.2">
      <c r="C180" s="88" t="s">
        <v>134</v>
      </c>
      <c r="D180" s="62">
        <f t="shared" ref="D180:V180" si="44">+IFERROR(IF(D141&gt;0,+((D141/D24)*100)," "),"")</f>
        <v>90.980232759711939</v>
      </c>
      <c r="E180" s="62">
        <f t="shared" si="44"/>
        <v>86.756406183038308</v>
      </c>
      <c r="F180" s="62">
        <f t="shared" si="44"/>
        <v>70.168438629194213</v>
      </c>
      <c r="G180" s="62">
        <f t="shared" si="44"/>
        <v>84.168530995898436</v>
      </c>
      <c r="H180" s="62">
        <f t="shared" si="44"/>
        <v>58.688714074368001</v>
      </c>
      <c r="I180" s="62">
        <f t="shared" si="44"/>
        <v>60.078365179123075</v>
      </c>
      <c r="J180" s="62">
        <f t="shared" si="44"/>
        <v>33.694508431156549</v>
      </c>
      <c r="K180" s="62">
        <f t="shared" si="44"/>
        <v>80.260183158148607</v>
      </c>
      <c r="L180" s="62">
        <f t="shared" si="44"/>
        <v>84.791224664089299</v>
      </c>
      <c r="M180" s="62">
        <f t="shared" si="44"/>
        <v>92.225462164266446</v>
      </c>
      <c r="N180" s="62">
        <f t="shared" si="44"/>
        <v>95.242063978983168</v>
      </c>
      <c r="O180" s="62">
        <f t="shared" si="44"/>
        <v>87.977408396691118</v>
      </c>
      <c r="P180" s="62">
        <f t="shared" si="44"/>
        <v>81.457057624029304</v>
      </c>
      <c r="Q180" s="62">
        <f t="shared" si="44"/>
        <v>69.862764804735605</v>
      </c>
      <c r="R180" s="62">
        <f t="shared" si="44"/>
        <v>34.832550627724892</v>
      </c>
      <c r="S180" s="62">
        <f t="shared" si="44"/>
        <v>35.48638861238932</v>
      </c>
      <c r="T180" s="62">
        <f t="shared" si="44"/>
        <v>25.837551530722497</v>
      </c>
      <c r="U180" s="62">
        <f t="shared" si="44"/>
        <v>52.891134396750118</v>
      </c>
      <c r="V180" s="62">
        <f t="shared" si="44"/>
        <v>47.951445822997904</v>
      </c>
    </row>
    <row r="181" spans="3:22" x14ac:dyDescent="0.2">
      <c r="C181" s="87" t="s">
        <v>135</v>
      </c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3:22" x14ac:dyDescent="0.2">
      <c r="C182" s="88" t="s">
        <v>136</v>
      </c>
      <c r="D182" s="62">
        <f t="shared" ref="D182:V182" si="45">+IFERROR(IF(D143&gt;0,+((D143/D26)*100)," "),"")</f>
        <v>77.296509399212596</v>
      </c>
      <c r="E182" s="62">
        <f t="shared" si="45"/>
        <v>75.07515505002003</v>
      </c>
      <c r="F182" s="62">
        <f t="shared" si="45"/>
        <v>77.872088777176927</v>
      </c>
      <c r="G182" s="62">
        <f t="shared" si="45"/>
        <v>83.618555275676343</v>
      </c>
      <c r="H182" s="62">
        <f t="shared" si="45"/>
        <v>84.426179575635331</v>
      </c>
      <c r="I182" s="62">
        <f t="shared" si="45"/>
        <v>81.822249086861007</v>
      </c>
      <c r="J182" s="62">
        <f t="shared" si="45"/>
        <v>81.135347929647111</v>
      </c>
      <c r="K182" s="62">
        <f t="shared" si="45"/>
        <v>90.7719519253519</v>
      </c>
      <c r="L182" s="62">
        <f t="shared" si="45"/>
        <v>87.756782851610154</v>
      </c>
      <c r="M182" s="62">
        <f t="shared" si="45"/>
        <v>91.668314657426535</v>
      </c>
      <c r="N182" s="62">
        <f t="shared" si="45"/>
        <v>87.278974760953702</v>
      </c>
      <c r="O182" s="62">
        <f t="shared" si="45"/>
        <v>85.283520942692903</v>
      </c>
      <c r="P182" s="62">
        <f t="shared" si="45"/>
        <v>89.40964620410432</v>
      </c>
      <c r="Q182" s="62">
        <f t="shared" si="45"/>
        <v>90.63300023686547</v>
      </c>
      <c r="R182" s="62">
        <f t="shared" si="45"/>
        <v>91.607354393634935</v>
      </c>
      <c r="S182" s="62">
        <f t="shared" si="45"/>
        <v>94.649920697665024</v>
      </c>
      <c r="T182" s="62">
        <f t="shared" si="45"/>
        <v>88.668239640286941</v>
      </c>
      <c r="U182" s="62">
        <f t="shared" si="45"/>
        <v>96.116153047755986</v>
      </c>
      <c r="V182" s="62">
        <f t="shared" si="45"/>
        <v>92.227441751141242</v>
      </c>
    </row>
    <row r="183" spans="3:22" x14ac:dyDescent="0.2">
      <c r="C183" s="87" t="s">
        <v>137</v>
      </c>
      <c r="D183" s="60">
        <f t="shared" ref="D183:V183" si="46">+IFERROR(IF(D144&gt;0,+((D144/D27)*100)," "),"")</f>
        <v>47.637692079934943</v>
      </c>
      <c r="E183" s="60">
        <f t="shared" si="46"/>
        <v>65.382279000583083</v>
      </c>
      <c r="F183" s="60">
        <f t="shared" si="46"/>
        <v>53.800109285346196</v>
      </c>
      <c r="G183" s="60">
        <f t="shared" si="46"/>
        <v>53.754806658054022</v>
      </c>
      <c r="H183" s="60">
        <f t="shared" si="46"/>
        <v>58.064195826744424</v>
      </c>
      <c r="I183" s="60">
        <f t="shared" si="46"/>
        <v>63.499498239798903</v>
      </c>
      <c r="J183" s="60">
        <f t="shared" si="46"/>
        <v>78.286253382018089</v>
      </c>
      <c r="K183" s="60">
        <f t="shared" si="46"/>
        <v>84.200196231559417</v>
      </c>
      <c r="L183" s="60">
        <f t="shared" si="46"/>
        <v>84.170645372621394</v>
      </c>
      <c r="M183" s="60">
        <f t="shared" si="46"/>
        <v>79.606279120569539</v>
      </c>
      <c r="N183" s="60">
        <f t="shared" si="46"/>
        <v>70.867212301083242</v>
      </c>
      <c r="O183" s="60">
        <f t="shared" si="46"/>
        <v>83.471558350105042</v>
      </c>
      <c r="P183" s="60">
        <f t="shared" si="46"/>
        <v>84.806440141644686</v>
      </c>
      <c r="Q183" s="60">
        <f t="shared" si="46"/>
        <v>83.421145528831843</v>
      </c>
      <c r="R183" s="60">
        <f t="shared" si="46"/>
        <v>96.08442521103801</v>
      </c>
      <c r="S183" s="60">
        <f t="shared" si="46"/>
        <v>90.502743454289444</v>
      </c>
      <c r="T183" s="60">
        <f t="shared" si="46"/>
        <v>91.005950775228627</v>
      </c>
      <c r="U183" s="60">
        <f t="shared" si="46"/>
        <v>88.013590558176105</v>
      </c>
      <c r="V183" s="60">
        <f t="shared" si="46"/>
        <v>90.998857987332258</v>
      </c>
    </row>
    <row r="184" spans="3:22" x14ac:dyDescent="0.2">
      <c r="C184" s="88" t="s">
        <v>138</v>
      </c>
      <c r="D184" s="62">
        <f t="shared" ref="D184:V184" si="47">+IFERROR(IF(D145&gt;0,+((D145/D28)*100)," "),"")</f>
        <v>67.713366396309539</v>
      </c>
      <c r="E184" s="62">
        <f t="shared" si="47"/>
        <v>90.758732294578166</v>
      </c>
      <c r="F184" s="62">
        <f t="shared" si="47"/>
        <v>36.126943856944109</v>
      </c>
      <c r="G184" s="62">
        <f t="shared" si="47"/>
        <v>5.4901343762483865</v>
      </c>
      <c r="H184" s="62">
        <f t="shared" si="47"/>
        <v>26.390167577592592</v>
      </c>
      <c r="I184" s="62">
        <f t="shared" si="47"/>
        <v>13.808165513555991</v>
      </c>
      <c r="J184" s="62">
        <f t="shared" si="47"/>
        <v>4.7015998212564831</v>
      </c>
      <c r="K184" s="62">
        <f t="shared" si="47"/>
        <v>69.833284996258499</v>
      </c>
      <c r="L184" s="62">
        <f t="shared" si="47"/>
        <v>69.327344266720644</v>
      </c>
      <c r="M184" s="62">
        <f t="shared" si="47"/>
        <v>29.878147856785798</v>
      </c>
      <c r="N184" s="62">
        <f t="shared" si="47"/>
        <v>29.935901064134708</v>
      </c>
      <c r="O184" s="62">
        <f t="shared" si="47"/>
        <v>39.712280406219072</v>
      </c>
      <c r="P184" s="62">
        <f t="shared" si="47"/>
        <v>81.601138636607033</v>
      </c>
      <c r="Q184" s="62">
        <f t="shared" si="47"/>
        <v>90.152797921407256</v>
      </c>
      <c r="R184" s="62">
        <f t="shared" si="47"/>
        <v>83.820776135423671</v>
      </c>
      <c r="S184" s="62">
        <f t="shared" si="47"/>
        <v>94.527974908600569</v>
      </c>
      <c r="T184" s="62">
        <f t="shared" si="47"/>
        <v>97.182040692632981</v>
      </c>
      <c r="U184" s="62">
        <f t="shared" si="47"/>
        <v>91.201744670202686</v>
      </c>
      <c r="V184" s="62">
        <f t="shared" si="47"/>
        <v>96.85860163507715</v>
      </c>
    </row>
    <row r="185" spans="3:22" x14ac:dyDescent="0.2">
      <c r="C185" s="87" t="s">
        <v>139</v>
      </c>
      <c r="D185" s="60">
        <f t="shared" ref="D185:V185" si="48">+IFERROR(IF(D146&gt;0,+((D146/D29)*100)," "),"")</f>
        <v>70.774749807173308</v>
      </c>
      <c r="E185" s="60">
        <f t="shared" si="48"/>
        <v>64.596209948302828</v>
      </c>
      <c r="F185" s="60">
        <f t="shared" si="48"/>
        <v>53.395999876516967</v>
      </c>
      <c r="G185" s="60">
        <f t="shared" si="48"/>
        <v>80.861225421998384</v>
      </c>
      <c r="H185" s="60">
        <f t="shared" si="48"/>
        <v>45.933031884935694</v>
      </c>
      <c r="I185" s="60">
        <f t="shared" si="48"/>
        <v>78.966651416639039</v>
      </c>
      <c r="J185" s="60">
        <f t="shared" si="48"/>
        <v>83.033688797781863</v>
      </c>
      <c r="K185" s="60">
        <f t="shared" si="48"/>
        <v>66.359182256436881</v>
      </c>
      <c r="L185" s="60">
        <f t="shared" si="48"/>
        <v>82.46182374439293</v>
      </c>
      <c r="M185" s="60">
        <f t="shared" si="48"/>
        <v>83.105844593111328</v>
      </c>
      <c r="N185" s="60">
        <f t="shared" si="48"/>
        <v>71.180506664988414</v>
      </c>
      <c r="O185" s="60">
        <f t="shared" si="48"/>
        <v>95.921603191778743</v>
      </c>
      <c r="P185" s="60">
        <f t="shared" si="48"/>
        <v>63.944096357953882</v>
      </c>
      <c r="Q185" s="60">
        <f t="shared" si="48"/>
        <v>75.686345353439833</v>
      </c>
      <c r="R185" s="60">
        <f t="shared" si="48"/>
        <v>80.1508722980671</v>
      </c>
      <c r="S185" s="60">
        <f t="shared" si="48"/>
        <v>78.93805464242395</v>
      </c>
      <c r="T185" s="60">
        <f t="shared" si="48"/>
        <v>70.500809073799758</v>
      </c>
      <c r="U185" s="60">
        <f t="shared" si="48"/>
        <v>65.161363203058954</v>
      </c>
      <c r="V185" s="60">
        <f t="shared" si="48"/>
        <v>33.833637536664725</v>
      </c>
    </row>
    <row r="186" spans="3:22" x14ac:dyDescent="0.2">
      <c r="C186" s="88" t="s">
        <v>140</v>
      </c>
      <c r="D186" s="62">
        <f t="shared" ref="D186:V186" si="49">+IFERROR(IF(D147&gt;0,+((D147/D30)*100)," "),"")</f>
        <v>83.26614212078789</v>
      </c>
      <c r="E186" s="62">
        <f t="shared" si="49"/>
        <v>70.357707117487806</v>
      </c>
      <c r="F186" s="62">
        <f t="shared" si="49"/>
        <v>73.90477643225563</v>
      </c>
      <c r="G186" s="62">
        <f t="shared" si="49"/>
        <v>94.48871364757504</v>
      </c>
      <c r="H186" s="62">
        <f t="shared" si="49"/>
        <v>83.095361691564548</v>
      </c>
      <c r="I186" s="62">
        <f t="shared" si="49"/>
        <v>62.343056232372618</v>
      </c>
      <c r="J186" s="62">
        <f t="shared" si="49"/>
        <v>66.724835717083778</v>
      </c>
      <c r="K186" s="62">
        <f t="shared" si="49"/>
        <v>59.980990374354484</v>
      </c>
      <c r="L186" s="62">
        <f t="shared" si="49"/>
        <v>92.55043130029064</v>
      </c>
      <c r="M186" s="62">
        <f t="shared" si="49"/>
        <v>87.511093948473857</v>
      </c>
      <c r="N186" s="62">
        <f t="shared" si="49"/>
        <v>83.590387181305317</v>
      </c>
      <c r="O186" s="62">
        <f t="shared" si="49"/>
        <v>88.859923358856705</v>
      </c>
      <c r="P186" s="62">
        <f t="shared" si="49"/>
        <v>92.750816884196226</v>
      </c>
      <c r="Q186" s="62">
        <f t="shared" si="49"/>
        <v>92.335451223611642</v>
      </c>
      <c r="R186" s="62">
        <f t="shared" si="49"/>
        <v>94.912373812136678</v>
      </c>
      <c r="S186" s="62">
        <f t="shared" si="49"/>
        <v>94.530498934415306</v>
      </c>
      <c r="T186" s="62">
        <f t="shared" si="49"/>
        <v>90.114519164041312</v>
      </c>
      <c r="U186" s="62">
        <f t="shared" si="49"/>
        <v>90.479867999785341</v>
      </c>
      <c r="V186" s="62">
        <f t="shared" si="49"/>
        <v>92.022684325549605</v>
      </c>
    </row>
    <row r="187" spans="3:22" x14ac:dyDescent="0.2">
      <c r="C187" s="87" t="s">
        <v>141</v>
      </c>
      <c r="D187" s="60">
        <f t="shared" ref="D187:V187" si="50">+IFERROR(IF(D148&gt;0,+((D148/D31)*100)," "),"")</f>
        <v>70.918216381042058</v>
      </c>
      <c r="E187" s="60">
        <f t="shared" si="50"/>
        <v>12.840658737964569</v>
      </c>
      <c r="F187" s="60">
        <f t="shared" si="50"/>
        <v>7.4114338737618564</v>
      </c>
      <c r="G187" s="60">
        <f t="shared" si="50"/>
        <v>9.847164687387238</v>
      </c>
      <c r="H187" s="60">
        <f t="shared" si="50"/>
        <v>19.957529773328087</v>
      </c>
      <c r="I187" s="60">
        <f t="shared" si="50"/>
        <v>16.557019609322495</v>
      </c>
      <c r="J187" s="60">
        <f t="shared" si="50"/>
        <v>43.873939858961542</v>
      </c>
      <c r="K187" s="60">
        <f t="shared" si="50"/>
        <v>55.317180620637387</v>
      </c>
      <c r="L187" s="60">
        <f t="shared" si="50"/>
        <v>52.357414797402093</v>
      </c>
      <c r="M187" s="60">
        <f t="shared" si="50"/>
        <v>69.384345945524402</v>
      </c>
      <c r="N187" s="60">
        <f t="shared" si="50"/>
        <v>46.758475365311284</v>
      </c>
      <c r="O187" s="60">
        <f t="shared" si="50"/>
        <v>41.619050506977928</v>
      </c>
      <c r="P187" s="60">
        <f t="shared" si="50"/>
        <v>75.85021652853834</v>
      </c>
      <c r="Q187" s="60">
        <f t="shared" si="50"/>
        <v>72.030695493596141</v>
      </c>
      <c r="R187" s="60">
        <f t="shared" si="50"/>
        <v>85.563311585333011</v>
      </c>
      <c r="S187" s="60">
        <f t="shared" si="50"/>
        <v>46.382743162945708</v>
      </c>
      <c r="T187" s="60">
        <f t="shared" si="50"/>
        <v>75.826076492363242</v>
      </c>
      <c r="U187" s="60">
        <f t="shared" si="50"/>
        <v>80.151906933408455</v>
      </c>
      <c r="V187" s="60">
        <f t="shared" si="50"/>
        <v>83.459393215535883</v>
      </c>
    </row>
    <row r="188" spans="3:22" x14ac:dyDescent="0.2">
      <c r="C188" s="88" t="s">
        <v>142</v>
      </c>
      <c r="D188" s="62">
        <f t="shared" ref="D188:V188" si="51">+IFERROR(IF(D149&gt;0,+((D149/D32)*100)," "),"")</f>
        <v>15.758938379423808</v>
      </c>
      <c r="E188" s="62">
        <f t="shared" si="51"/>
        <v>23.907403925443806</v>
      </c>
      <c r="F188" s="62">
        <f t="shared" si="51"/>
        <v>8.9635828780653899</v>
      </c>
      <c r="G188" s="62">
        <f t="shared" si="51"/>
        <v>18.322004129512202</v>
      </c>
      <c r="H188" s="62">
        <f t="shared" si="51"/>
        <v>61.376351147917561</v>
      </c>
      <c r="I188" s="62">
        <f t="shared" si="51"/>
        <v>19.235966975786926</v>
      </c>
      <c r="J188" s="62">
        <f t="shared" si="51"/>
        <v>23.174936229005844</v>
      </c>
      <c r="K188" s="62">
        <f t="shared" si="51"/>
        <v>63.7122897617636</v>
      </c>
      <c r="L188" s="62">
        <f t="shared" si="51"/>
        <v>36.926726211807278</v>
      </c>
      <c r="M188" s="62">
        <f t="shared" si="51"/>
        <v>35.477341966961191</v>
      </c>
      <c r="N188" s="62">
        <f t="shared" si="51"/>
        <v>41.395952023009997</v>
      </c>
      <c r="O188" s="62">
        <f t="shared" si="51"/>
        <v>38.1819466957568</v>
      </c>
      <c r="P188" s="62">
        <f t="shared" si="51"/>
        <v>50.164196423351918</v>
      </c>
      <c r="Q188" s="62">
        <f t="shared" si="51"/>
        <v>56.65095319755423</v>
      </c>
      <c r="R188" s="62">
        <f t="shared" si="51"/>
        <v>84.33787209017305</v>
      </c>
      <c r="S188" s="62">
        <f t="shared" si="51"/>
        <v>93.893013168650867</v>
      </c>
      <c r="T188" s="62">
        <f t="shared" si="51"/>
        <v>79.80267082781134</v>
      </c>
      <c r="U188" s="62">
        <f t="shared" si="51"/>
        <v>97.735159581830814</v>
      </c>
      <c r="V188" s="62">
        <f t="shared" si="51"/>
        <v>60.271292638798847</v>
      </c>
    </row>
    <row r="189" spans="3:22" x14ac:dyDescent="0.2">
      <c r="C189" s="87" t="s">
        <v>143</v>
      </c>
      <c r="D189" s="60">
        <f t="shared" ref="D189:V189" si="52">+IFERROR(IF(D150&gt;0,+((D150/D33)*100)," "),"")</f>
        <v>96.948052426058339</v>
      </c>
      <c r="E189" s="60">
        <f t="shared" si="52"/>
        <v>60.014283834613188</v>
      </c>
      <c r="F189" s="60">
        <f t="shared" si="52"/>
        <v>49.185174382135841</v>
      </c>
      <c r="G189" s="60">
        <f t="shared" si="52"/>
        <v>59.563853457369575</v>
      </c>
      <c r="H189" s="60">
        <f t="shared" si="52"/>
        <v>74.393691847597864</v>
      </c>
      <c r="I189" s="60">
        <f t="shared" si="52"/>
        <v>83.312624988370061</v>
      </c>
      <c r="J189" s="60">
        <f t="shared" si="52"/>
        <v>85.44842247444106</v>
      </c>
      <c r="K189" s="60">
        <f t="shared" si="52"/>
        <v>95.877397004671977</v>
      </c>
      <c r="L189" s="60">
        <f t="shared" si="52"/>
        <v>69.706339816343444</v>
      </c>
      <c r="M189" s="60">
        <f t="shared" si="52"/>
        <v>78.819129209559591</v>
      </c>
      <c r="N189" s="60">
        <f t="shared" si="52"/>
        <v>59.579415115492985</v>
      </c>
      <c r="O189" s="60">
        <f t="shared" si="52"/>
        <v>68.205216850179781</v>
      </c>
      <c r="P189" s="60">
        <f t="shared" si="52"/>
        <v>84.809858144077211</v>
      </c>
      <c r="Q189" s="60">
        <f t="shared" si="52"/>
        <v>87.399865868612267</v>
      </c>
      <c r="R189" s="60">
        <f t="shared" si="52"/>
        <v>87.193521341632419</v>
      </c>
      <c r="S189" s="60">
        <f t="shared" si="52"/>
        <v>91.584675236614657</v>
      </c>
      <c r="T189" s="60">
        <f t="shared" si="52"/>
        <v>92.748780906212787</v>
      </c>
      <c r="U189" s="60">
        <f t="shared" si="52"/>
        <v>77.647099176385808</v>
      </c>
      <c r="V189" s="60">
        <f t="shared" si="52"/>
        <v>8.9147718003496959</v>
      </c>
    </row>
    <row r="190" spans="3:22" x14ac:dyDescent="0.2">
      <c r="C190" s="88" t="s">
        <v>144</v>
      </c>
      <c r="D190" s="62">
        <f t="shared" ref="D190:V190" si="53">+IFERROR(IF(D151&gt;0,+((D151/D34)*100)," "),"")</f>
        <v>62.280016848992211</v>
      </c>
      <c r="E190" s="62">
        <f t="shared" si="53"/>
        <v>77.93433400021118</v>
      </c>
      <c r="F190" s="62">
        <f t="shared" si="53"/>
        <v>37.437260128618149</v>
      </c>
      <c r="G190" s="62">
        <f t="shared" si="53"/>
        <v>41.045462446108907</v>
      </c>
      <c r="H190" s="62">
        <f t="shared" si="53"/>
        <v>36.880893472647244</v>
      </c>
      <c r="I190" s="62">
        <f t="shared" si="53"/>
        <v>36.717418211854678</v>
      </c>
      <c r="J190" s="62">
        <f t="shared" si="53"/>
        <v>48.352535717539844</v>
      </c>
      <c r="K190" s="62">
        <f t="shared" si="53"/>
        <v>67.510760496373493</v>
      </c>
      <c r="L190" s="62">
        <f t="shared" si="53"/>
        <v>64.0988672156208</v>
      </c>
      <c r="M190" s="62">
        <f t="shared" si="53"/>
        <v>76.295734050083709</v>
      </c>
      <c r="N190" s="62">
        <f t="shared" si="53"/>
        <v>37.551919218540391</v>
      </c>
      <c r="O190" s="62">
        <f t="shared" si="53"/>
        <v>17.187246214677028</v>
      </c>
      <c r="P190" s="62">
        <f t="shared" si="53"/>
        <v>21.978689645097429</v>
      </c>
      <c r="Q190" s="62">
        <f t="shared" si="53"/>
        <v>54.708816799519347</v>
      </c>
      <c r="R190" s="62">
        <f t="shared" si="53"/>
        <v>71.806678646760602</v>
      </c>
      <c r="S190" s="62">
        <f t="shared" si="53"/>
        <v>58.833159399031878</v>
      </c>
      <c r="T190" s="62">
        <f t="shared" si="53"/>
        <v>63.224141448955848</v>
      </c>
      <c r="U190" s="62">
        <f t="shared" si="53"/>
        <v>73.567404360881198</v>
      </c>
      <c r="V190" s="62">
        <f t="shared" si="53"/>
        <v>68.019877489688682</v>
      </c>
    </row>
    <row r="191" spans="3:22" x14ac:dyDescent="0.2">
      <c r="C191" s="87" t="s">
        <v>145</v>
      </c>
      <c r="D191" s="60">
        <f t="shared" ref="D191:V191" si="54">+IFERROR(IF(D152&gt;0,+((D152/D35)*100)," "),"")</f>
        <v>19.154574010352704</v>
      </c>
      <c r="E191" s="60">
        <f t="shared" si="54"/>
        <v>3.5930335400000004</v>
      </c>
      <c r="F191" s="60">
        <f t="shared" si="54"/>
        <v>0.42299979299780571</v>
      </c>
      <c r="G191" s="60">
        <f t="shared" si="54"/>
        <v>54.502626268221313</v>
      </c>
      <c r="H191" s="60">
        <f t="shared" si="54"/>
        <v>40.884570929114282</v>
      </c>
      <c r="I191" s="60">
        <f t="shared" si="54"/>
        <v>92.594178995073406</v>
      </c>
      <c r="J191" s="60">
        <f t="shared" si="54"/>
        <v>88.981455467216151</v>
      </c>
      <c r="K191" s="60">
        <f t="shared" si="54"/>
        <v>10.890448576865037</v>
      </c>
      <c r="L191" s="60">
        <f t="shared" si="54"/>
        <v>89.768586071461527</v>
      </c>
      <c r="M191" s="60">
        <f t="shared" si="54"/>
        <v>79.83317838460205</v>
      </c>
      <c r="N191" s="60">
        <f t="shared" si="54"/>
        <v>59.354648414679879</v>
      </c>
      <c r="O191" s="60">
        <f t="shared" si="54"/>
        <v>58.800968414213038</v>
      </c>
      <c r="P191" s="60">
        <f t="shared" si="54"/>
        <v>64.23346274583804</v>
      </c>
      <c r="Q191" s="60">
        <f t="shared" si="54"/>
        <v>71.783579919639507</v>
      </c>
      <c r="R191" s="60">
        <f t="shared" si="54"/>
        <v>85.099337854341201</v>
      </c>
      <c r="S191" s="60">
        <f t="shared" si="54"/>
        <v>84.711738941047471</v>
      </c>
      <c r="T191" s="60">
        <f t="shared" si="54"/>
        <v>91.478346069794668</v>
      </c>
      <c r="U191" s="60">
        <f t="shared" si="54"/>
        <v>94.423311773242986</v>
      </c>
      <c r="V191" s="60">
        <f t="shared" si="54"/>
        <v>70.839697463837609</v>
      </c>
    </row>
    <row r="192" spans="3:22" x14ac:dyDescent="0.2">
      <c r="C192" s="88" t="s">
        <v>146</v>
      </c>
      <c r="D192" s="62">
        <f t="shared" ref="D192:V192" si="55">+IFERROR(IF(D153&gt;0,+((D153/D36)*100)," "),"")</f>
        <v>60.468694575144809</v>
      </c>
      <c r="E192" s="62">
        <f t="shared" si="55"/>
        <v>54.979904600132279</v>
      </c>
      <c r="F192" s="62">
        <f t="shared" si="55"/>
        <v>16.711296991472754</v>
      </c>
      <c r="G192" s="62">
        <f t="shared" si="55"/>
        <v>99.468425807063042</v>
      </c>
      <c r="H192" s="62">
        <f t="shared" si="55"/>
        <v>74.355860327238759</v>
      </c>
      <c r="I192" s="62">
        <f t="shared" si="55"/>
        <v>79.069283168677046</v>
      </c>
      <c r="J192" s="62">
        <f t="shared" si="55"/>
        <v>63.730659605698101</v>
      </c>
      <c r="K192" s="62">
        <f t="shared" si="55"/>
        <v>56.702479661971239</v>
      </c>
      <c r="L192" s="62">
        <f t="shared" si="55"/>
        <v>77.008691575743498</v>
      </c>
      <c r="M192" s="62">
        <f t="shared" si="55"/>
        <v>66.519680871777467</v>
      </c>
      <c r="N192" s="62">
        <f t="shared" si="55"/>
        <v>86.61742276264286</v>
      </c>
      <c r="O192" s="62">
        <f t="shared" si="55"/>
        <v>92.952976955485582</v>
      </c>
      <c r="P192" s="62">
        <f t="shared" si="55"/>
        <v>93.346958035049155</v>
      </c>
      <c r="Q192" s="62">
        <f t="shared" si="55"/>
        <v>92.121984750903479</v>
      </c>
      <c r="R192" s="62">
        <f t="shared" si="55"/>
        <v>96.329019177875139</v>
      </c>
      <c r="S192" s="62">
        <f t="shared" si="55"/>
        <v>98.221480248893215</v>
      </c>
      <c r="T192" s="62">
        <f t="shared" si="55"/>
        <v>96.913240432959213</v>
      </c>
      <c r="U192" s="62">
        <f t="shared" si="55"/>
        <v>96.847790204877555</v>
      </c>
      <c r="V192" s="62">
        <f t="shared" si="55"/>
        <v>97.638012526598999</v>
      </c>
    </row>
    <row r="193" spans="3:23" x14ac:dyDescent="0.2">
      <c r="C193" s="90" t="s">
        <v>147</v>
      </c>
      <c r="D193" s="61">
        <f t="shared" ref="D193:V193" si="56">+IFERROR(IF(D154&gt;0,+((D154/D37)*100)," "),"")</f>
        <v>67.118750888815853</v>
      </c>
      <c r="E193" s="61">
        <f t="shared" si="56"/>
        <v>76.89224114202527</v>
      </c>
      <c r="F193" s="61">
        <f t="shared" si="56"/>
        <v>71.250089160578185</v>
      </c>
      <c r="G193" s="61">
        <f t="shared" si="56"/>
        <v>70.186527330792117</v>
      </c>
      <c r="H193" s="61">
        <f t="shared" si="56"/>
        <v>71.689341174263461</v>
      </c>
      <c r="I193" s="61">
        <f t="shared" si="56"/>
        <v>79.002479719272344</v>
      </c>
      <c r="J193" s="61">
        <f t="shared" si="56"/>
        <v>70.978903405987779</v>
      </c>
      <c r="K193" s="61">
        <f t="shared" si="56"/>
        <v>75.400025398456421</v>
      </c>
      <c r="L193" s="61">
        <f t="shared" si="56"/>
        <v>83.827420722694427</v>
      </c>
      <c r="M193" s="61">
        <f t="shared" si="56"/>
        <v>90.805687202882751</v>
      </c>
      <c r="N193" s="61">
        <f t="shared" si="56"/>
        <v>85.775078369417244</v>
      </c>
      <c r="O193" s="61">
        <f t="shared" si="56"/>
        <v>87.843341166859659</v>
      </c>
      <c r="P193" s="61">
        <f t="shared" si="56"/>
        <v>89.140813414680608</v>
      </c>
      <c r="Q193" s="61">
        <f t="shared" si="56"/>
        <v>94.612028976462071</v>
      </c>
      <c r="R193" s="61">
        <f t="shared" si="56"/>
        <v>94.083589926093339</v>
      </c>
      <c r="S193" s="61">
        <f t="shared" si="56"/>
        <v>95.63578566463832</v>
      </c>
      <c r="T193" s="61">
        <f t="shared" si="56"/>
        <v>95.155988337890605</v>
      </c>
      <c r="U193" s="61">
        <f t="shared" si="56"/>
        <v>91.524083550008072</v>
      </c>
      <c r="V193" s="61">
        <f t="shared" si="56"/>
        <v>91.531018792996207</v>
      </c>
    </row>
    <row r="194" spans="3:23" ht="22.5" customHeight="1" x14ac:dyDescent="0.2">
      <c r="C194" s="89" t="s">
        <v>148</v>
      </c>
      <c r="D194" s="63" t="str">
        <f t="shared" ref="D194:V194" si="57">+IFERROR(IF(D155&gt;0,+((D155/D38)*100)," "),"")</f>
        <v xml:space="preserve"> </v>
      </c>
      <c r="E194" s="63" t="str">
        <f t="shared" si="57"/>
        <v xml:space="preserve"> </v>
      </c>
      <c r="F194" s="63" t="str">
        <f t="shared" si="57"/>
        <v xml:space="preserve"> </v>
      </c>
      <c r="G194" s="63" t="str">
        <f t="shared" si="57"/>
        <v xml:space="preserve"> </v>
      </c>
      <c r="H194" s="63" t="str">
        <f t="shared" si="57"/>
        <v xml:space="preserve"> </v>
      </c>
      <c r="I194" s="63" t="str">
        <f t="shared" si="57"/>
        <v xml:space="preserve"> </v>
      </c>
      <c r="J194" s="63" t="str">
        <f t="shared" si="57"/>
        <v xml:space="preserve"> </v>
      </c>
      <c r="K194" s="63" t="str">
        <f t="shared" si="57"/>
        <v xml:space="preserve"> </v>
      </c>
      <c r="L194" s="63" t="str">
        <f t="shared" si="57"/>
        <v xml:space="preserve"> </v>
      </c>
      <c r="M194" s="63" t="str">
        <f t="shared" si="57"/>
        <v xml:space="preserve"> </v>
      </c>
      <c r="N194" s="63" t="str">
        <f t="shared" si="57"/>
        <v xml:space="preserve"> </v>
      </c>
      <c r="O194" s="63" t="str">
        <f t="shared" si="57"/>
        <v xml:space="preserve"> </v>
      </c>
      <c r="P194" s="63" t="str">
        <f t="shared" si="57"/>
        <v xml:space="preserve"> </v>
      </c>
      <c r="Q194" s="63" t="str">
        <f t="shared" si="57"/>
        <v xml:space="preserve"> </v>
      </c>
      <c r="R194" s="63" t="str">
        <f t="shared" si="57"/>
        <v xml:space="preserve"> </v>
      </c>
      <c r="S194" s="63" t="str">
        <f t="shared" si="57"/>
        <v xml:space="preserve"> </v>
      </c>
      <c r="T194" s="63" t="str">
        <f t="shared" si="57"/>
        <v xml:space="preserve"> </v>
      </c>
      <c r="U194" s="63" t="str">
        <f t="shared" si="57"/>
        <v xml:space="preserve"> </v>
      </c>
      <c r="V194" s="63">
        <f t="shared" si="57"/>
        <v>56.255603915121867</v>
      </c>
    </row>
    <row r="195" spans="3:23" x14ac:dyDescent="0.2">
      <c r="C195" s="87" t="s">
        <v>149</v>
      </c>
      <c r="D195" s="60">
        <f t="shared" ref="D195:V195" si="58">+IFERROR(IF(D156&gt;0,+((D156/D39)*100)," "),"")</f>
        <v>93.791611384549654</v>
      </c>
      <c r="E195" s="60">
        <f t="shared" si="58"/>
        <v>64.75234114906398</v>
      </c>
      <c r="F195" s="60">
        <f t="shared" si="58"/>
        <v>27.466828138854481</v>
      </c>
      <c r="G195" s="60">
        <f t="shared" si="58"/>
        <v>11.461820198547038</v>
      </c>
      <c r="H195" s="60">
        <f t="shared" si="58"/>
        <v>94.828423066932118</v>
      </c>
      <c r="I195" s="60">
        <f t="shared" si="58"/>
        <v>37.304193313586119</v>
      </c>
      <c r="J195" s="60">
        <f t="shared" si="58"/>
        <v>88.12490570748146</v>
      </c>
      <c r="K195" s="60">
        <f t="shared" si="58"/>
        <v>98.713023115262388</v>
      </c>
      <c r="L195" s="60">
        <f t="shared" si="58"/>
        <v>94.939368192368875</v>
      </c>
      <c r="M195" s="60">
        <f t="shared" si="58"/>
        <v>83.074993722442571</v>
      </c>
      <c r="N195" s="60">
        <f t="shared" si="58"/>
        <v>91.762659616443358</v>
      </c>
      <c r="O195" s="60">
        <f t="shared" si="58"/>
        <v>93.901477307825019</v>
      </c>
      <c r="P195" s="60">
        <f t="shared" si="58"/>
        <v>97.188847258502449</v>
      </c>
      <c r="Q195" s="60">
        <f t="shared" si="58"/>
        <v>92.96868598316604</v>
      </c>
      <c r="R195" s="60">
        <f t="shared" si="58"/>
        <v>96.735077909065751</v>
      </c>
      <c r="S195" s="60">
        <f t="shared" si="58"/>
        <v>91.422745722450799</v>
      </c>
      <c r="T195" s="60">
        <f t="shared" si="58"/>
        <v>96.843563979058828</v>
      </c>
      <c r="U195" s="60">
        <f t="shared" si="58"/>
        <v>89.672740344398576</v>
      </c>
      <c r="V195" s="60">
        <f t="shared" si="58"/>
        <v>91.513409838564201</v>
      </c>
    </row>
    <row r="196" spans="3:23" x14ac:dyDescent="0.2">
      <c r="C196" s="88" t="s">
        <v>150</v>
      </c>
      <c r="D196" s="62">
        <f t="shared" ref="D196:V196" si="59">+IFERROR(IF(D157&gt;0,+((D157/D40)*100)," "),"")</f>
        <v>70.076013750642133</v>
      </c>
      <c r="E196" s="62">
        <f t="shared" si="59"/>
        <v>72.903077651130459</v>
      </c>
      <c r="F196" s="62">
        <f t="shared" si="59"/>
        <v>49.465091125500074</v>
      </c>
      <c r="G196" s="62">
        <f t="shared" si="59"/>
        <v>67.092746591923117</v>
      </c>
      <c r="H196" s="62">
        <f t="shared" si="59"/>
        <v>62.128937737553478</v>
      </c>
      <c r="I196" s="62">
        <f t="shared" si="59"/>
        <v>71.803100840871238</v>
      </c>
      <c r="J196" s="62">
        <f t="shared" si="59"/>
        <v>57.125596457087603</v>
      </c>
      <c r="K196" s="62">
        <f t="shared" si="59"/>
        <v>86.246927571648172</v>
      </c>
      <c r="L196" s="62">
        <f t="shared" si="59"/>
        <v>85.026900340269947</v>
      </c>
      <c r="M196" s="62">
        <f t="shared" si="59"/>
        <v>85.080006728926818</v>
      </c>
      <c r="N196" s="62">
        <f t="shared" si="59"/>
        <v>73.516048117685799</v>
      </c>
      <c r="O196" s="62">
        <f t="shared" si="59"/>
        <v>81.250726231883846</v>
      </c>
      <c r="P196" s="62">
        <f t="shared" si="59"/>
        <v>85.540966286162359</v>
      </c>
      <c r="Q196" s="62">
        <f t="shared" si="59"/>
        <v>92.13365530857925</v>
      </c>
      <c r="R196" s="62">
        <f t="shared" si="59"/>
        <v>88.661591240771216</v>
      </c>
      <c r="S196" s="62">
        <f t="shared" si="59"/>
        <v>84.840624596757308</v>
      </c>
      <c r="T196" s="62">
        <f t="shared" si="59"/>
        <v>88.038633310065123</v>
      </c>
      <c r="U196" s="62">
        <f t="shared" si="59"/>
        <v>72.880866515872526</v>
      </c>
      <c r="V196" s="62">
        <f t="shared" si="59"/>
        <v>70.302296184917338</v>
      </c>
    </row>
    <row r="197" spans="3:23" x14ac:dyDescent="0.2">
      <c r="C197" s="87" t="s">
        <v>151</v>
      </c>
      <c r="D197" s="60">
        <f t="shared" ref="D197:V197" si="60">+IFERROR(IF(D158&gt;0,+((D158/D41)*100)," "),"")</f>
        <v>66.121883219855434</v>
      </c>
      <c r="E197" s="60">
        <f t="shared" si="60"/>
        <v>11.755471761077674</v>
      </c>
      <c r="F197" s="60">
        <f t="shared" si="60"/>
        <v>38.791884629385088</v>
      </c>
      <c r="G197" s="60">
        <f t="shared" si="60"/>
        <v>19.369437079955123</v>
      </c>
      <c r="H197" s="60">
        <f t="shared" si="60"/>
        <v>4.8189102512151294</v>
      </c>
      <c r="I197" s="60">
        <f t="shared" si="60"/>
        <v>15.995404362432513</v>
      </c>
      <c r="J197" s="60">
        <f t="shared" si="60"/>
        <v>57.79432164790709</v>
      </c>
      <c r="K197" s="60">
        <f t="shared" si="60"/>
        <v>88.215190202138032</v>
      </c>
      <c r="L197" s="60">
        <f t="shared" si="60"/>
        <v>89.87023409076572</v>
      </c>
      <c r="M197" s="60">
        <f t="shared" si="60"/>
        <v>91.014898005211222</v>
      </c>
      <c r="N197" s="60">
        <f t="shared" si="60"/>
        <v>49.137140943346623</v>
      </c>
      <c r="O197" s="60">
        <f t="shared" si="60"/>
        <v>78.000455818625468</v>
      </c>
      <c r="P197" s="60">
        <f t="shared" si="60"/>
        <v>96.599085997935774</v>
      </c>
      <c r="Q197" s="60">
        <f t="shared" si="60"/>
        <v>94.676899214478411</v>
      </c>
      <c r="R197" s="60">
        <f t="shared" si="60"/>
        <v>97.958847755075581</v>
      </c>
      <c r="S197" s="60">
        <f t="shared" si="60"/>
        <v>97.003641566519875</v>
      </c>
      <c r="T197" s="60">
        <f t="shared" si="60"/>
        <v>95.434045090296777</v>
      </c>
      <c r="U197" s="60">
        <f t="shared" si="60"/>
        <v>96.053981358867745</v>
      </c>
      <c r="V197" s="60">
        <f t="shared" si="60"/>
        <v>18.900875658137672</v>
      </c>
    </row>
    <row r="198" spans="3:23" x14ac:dyDescent="0.2">
      <c r="C198" s="91" t="s">
        <v>202</v>
      </c>
      <c r="D198" s="64">
        <f t="shared" ref="D198:V198" si="61">+IFERROR(IF(D159&gt;0,+((D159/D42)*100)," "),"")</f>
        <v>73.246463002290795</v>
      </c>
      <c r="E198" s="64">
        <f t="shared" si="61"/>
        <v>65.889789945537586</v>
      </c>
      <c r="F198" s="64">
        <f t="shared" si="61"/>
        <v>56.172875923750709</v>
      </c>
      <c r="G198" s="64">
        <f t="shared" si="61"/>
        <v>66.678554058845705</v>
      </c>
      <c r="H198" s="64">
        <f t="shared" si="61"/>
        <v>65.104790881448466</v>
      </c>
      <c r="I198" s="64">
        <f t="shared" si="61"/>
        <v>67.159518907935251</v>
      </c>
      <c r="J198" s="64">
        <f t="shared" si="61"/>
        <v>65.118095767545555</v>
      </c>
      <c r="K198" s="64">
        <f t="shared" si="61"/>
        <v>79.493899081491307</v>
      </c>
      <c r="L198" s="64">
        <f t="shared" si="61"/>
        <v>86.724891816867228</v>
      </c>
      <c r="M198" s="64">
        <f t="shared" si="61"/>
        <v>85.534618155728381</v>
      </c>
      <c r="N198" s="64">
        <f t="shared" si="61"/>
        <v>79.724388810463466</v>
      </c>
      <c r="O198" s="64">
        <f t="shared" si="61"/>
        <v>83.961857553564755</v>
      </c>
      <c r="P198" s="64">
        <f t="shared" si="61"/>
        <v>86.106966448851324</v>
      </c>
      <c r="Q198" s="64">
        <f t="shared" si="61"/>
        <v>88.897320690505282</v>
      </c>
      <c r="R198" s="64">
        <f t="shared" si="61"/>
        <v>87.583201970334017</v>
      </c>
      <c r="S198" s="64">
        <f t="shared" si="61"/>
        <v>87.54193862286219</v>
      </c>
      <c r="T198" s="64">
        <f t="shared" si="61"/>
        <v>86.479889032492153</v>
      </c>
      <c r="U198" s="64">
        <f t="shared" si="61"/>
        <v>87.746350472972495</v>
      </c>
      <c r="V198" s="64">
        <f t="shared" si="61"/>
        <v>77.868759927326664</v>
      </c>
    </row>
    <row r="199" spans="3:23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customHeight="1" x14ac:dyDescent="0.2">
      <c r="C203" s="9"/>
      <c r="D203" s="155" t="s">
        <v>207</v>
      </c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4" spans="3:23" ht="15.75" customHeight="1" x14ac:dyDescent="0.2"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</row>
    <row r="205" spans="3:23" x14ac:dyDescent="0.2">
      <c r="C205" s="176" t="s">
        <v>120</v>
      </c>
      <c r="D205" s="153">
        <v>2000</v>
      </c>
      <c r="E205" s="153">
        <v>2001</v>
      </c>
      <c r="F205" s="153">
        <v>2002</v>
      </c>
      <c r="G205" s="153">
        <v>2003</v>
      </c>
      <c r="H205" s="153">
        <v>2004</v>
      </c>
      <c r="I205" s="153">
        <v>2005</v>
      </c>
      <c r="J205" s="153">
        <v>2006</v>
      </c>
      <c r="K205" s="153">
        <v>2007</v>
      </c>
      <c r="L205" s="153">
        <v>2008</v>
      </c>
      <c r="M205" s="153">
        <v>2009</v>
      </c>
      <c r="N205" s="153">
        <v>2010</v>
      </c>
      <c r="O205" s="153">
        <v>2011</v>
      </c>
      <c r="P205" s="153">
        <v>2012</v>
      </c>
      <c r="Q205" s="153">
        <v>2013</v>
      </c>
      <c r="R205" s="153">
        <v>2014</v>
      </c>
      <c r="S205" s="153">
        <v>2015</v>
      </c>
      <c r="T205" s="153">
        <v>2016</v>
      </c>
      <c r="U205" s="153">
        <v>2017</v>
      </c>
      <c r="V205" s="153">
        <v>2018</v>
      </c>
    </row>
    <row r="206" spans="3:23" ht="12" customHeight="1" thickBot="1" x14ac:dyDescent="0.25">
      <c r="C206" s="160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</row>
    <row r="207" spans="3:23" x14ac:dyDescent="0.2">
      <c r="C207" s="87" t="s">
        <v>123</v>
      </c>
      <c r="D207" s="56">
        <f>99.10952180939*Deflactores!$A$5</f>
        <v>369.05541223671167</v>
      </c>
      <c r="E207" s="56">
        <f>248.04562709175*Deflactores!$B$5</f>
        <v>858.02626275674902</v>
      </c>
      <c r="F207" s="56">
        <f>230.283060488229*Deflactores!$C$5</f>
        <v>744.52680921541219</v>
      </c>
      <c r="G207" s="56">
        <f>111.354457543919*Deflactores!$D$5</f>
        <v>338.07384566435024</v>
      </c>
      <c r="H207" s="56">
        <f>197.1877969146*Deflactores!$E$5</f>
        <v>567.47137976892986</v>
      </c>
      <c r="I207" s="56">
        <f>260.52354861379*Deflactores!$F$5</f>
        <v>715.02476421898905</v>
      </c>
      <c r="J207" s="56">
        <f>475.930595846129*Deflactores!$G$5</f>
        <v>1250.239130545963</v>
      </c>
      <c r="K207" s="56">
        <f>861.41880649804*Deflactores!$H$5</f>
        <v>2140.9749322892899</v>
      </c>
      <c r="L207" s="56">
        <f>1031.93177930338*Deflactores!$I$5</f>
        <v>2381.9677408854391</v>
      </c>
      <c r="M207" s="56">
        <f>925.12756592372*Deflactores!$J$5</f>
        <v>2093.5273568771481</v>
      </c>
      <c r="N207" s="56">
        <f>926.83479651271*Deflactores!$K$5</f>
        <v>2032.9222699288605</v>
      </c>
      <c r="O207" s="56">
        <f>1071.02721173368*Deflactores!$L$5</f>
        <v>2264.7926608185044</v>
      </c>
      <c r="P207" s="56">
        <f>1062.66447960915*Deflactores!$M$5</f>
        <v>2193.5853563380692</v>
      </c>
      <c r="Q207" s="56">
        <f>1383.90511387535*Deflactores!$N$5</f>
        <v>2802.3350514383983</v>
      </c>
      <c r="R207" s="56">
        <f>1612.388401401*Deflactores!$O$5</f>
        <v>3149.7218683021947</v>
      </c>
      <c r="S207" s="56">
        <f>1764.32221134968*Deflactores!$P$5</f>
        <v>3227.9827047216254</v>
      </c>
      <c r="T207" s="56">
        <f>837.936984161919*Deflactores!$Q$5</f>
        <v>1449.7205024731697</v>
      </c>
      <c r="U207" s="56">
        <f>1231.74448211525*Deflactores!$R$5</f>
        <v>2047.3143873839188</v>
      </c>
      <c r="V207" s="56">
        <f>926.520736244369*Deflactores!$S$5</f>
        <v>1492.5315939781005</v>
      </c>
      <c r="W207" s="56"/>
    </row>
    <row r="208" spans="3:23" x14ac:dyDescent="0.2">
      <c r="C208" s="88" t="s">
        <v>124</v>
      </c>
      <c r="D208" s="57">
        <f>11.79249974571*Deflactores!$A$5</f>
        <v>43.911884302341463</v>
      </c>
      <c r="E208" s="57">
        <f>30.24559771309*Deflactores!$B$5</f>
        <v>104.62396565857394</v>
      </c>
      <c r="F208" s="57">
        <f>30.67455127769*Deflactores!$C$5</f>
        <v>99.173711424859462</v>
      </c>
      <c r="G208" s="57">
        <f>40.11175035109*Deflactores!$D$5</f>
        <v>121.77989095921821</v>
      </c>
      <c r="H208" s="57">
        <f>36.60003396981*Deflactores!$E$5</f>
        <v>105.3283828990332</v>
      </c>
      <c r="I208" s="57">
        <f>58.06870917372*Deflactores!$F$5</f>
        <v>159.37355876797091</v>
      </c>
      <c r="J208" s="57">
        <f>94.13472899466*Deflactores!$G$5</f>
        <v>247.28589159776078</v>
      </c>
      <c r="K208" s="57">
        <f>310.55155166785*Deflactores!$H$5</f>
        <v>771.84649590758829</v>
      </c>
      <c r="L208" s="57">
        <f>130.636880893619*Deflactores!$I$5</f>
        <v>301.5439996126056</v>
      </c>
      <c r="M208" s="57">
        <f>117.32464622693*Deflactores!$J$5</f>
        <v>265.50106770060688</v>
      </c>
      <c r="N208" s="57">
        <f>258.3054795625*Deflactores!$K$5</f>
        <v>566.56802681885426</v>
      </c>
      <c r="O208" s="57">
        <f>244.223000420019*Deflactores!$L$5</f>
        <v>516.43361895446424</v>
      </c>
      <c r="P208" s="57">
        <f>124.401494611401*Deflactores!$M$5</f>
        <v>256.79346785591838</v>
      </c>
      <c r="Q208" s="57">
        <f>151.46329180815*Deflactores!$N$5</f>
        <v>306.7051977657855</v>
      </c>
      <c r="R208" s="57">
        <f>172.053184590821*Deflactores!$O$5</f>
        <v>336.0974797051818</v>
      </c>
      <c r="S208" s="57">
        <f>203.891573619706*Deflactores!$P$5</f>
        <v>373.03757162327264</v>
      </c>
      <c r="T208" s="57">
        <f>192.433107145286*Deflactores!$Q$5</f>
        <v>332.92983369406886</v>
      </c>
      <c r="U208" s="57">
        <f>224.18491433572*Deflactores!$R$5</f>
        <v>372.62354913557959</v>
      </c>
      <c r="V208" s="57">
        <f>236.9849627421*Deflactores!$S$5</f>
        <v>381.75890765710534</v>
      </c>
      <c r="W208" s="56"/>
    </row>
    <row r="209" spans="3:23" x14ac:dyDescent="0.2">
      <c r="C209" s="87" t="s">
        <v>125</v>
      </c>
      <c r="D209" s="56">
        <f>22.3760689816*Deflactores!$A$5</f>
        <v>83.322058380258383</v>
      </c>
      <c r="E209" s="56">
        <f>34.4481051749799*Deflactores!$B$5</f>
        <v>119.16105633019849</v>
      </c>
      <c r="F209" s="56">
        <f>24.7174111176699*Deflactores!$C$5</f>
        <v>79.913716590738943</v>
      </c>
      <c r="G209" s="56">
        <f>12.22815740684*Deflactores!$D$5</f>
        <v>37.12487394848042</v>
      </c>
      <c r="H209" s="56">
        <f>36.23429495413*Deflactores!$E$5</f>
        <v>104.27585111405085</v>
      </c>
      <c r="I209" s="56">
        <f>37.50168702346*Deflactores!$F$5</f>
        <v>102.92595454207803</v>
      </c>
      <c r="J209" s="56">
        <f>38.2569486918*Deflactores!$G$5</f>
        <v>100.49854892128296</v>
      </c>
      <c r="K209" s="56">
        <f>72.76630529198*Deflactores!$H$5</f>
        <v>180.85376633322105</v>
      </c>
      <c r="L209" s="56">
        <f>99.59513083283*Deflactores!$I$5</f>
        <v>229.89154278513726</v>
      </c>
      <c r="M209" s="56">
        <f>110.82101792925*Deflactores!$J$5</f>
        <v>250.78361222563291</v>
      </c>
      <c r="N209" s="56">
        <f>211.80156890719*Deflactores!$K$5</f>
        <v>464.56620732991007</v>
      </c>
      <c r="O209" s="56">
        <f>225.14783206324*Deflactores!$L$5</f>
        <v>476.09729432609163</v>
      </c>
      <c r="P209" s="56">
        <f>302.43796730171*Deflactores!$M$5</f>
        <v>624.3019400796112</v>
      </c>
      <c r="Q209" s="56">
        <f>356.01186820313*Deflactores!$N$5</f>
        <v>720.90530412156534</v>
      </c>
      <c r="R209" s="56">
        <f>280.1938069688*Deflactores!$O$5</f>
        <v>547.34489556340338</v>
      </c>
      <c r="S209" s="56">
        <f>158.76243391372*Deflactores!$P$5</f>
        <v>290.46984022320783</v>
      </c>
      <c r="T209" s="56">
        <f>223.529243989709*Deflactores!$Q$5</f>
        <v>386.72947254896417</v>
      </c>
      <c r="U209" s="56">
        <f>314.70929897612*Deflactores!$R$5</f>
        <v>523.08647206672197</v>
      </c>
      <c r="V209" s="56">
        <f>185.78409540762*Deflactores!$S$5</f>
        <v>299.27946694263727</v>
      </c>
      <c r="W209" s="56"/>
    </row>
    <row r="210" spans="3:23" x14ac:dyDescent="0.2">
      <c r="C210" s="88" t="s">
        <v>126</v>
      </c>
      <c r="D210" s="57">
        <f>9.59445011314999*Deflactores!$A$5</f>
        <v>35.726978367457512</v>
      </c>
      <c r="E210" s="57">
        <f>43.2465215259*Deflactores!$B$5</f>
        <v>149.59607100177516</v>
      </c>
      <c r="F210" s="57">
        <f>19.38046691521*Deflactores!$C$5</f>
        <v>62.658873661372589</v>
      </c>
      <c r="G210" s="57">
        <f>17.89597695497*Deflactores!$D$5</f>
        <v>54.332461264077097</v>
      </c>
      <c r="H210" s="57">
        <f>13.88397897636*Deflactores!$E$5</f>
        <v>39.955620122933034</v>
      </c>
      <c r="I210" s="57">
        <f>16.20907985154*Deflactores!$F$5</f>
        <v>44.486932412530017</v>
      </c>
      <c r="J210" s="57">
        <f>27.86076352156*Deflactores!$G$5</f>
        <v>73.188437695658109</v>
      </c>
      <c r="K210" s="57">
        <f>68.40286172874*Deflactores!$H$5</f>
        <v>170.00884024513806</v>
      </c>
      <c r="L210" s="57">
        <f>53.0932955901*Deflactores!$I$5</f>
        <v>122.55317637207213</v>
      </c>
      <c r="M210" s="57">
        <f>118.10005971117*Deflactores!$J$5</f>
        <v>267.25579796910449</v>
      </c>
      <c r="N210" s="57">
        <f>140.75106105054*Deflactores!$K$5</f>
        <v>308.72380666152031</v>
      </c>
      <c r="O210" s="57">
        <f>183.57477467994*Deflactores!$L$5</f>
        <v>388.18696467435848</v>
      </c>
      <c r="P210" s="57">
        <f>255.174679400579*Deflactores!$M$5</f>
        <v>526.7395784671827</v>
      </c>
      <c r="Q210" s="57">
        <f>209.82133514067*Deflactores!$N$5</f>
        <v>424.87716542773308</v>
      </c>
      <c r="R210" s="57">
        <f>160.209098350569*Deflactores!$O$5</f>
        <v>312.96063661665295</v>
      </c>
      <c r="S210" s="57">
        <f>185.005664369249*Deflactores!$P$5</f>
        <v>338.48413913160698</v>
      </c>
      <c r="T210" s="57">
        <f>153.55685876968*Deflactores!$Q$5</f>
        <v>265.66977071245378</v>
      </c>
      <c r="U210" s="57">
        <f>201.466669682769*Deflactores!$R$5</f>
        <v>334.86296663699085</v>
      </c>
      <c r="V210" s="57">
        <f>166.19074602031*Deflactores!$S$5</f>
        <v>267.71655437259562</v>
      </c>
      <c r="W210" s="56"/>
    </row>
    <row r="211" spans="3:23" x14ac:dyDescent="0.2">
      <c r="C211" s="87" t="s">
        <v>127</v>
      </c>
      <c r="D211" s="56">
        <f>0*Deflactores!$A$5</f>
        <v>0</v>
      </c>
      <c r="E211" s="56">
        <f>0*Deflactores!$B$5</f>
        <v>0</v>
      </c>
      <c r="F211" s="56">
        <f>0*Deflactores!$C$5</f>
        <v>0</v>
      </c>
      <c r="G211" s="56">
        <f>0*Deflactores!$D$5</f>
        <v>0</v>
      </c>
      <c r="H211" s="56">
        <f>0*Deflactores!$E$5</f>
        <v>0</v>
      </c>
      <c r="I211" s="56">
        <f>4.468227078*Deflactores!$F$5</f>
        <v>12.26335596119214</v>
      </c>
      <c r="J211" s="56">
        <f>31.797907981*Deflactores!$G$5</f>
        <v>83.531063508678031</v>
      </c>
      <c r="K211" s="56">
        <f>12.99541459514*Deflactores!$H$5</f>
        <v>32.29887329255147</v>
      </c>
      <c r="L211" s="56">
        <f>8.836132524*Deflactores!$I$5</f>
        <v>20.396098897705198</v>
      </c>
      <c r="M211" s="56">
        <f>9.923878953*Deflactores!$J$5</f>
        <v>22.457348413025127</v>
      </c>
      <c r="N211" s="56">
        <f>26.64836349315*Deflactores!$K$5</f>
        <v>58.450601775222594</v>
      </c>
      <c r="O211" s="56">
        <f>1.199999998*Deflactores!$L$5</f>
        <v>2.5375183363020022</v>
      </c>
      <c r="P211" s="56">
        <f>3.34611318076*Deflactores!$M$5</f>
        <v>6.9071518007872017</v>
      </c>
      <c r="Q211" s="56">
        <f>28.966133127*Deflactores!$N$5</f>
        <v>58.65489573856317</v>
      </c>
      <c r="R211" s="56">
        <f>43.05397549005*Deflactores!$O$5</f>
        <v>84.103835031638596</v>
      </c>
      <c r="S211" s="56">
        <f>43.87115787607*Deflactores!$P$5</f>
        <v>80.266142969277865</v>
      </c>
      <c r="T211" s="56">
        <f>58.97808824486*Deflactores!$Q$5</f>
        <v>102.03839350850687</v>
      </c>
      <c r="U211" s="56">
        <f>55.78819161467*Deflactores!$R$5</f>
        <v>92.726997358010479</v>
      </c>
      <c r="V211" s="56">
        <f>47.1439929030099*Deflactores!$S$5</f>
        <v>75.944224582862674</v>
      </c>
      <c r="W211" s="56"/>
    </row>
    <row r="212" spans="3:23" x14ac:dyDescent="0.2">
      <c r="C212" s="88" t="s">
        <v>128</v>
      </c>
      <c r="D212" s="57">
        <f>4.10312942716*Deflactores!$A$5</f>
        <v>15.278876283082296</v>
      </c>
      <c r="E212" s="57">
        <f>13.42606802691*Deflactores!$B$5</f>
        <v>46.442741634732975</v>
      </c>
      <c r="F212" s="57">
        <f>7.14830031751*Deflactores!$C$5</f>
        <v>23.111127737427648</v>
      </c>
      <c r="G212" s="57">
        <f>6.47514687759999*Deflactores!$D$5</f>
        <v>19.658645504050437</v>
      </c>
      <c r="H212" s="57">
        <f>20.41717044523*Deflactores!$E$5</f>
        <v>58.756982251543342</v>
      </c>
      <c r="I212" s="57">
        <f>25.71573524032*Deflactores!$F$5</f>
        <v>70.578600762827449</v>
      </c>
      <c r="J212" s="57">
        <f>37.39930309461*Deflactores!$G$5</f>
        <v>98.245568980287388</v>
      </c>
      <c r="K212" s="57">
        <f>39.6394909088699*Deflactores!$H$5</f>
        <v>98.520203789853937</v>
      </c>
      <c r="L212" s="57">
        <f>55.20090815678*Deflactores!$I$5</f>
        <v>127.41809597703431</v>
      </c>
      <c r="M212" s="57">
        <f>68.2507084578399*Deflactores!$J$5</f>
        <v>154.44867340004845</v>
      </c>
      <c r="N212" s="57">
        <f>85.79462953474*Deflactores!$K$5</f>
        <v>188.18220213323366</v>
      </c>
      <c r="O212" s="57">
        <f>92.72451465079*Deflactores!$L$5</f>
        <v>196.07513045269462</v>
      </c>
      <c r="P212" s="57">
        <f>140.96836186717*Deflactores!$M$5</f>
        <v>290.99131497509347</v>
      </c>
      <c r="Q212" s="57">
        <f>153.18849911612*Deflactores!$N$5</f>
        <v>310.19865180511897</v>
      </c>
      <c r="R212" s="57">
        <f>154.802878534549*Deflactores!$O$5</f>
        <v>302.39985066422906</v>
      </c>
      <c r="S212" s="57">
        <f>154.63654659041*Deflactores!$P$5</f>
        <v>282.92116638370169</v>
      </c>
      <c r="T212" s="57">
        <f>111.25321987576*Deflactores!$Q$5</f>
        <v>192.47995597348958</v>
      </c>
      <c r="U212" s="57">
        <f>123.081120579779*Deflactores!$R$5</f>
        <v>204.57631646588456</v>
      </c>
      <c r="V212" s="57">
        <f>112.746356184529*Deflactores!$S$5</f>
        <v>181.62302485902995</v>
      </c>
      <c r="W212" s="56"/>
    </row>
    <row r="213" spans="3:23" x14ac:dyDescent="0.2">
      <c r="C213" s="87" t="s">
        <v>129</v>
      </c>
      <c r="D213" s="56">
        <f>251.33962662551*Deflactores!$A$5</f>
        <v>935.91662861711563</v>
      </c>
      <c r="E213" s="56">
        <f>456.730409311789*Deflactores!$B$5</f>
        <v>1579.8975808761145</v>
      </c>
      <c r="F213" s="56">
        <f>506.52419642324*Deflactores!$C$5</f>
        <v>1637.6404020072168</v>
      </c>
      <c r="G213" s="56">
        <f>455.710385368369*Deflactores!$D$5</f>
        <v>1383.5437385153953</v>
      </c>
      <c r="H213" s="56">
        <f>384.269138216949*Deflactores!$E$5</f>
        <v>1105.8581792514776</v>
      </c>
      <c r="I213" s="56">
        <f>412.31490886202*Deflactores!$F$5</f>
        <v>1131.6265729593806</v>
      </c>
      <c r="J213" s="56">
        <f>710.94531026178*Deflactores!$G$5</f>
        <v>1867.6077023104192</v>
      </c>
      <c r="K213" s="56">
        <f>904.64642908678*Deflactores!$H$5</f>
        <v>2248.4130978445542</v>
      </c>
      <c r="L213" s="56">
        <f>2834.13479323062*Deflactores!$I$5</f>
        <v>6541.9224276178356</v>
      </c>
      <c r="M213" s="56">
        <f>2140.38796457311*Deflactores!$J$5</f>
        <v>4843.6139222489373</v>
      </c>
      <c r="N213" s="56">
        <f>1294.60013594795*Deflactores!$K$5</f>
        <v>2839.5798872937839</v>
      </c>
      <c r="O213" s="56">
        <f>914.505739566958*Deflactores!$L$5</f>
        <v>1933.8125722268371</v>
      </c>
      <c r="P213" s="56">
        <f>1247.86470014724*Deflactores!$M$5</f>
        <v>2575.8814616076793</v>
      </c>
      <c r="Q213" s="56">
        <f>1983.96393522953*Deflactores!$N$5</f>
        <v>4017.4225969253439</v>
      </c>
      <c r="R213" s="56">
        <f>1437.05069074995*Deflactores!$O$5</f>
        <v>2807.2082276088026</v>
      </c>
      <c r="S213" s="56">
        <f>864.421850627061*Deflactores!$P$5</f>
        <v>1581.5358246116768</v>
      </c>
      <c r="T213" s="56">
        <f>596.35593403256*Deflactores!$Q$5</f>
        <v>1031.7594767621306</v>
      </c>
      <c r="U213" s="56">
        <f>613.539566776885*Deflactores!$R$5</f>
        <v>1019.7799953887542</v>
      </c>
      <c r="V213" s="56">
        <f>563.324780220478*Deflactores!$S$5</f>
        <v>907.45948715396946</v>
      </c>
      <c r="W213" s="56"/>
    </row>
    <row r="214" spans="3:23" x14ac:dyDescent="0.2">
      <c r="C214" s="88" t="s">
        <v>130</v>
      </c>
      <c r="D214" s="57">
        <f>15.86642732*Deflactores!$A$5</f>
        <v>59.082021267018611</v>
      </c>
      <c r="E214" s="57">
        <f>43.5584501775699*Deflactores!$B$5</f>
        <v>150.67507803115561</v>
      </c>
      <c r="F214" s="57">
        <f>10.93158825608*Deflactores!$C$5</f>
        <v>35.342853732708377</v>
      </c>
      <c r="G214" s="57">
        <f>17.79043233722*Deflactores!$D$5</f>
        <v>54.012026181378744</v>
      </c>
      <c r="H214" s="57">
        <f>63.11924261658*Deflactores!$E$5</f>
        <v>181.6459449217999</v>
      </c>
      <c r="I214" s="57">
        <f>55.00723608441*Deflactores!$F$5</f>
        <v>150.97113570297665</v>
      </c>
      <c r="J214" s="57">
        <f>84.5471889526*Deflactores!$G$5</f>
        <v>222.10003922584252</v>
      </c>
      <c r="K214" s="57">
        <f>65.30390673963*Deflactores!$H$5</f>
        <v>162.3066808565475</v>
      </c>
      <c r="L214" s="57">
        <f>132.16047828905*Deflactores!$I$5</f>
        <v>305.06085985356418</v>
      </c>
      <c r="M214" s="57">
        <f>108.55928077982*Deflactores!$J$5</f>
        <v>245.66538986278584</v>
      </c>
      <c r="N214" s="57">
        <f>111.57337177835*Deflactores!$K$5</f>
        <v>244.72537400698408</v>
      </c>
      <c r="O214" s="57">
        <f>131.77889197481*Deflactores!$L$5</f>
        <v>278.6594627341334</v>
      </c>
      <c r="P214" s="57">
        <f>193.71980723772*Deflactores!$M$5</f>
        <v>399.88250340840432</v>
      </c>
      <c r="Q214" s="57">
        <f>256.20865386694*Deflactores!$N$5</f>
        <v>518.80904551512742</v>
      </c>
      <c r="R214" s="57">
        <f>226.49123761855*Deflactores!$O$5</f>
        <v>442.43955332729871</v>
      </c>
      <c r="S214" s="57">
        <f>325.0860494505*Deflactores!$P$5</f>
        <v>594.77352743280335</v>
      </c>
      <c r="T214" s="57">
        <f>167.41430137339*Deflactores!$Q$5</f>
        <v>289.64462685815363</v>
      </c>
      <c r="U214" s="57">
        <f>304.53929787559*Deflactores!$R$5</f>
        <v>506.18264998743035</v>
      </c>
      <c r="V214" s="57">
        <f>366.44756503056*Deflactores!$S$5</f>
        <v>590.31012145658212</v>
      </c>
      <c r="W214" s="56"/>
    </row>
    <row r="215" spans="3:23" x14ac:dyDescent="0.2">
      <c r="C215" s="87" t="s">
        <v>131</v>
      </c>
      <c r="D215" s="56">
        <f>101.3266476055*Deflactores!$A$5</f>
        <v>377.31135232930632</v>
      </c>
      <c r="E215" s="56">
        <f>132.98561860058*Deflactores!$B$5</f>
        <v>460.01679072553674</v>
      </c>
      <c r="F215" s="56">
        <f>147.61557335903*Deflactores!$C$5</f>
        <v>477.25504251373269</v>
      </c>
      <c r="G215" s="56">
        <f>202.744610962079*Deflactores!$D$5</f>
        <v>615.53575696454652</v>
      </c>
      <c r="H215" s="56">
        <f>228.35638374012*Deflactores!$E$5</f>
        <v>657.16902459319715</v>
      </c>
      <c r="I215" s="56">
        <f>329.81623798795*Deflactores!$F$5</f>
        <v>905.20330717791069</v>
      </c>
      <c r="J215" s="56">
        <f>325.17123831642*Deflactores!$G$5</f>
        <v>854.20397389772404</v>
      </c>
      <c r="K215" s="56">
        <f>533.83948090443*Deflactores!$H$5</f>
        <v>1326.807515532588</v>
      </c>
      <c r="L215" s="56">
        <f>558.81806546503*Deflactores!$I$5</f>
        <v>1289.8978708265749</v>
      </c>
      <c r="M215" s="56">
        <f>688.98115584056*Deflactores!$J$5</f>
        <v>1559.1373030646253</v>
      </c>
      <c r="N215" s="56">
        <f>742.326055941519*Deflactores!$K$5</f>
        <v>1628.2202355263821</v>
      </c>
      <c r="O215" s="56">
        <f>688.6629508671*Deflactores!$L$5</f>
        <v>1456.2457235580021</v>
      </c>
      <c r="P215" s="56">
        <f>812.645474767819*Deflactores!$M$5</f>
        <v>1677.4882830380591</v>
      </c>
      <c r="Q215" s="56">
        <f>1047.10378402491*Deflactores!$N$5</f>
        <v>2120.3300768574854</v>
      </c>
      <c r="R215" s="56">
        <f>1606.97712408397*Deflactores!$O$5</f>
        <v>3139.1512027689478</v>
      </c>
      <c r="S215" s="56">
        <f>2220.49186767588*Deflactores!$P$5</f>
        <v>4062.5852232226734</v>
      </c>
      <c r="T215" s="56">
        <f>2297.61973005704*Deflactores!$Q$5</f>
        <v>3975.1275961187462</v>
      </c>
      <c r="U215" s="56">
        <f>3059.87061754035*Deflactores!$R$5</f>
        <v>5085.8901580510801</v>
      </c>
      <c r="V215" s="56">
        <f>3216.29382060894*Deflactores!$S$5</f>
        <v>5181.1254243847497</v>
      </c>
      <c r="W215" s="56"/>
    </row>
    <row r="216" spans="3:23" x14ac:dyDescent="0.2">
      <c r="C216" s="88" t="s">
        <v>132</v>
      </c>
      <c r="D216" s="57">
        <f>10.70356688839*Deflactores!$A$5</f>
        <v>39.857010893414802</v>
      </c>
      <c r="E216" s="57">
        <f>10.2167416666*Deflactores!$B$5</f>
        <v>35.341210294755179</v>
      </c>
      <c r="F216" s="57">
        <f>13.06264461278*Deflactores!$C$5</f>
        <v>42.232759512787119</v>
      </c>
      <c r="G216" s="57">
        <f>4.75706574913*Deflactores!$D$5</f>
        <v>14.442524775016222</v>
      </c>
      <c r="H216" s="57">
        <f>7.37017654489*Deflactores!$E$5</f>
        <v>21.210056192679467</v>
      </c>
      <c r="I216" s="57">
        <f>7.38255884273*Deflactores!$F$5</f>
        <v>20.261939559564322</v>
      </c>
      <c r="J216" s="57">
        <f>13.7152646739599*Deflactores!$G$5</f>
        <v>36.029120066748604</v>
      </c>
      <c r="K216" s="57">
        <f>17.02925426187*Deflactores!$H$5</f>
        <v>42.324600084438927</v>
      </c>
      <c r="L216" s="57">
        <f>25.01225941873*Deflactores!$I$5</f>
        <v>57.73481954620302</v>
      </c>
      <c r="M216" s="57">
        <f>54.64302449591*Deflactores!$J$5</f>
        <v>123.6550188951219</v>
      </c>
      <c r="N216" s="57">
        <f>54.39664415689*Deflactores!$K$5</f>
        <v>119.31376522765331</v>
      </c>
      <c r="O216" s="57">
        <f>43.13201319949*Deflactores!$L$5</f>
        <v>91.206895464783045</v>
      </c>
      <c r="P216" s="57">
        <f>74.54781542092*Deflactores!$M$5</f>
        <v>153.88393927918713</v>
      </c>
      <c r="Q216" s="57">
        <f>94.29165650773*Deflactores!$N$5</f>
        <v>190.93564395456195</v>
      </c>
      <c r="R216" s="57">
        <f>90.3101493444599*Deflactores!$O$5</f>
        <v>176.41645900747179</v>
      </c>
      <c r="S216" s="57">
        <f>120.95737216115*Deflactores!$P$5</f>
        <v>221.30215378634389</v>
      </c>
      <c r="T216" s="57">
        <f>180.37285380277*Deflactores!$Q$5</f>
        <v>312.06430697053725</v>
      </c>
      <c r="U216" s="57">
        <f>242.47644017462*Deflactores!$R$5</f>
        <v>403.02636770788206</v>
      </c>
      <c r="V216" s="57">
        <f>317.64550307918*Deflactores!$S$5</f>
        <v>511.69491462488088</v>
      </c>
      <c r="W216" s="56"/>
    </row>
    <row r="217" spans="3:23" x14ac:dyDescent="0.2">
      <c r="C217" s="87" t="s">
        <v>133</v>
      </c>
      <c r="D217" s="56">
        <f>3.744977924*Deflactores!$A$5</f>
        <v>13.945222884006077</v>
      </c>
      <c r="E217" s="56">
        <f>23.12764849674*Deflactores!$B$5</f>
        <v>80.0019336711362</v>
      </c>
      <c r="F217" s="56">
        <f>6.87315140566*Deflactores!$C$5</f>
        <v>22.221545407904781</v>
      </c>
      <c r="G217" s="56">
        <f>8.3630042725*Deflactores!$D$5</f>
        <v>25.390209589017612</v>
      </c>
      <c r="H217" s="56">
        <f>26.39959301021*Deflactores!$E$5</f>
        <v>75.973329512526533</v>
      </c>
      <c r="I217" s="56">
        <f>32.83502680942*Deflactores!$F$5</f>
        <v>90.117985216507947</v>
      </c>
      <c r="J217" s="56">
        <f>27.14047124247*Deflactores!$G$5</f>
        <v>71.296276106114917</v>
      </c>
      <c r="K217" s="56">
        <f>39.5604750035*Deflactores!$H$5</f>
        <v>98.323817233891873</v>
      </c>
      <c r="L217" s="56">
        <f>46.86995712771*Deflactores!$I$5</f>
        <v>108.18808775348964</v>
      </c>
      <c r="M217" s="56">
        <f>51.75586886743*Deflactores!$J$5</f>
        <v>117.12149907102115</v>
      </c>
      <c r="N217" s="56">
        <f>43.12275618106*Deflactores!$K$5</f>
        <v>94.585584951100941</v>
      </c>
      <c r="O217" s="56">
        <f>55.03815352405*Deflactores!$L$5</f>
        <v>116.38360333020729</v>
      </c>
      <c r="P217" s="56">
        <f>74.1126851630499*Deflactores!$M$5</f>
        <v>152.9857297501413</v>
      </c>
      <c r="Q217" s="56">
        <f>87.33037008419*Deflactores!$N$5</f>
        <v>176.83940516463471</v>
      </c>
      <c r="R217" s="56">
        <f>92.9876124304584*Deflactores!$O$5</f>
        <v>181.64675217145987</v>
      </c>
      <c r="S217" s="56">
        <f>67.5441921339799*Deflactores!$P$5</f>
        <v>123.57804181702774</v>
      </c>
      <c r="T217" s="56">
        <f>71.12712063498*Deflactores!$Q$5</f>
        <v>123.05751746898382</v>
      </c>
      <c r="U217" s="56">
        <f>81.88406834613*Deflactores!$R$5</f>
        <v>136.10162956416988</v>
      </c>
      <c r="V217" s="56">
        <f>84.12088707808*Deflactores!$S$5</f>
        <v>135.51027706775906</v>
      </c>
      <c r="W217" s="56"/>
    </row>
    <row r="218" spans="3:23" x14ac:dyDescent="0.2">
      <c r="C218" s="88" t="s">
        <v>134</v>
      </c>
      <c r="D218" s="57">
        <f>600.0017996225*Deflactores!$A$5</f>
        <v>2234.234485848071</v>
      </c>
      <c r="E218" s="57">
        <f>1525.1343357527*Deflactores!$B$5</f>
        <v>5275.6637141756346</v>
      </c>
      <c r="F218" s="57">
        <f>806.60995070965*Deflactores!$C$5</f>
        <v>2607.845890227577</v>
      </c>
      <c r="G218" s="57">
        <f>1095.16576919778*Deflactores!$D$5</f>
        <v>3324.9401182401853</v>
      </c>
      <c r="H218" s="57">
        <f>888.48737650609*Deflactores!$E$5</f>
        <v>2556.9085173741637</v>
      </c>
      <c r="I218" s="57">
        <f>1141.81960916971*Deflactores!$F$5</f>
        <v>3133.8023037506518</v>
      </c>
      <c r="J218" s="57">
        <f>246.129195043199*Deflactores!$G$5</f>
        <v>646.5655990569569</v>
      </c>
      <c r="K218" s="57">
        <f>690.77638095937*Deflactores!$H$5</f>
        <v>1716.8593305547863</v>
      </c>
      <c r="L218" s="57">
        <f>738.42863547642*Deflactores!$I$5</f>
        <v>1704.4859204144916</v>
      </c>
      <c r="M218" s="57">
        <f>811.43965903707*Deflactores!$J$5</f>
        <v>1836.256087508305</v>
      </c>
      <c r="N218" s="57">
        <f>581.56753154947*Deflactores!$K$5</f>
        <v>1275.6119977399444</v>
      </c>
      <c r="O218" s="57">
        <f>964.0394671779*Deflactores!$L$5</f>
        <v>2038.5565241332054</v>
      </c>
      <c r="P218" s="57">
        <f>727.15072667143*Deflactores!$M$5</f>
        <v>1501.0073419069238</v>
      </c>
      <c r="Q218" s="57">
        <f>1036.96661835913*Deflactores!$N$5</f>
        <v>2099.8028496779407</v>
      </c>
      <c r="R218" s="57">
        <f>635.09606372685*Deflactores!$O$5</f>
        <v>1240.6290932476211</v>
      </c>
      <c r="S218" s="57">
        <f>606.78003128684*Deflactores!$P$5</f>
        <v>1110.1574496792221</v>
      </c>
      <c r="T218" s="57">
        <f>513.02211601607*Deflactores!$Q$5</f>
        <v>887.58306873700315</v>
      </c>
      <c r="U218" s="57">
        <f>562.3983082129*Deflactores!$R$5</f>
        <v>934.77678573997673</v>
      </c>
      <c r="V218" s="57">
        <f>732.78622770376*Deflactores!$S$5</f>
        <v>1180.4448121832734</v>
      </c>
      <c r="W218" s="56"/>
    </row>
    <row r="219" spans="3:23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</row>
    <row r="220" spans="3:23" x14ac:dyDescent="0.2">
      <c r="C220" s="88" t="s">
        <v>136</v>
      </c>
      <c r="D220" s="57">
        <f>718.21287463968*Deflactores!$A$5</f>
        <v>2674.4185995936068</v>
      </c>
      <c r="E220" s="57">
        <f>864.26322158208*Deflactores!$B$5</f>
        <v>2989.6134463111625</v>
      </c>
      <c r="F220" s="57">
        <f>845.281439885219*Deflactores!$C$5</f>
        <v>2732.8744545624968</v>
      </c>
      <c r="G220" s="57">
        <f>877.95683123884*Deflactores!$D$5</f>
        <v>2665.4904420609828</v>
      </c>
      <c r="H220" s="57">
        <f>1024.64514130099*Deflactores!$E$5</f>
        <v>2948.7463281484193</v>
      </c>
      <c r="I220" s="57">
        <f>1301.0884302723*Deflactores!$F$5</f>
        <v>3570.9265171365882</v>
      </c>
      <c r="J220" s="57">
        <f>2097.63983424213*Deflactores!$G$5</f>
        <v>5510.3652201619407</v>
      </c>
      <c r="K220" s="57">
        <f>2743.43158082295*Deflactores!$H$5</f>
        <v>6818.5395984921288</v>
      </c>
      <c r="L220" s="57">
        <f>3894.97751457531*Deflactores!$I$5</f>
        <v>8990.6241645698537</v>
      </c>
      <c r="M220" s="57">
        <f>4572.26997866078*Deflactores!$J$5</f>
        <v>10346.867433138077</v>
      </c>
      <c r="N220" s="57">
        <f>4779.42855508494*Deflactores!$K$5</f>
        <v>10483.213172103697</v>
      </c>
      <c r="O220" s="57">
        <f>4412.6075730229*Deflactores!$L$5</f>
        <v>9330.8938717603942</v>
      </c>
      <c r="P220" s="57">
        <f>5803.6491555047*Deflactores!$M$5</f>
        <v>11980.074656792258</v>
      </c>
      <c r="Q220" s="57">
        <f>7021.98178589549*Deflactores!$N$5</f>
        <v>14219.143705649571</v>
      </c>
      <c r="R220" s="57">
        <f>7665.80308278757*Deflactores!$O$5</f>
        <v>14974.771331135064</v>
      </c>
      <c r="S220" s="57">
        <f>8941.56216394183*Deflactores!$P$5</f>
        <v>16359.374627108264</v>
      </c>
      <c r="T220" s="57">
        <f>8014.04712896545*Deflactores!$Q$5</f>
        <v>13865.157703079045</v>
      </c>
      <c r="U220" s="57">
        <f>8955.62195862728*Deflactores!$R$5</f>
        <v>14885.371073376109</v>
      </c>
      <c r="V220" s="57">
        <f>9018.34166360566*Deflactores!$S$5</f>
        <v>14527.64016138584</v>
      </c>
      <c r="W220" s="56"/>
    </row>
    <row r="221" spans="3:23" x14ac:dyDescent="0.2">
      <c r="C221" s="87" t="s">
        <v>137</v>
      </c>
      <c r="D221" s="56">
        <f>20.77944408432*Deflactores!$A$5</f>
        <v>77.376685535191953</v>
      </c>
      <c r="E221" s="56">
        <f>25.73290710087*Deflactores!$B$5</f>
        <v>89.013905903122705</v>
      </c>
      <c r="F221" s="56">
        <f>28.47007463664*Deflactores!$C$5</f>
        <v>92.046430955027589</v>
      </c>
      <c r="G221" s="56">
        <f>22.12272885689*Deflactores!$D$5</f>
        <v>67.164945043072748</v>
      </c>
      <c r="H221" s="56">
        <f>44.9163779731599*Deflactores!$E$5</f>
        <v>129.2613406178007</v>
      </c>
      <c r="I221" s="56">
        <f>134.31068601913*Deflactores!$F$5</f>
        <v>368.62489826317278</v>
      </c>
      <c r="J221" s="56">
        <f>70.09370745139*Deflactores!$G$5</f>
        <v>184.13167093191345</v>
      </c>
      <c r="K221" s="56">
        <f>79.6700816598*Deflactores!$H$5</f>
        <v>198.01244922954976</v>
      </c>
      <c r="L221" s="56">
        <f>109.749520816189*Deflactores!$I$5</f>
        <v>253.33052378546992</v>
      </c>
      <c r="M221" s="56">
        <f>101.23946465667*Deflactores!$J$5</f>
        <v>229.10093338610085</v>
      </c>
      <c r="N221" s="56">
        <f>126.74894218223*Deflactores!$K$5</f>
        <v>278.01151642308605</v>
      </c>
      <c r="O221" s="56">
        <f>149.46853691812*Deflactores!$L$5</f>
        <v>316.06596146841184</v>
      </c>
      <c r="P221" s="56">
        <f>173.546596279419*Deflactores!$M$5</f>
        <v>358.24032848154161</v>
      </c>
      <c r="Q221" s="56">
        <f>201.10007995124*Deflactores!$N$5</f>
        <v>407.21708247490716</v>
      </c>
      <c r="R221" s="56">
        <f>370.604376066579*Deflactores!$O$5</f>
        <v>723.9575196467116</v>
      </c>
      <c r="S221" s="56">
        <f>194.927242185719*Deflactores!$P$5</f>
        <v>356.63653861345392</v>
      </c>
      <c r="T221" s="56">
        <f>160.832958985449*Deflactores!$Q$5</f>
        <v>278.25820141813495</v>
      </c>
      <c r="U221" s="56">
        <f>171.64058285422*Deflactores!$R$5</f>
        <v>285.28825567210998</v>
      </c>
      <c r="V221" s="56">
        <f>423.475557647899*Deflactores!$S$5</f>
        <v>682.17647413806071</v>
      </c>
      <c r="W221" s="56"/>
    </row>
    <row r="222" spans="3:23" x14ac:dyDescent="0.2">
      <c r="C222" s="88" t="s">
        <v>138</v>
      </c>
      <c r="D222" s="57">
        <f>7.24496737172*Deflactores!$A$5</f>
        <v>26.97817900033824</v>
      </c>
      <c r="E222" s="57">
        <f>20.17112825247*Deflactores!$B$5</f>
        <v>69.774895824517245</v>
      </c>
      <c r="F222" s="57">
        <f>4.38859275891*Deflactores!$C$5</f>
        <v>14.188733451821308</v>
      </c>
      <c r="G222" s="57">
        <f>2.28970573560999*Deflactores!$D$5</f>
        <v>6.9515818275355779</v>
      </c>
      <c r="H222" s="57">
        <f>7.12534524595*Deflactores!$E$5</f>
        <v>20.505475294702944</v>
      </c>
      <c r="I222" s="57">
        <f>3.15838128155*Deflactores!$F$5</f>
        <v>8.6683942513840755</v>
      </c>
      <c r="J222" s="57">
        <f>2.11638848706*Deflactores!$G$5</f>
        <v>5.5596167278450075</v>
      </c>
      <c r="K222" s="57">
        <f>30.60837305353*Deflactores!$H$5</f>
        <v>76.0742149247653</v>
      </c>
      <c r="L222" s="57">
        <f>62.4726873660299*Deflactores!$I$5</f>
        <v>144.20325934022443</v>
      </c>
      <c r="M222" s="57">
        <f>19.4183777286499*Deflactores!$J$5</f>
        <v>43.943026344168501</v>
      </c>
      <c r="N222" s="57">
        <f>21.59827802569*Deflactores!$K$5</f>
        <v>47.373728905891618</v>
      </c>
      <c r="O222" s="57">
        <f>17.8279177389099*Deflactores!$L$5</f>
        <v>37.698890196637819</v>
      </c>
      <c r="P222" s="57">
        <f>53.97807110646*Deflactores!$M$5</f>
        <v>111.4232277586388</v>
      </c>
      <c r="Q222" s="57">
        <f>32.26212360938*Deflactores!$N$5</f>
        <v>65.329103070679992</v>
      </c>
      <c r="R222" s="57">
        <f>12.17846894599*Deflactores!$O$5</f>
        <v>23.790043347058333</v>
      </c>
      <c r="S222" s="57">
        <f>12.17252577943*Deflactores!$P$5</f>
        <v>22.270706810815376</v>
      </c>
      <c r="T222" s="57">
        <f>8.00388973008*Deflactores!$Q$5</f>
        <v>13.847584317855139</v>
      </c>
      <c r="U222" s="57">
        <f>6.77227321476*Deflactores!$R$5</f>
        <v>11.256370610293178</v>
      </c>
      <c r="V222" s="57">
        <f>6.81710210028*Deflactores!$S$5</f>
        <v>10.981664916950965</v>
      </c>
      <c r="W222" s="56"/>
    </row>
    <row r="223" spans="3:23" x14ac:dyDescent="0.2">
      <c r="C223" s="87" t="s">
        <v>139</v>
      </c>
      <c r="D223" s="56">
        <f>71.2512946188*Deflactores!$A$5</f>
        <v>265.31937020655954</v>
      </c>
      <c r="E223" s="56">
        <f>121.63396262124*Deflactores!$B$5</f>
        <v>420.74974510069825</v>
      </c>
      <c r="F223" s="56">
        <f>97.69612731028*Deflactores!$C$5</f>
        <v>315.8607749298323</v>
      </c>
      <c r="G223" s="56">
        <f>89.00476583863*Deflactores!$D$5</f>
        <v>270.21983792299329</v>
      </c>
      <c r="H223" s="56">
        <f>95.98804812384*Deflactores!$E$5</f>
        <v>276.23651647040072</v>
      </c>
      <c r="I223" s="56">
        <f>125.03447486157*Deflactores!$F$5</f>
        <v>343.16569992554963</v>
      </c>
      <c r="J223" s="56">
        <f>186.9996999458*Deflactores!$G$5</f>
        <v>491.23621030697495</v>
      </c>
      <c r="K223" s="56">
        <f>377.98799618666*Deflactores!$H$5</f>
        <v>939.45339762412073</v>
      </c>
      <c r="L223" s="56">
        <f>366.724692972789*Deflactores!$I$5</f>
        <v>846.49625679421047</v>
      </c>
      <c r="M223" s="56">
        <f>555.61148729536*Deflactores!$J$5</f>
        <v>1257.326979859927</v>
      </c>
      <c r="N223" s="56">
        <f>322.784660748929*Deflactores!$K$5</f>
        <v>707.99685952331561</v>
      </c>
      <c r="O223" s="56">
        <f>1837.69771958284*Deflactores!$L$5</f>
        <v>3885.9930564948481</v>
      </c>
      <c r="P223" s="56">
        <f>297.412739599029*Deflactores!$M$5</f>
        <v>613.92870740609635</v>
      </c>
      <c r="Q223" s="56">
        <f>430.8283247003*Deflactores!$N$5</f>
        <v>872.40469260154748</v>
      </c>
      <c r="R223" s="56">
        <f>431.36495485138*Deflactores!$O$5</f>
        <v>842.65033805380108</v>
      </c>
      <c r="S223" s="56">
        <f>511.373278225449*Deflactores!$P$5</f>
        <v>935.60240139230871</v>
      </c>
      <c r="T223" s="56">
        <f>374.90768523261*Deflactores!$Q$5</f>
        <v>648.63034821177757</v>
      </c>
      <c r="U223" s="56">
        <f>299.483204839969*Deflactores!$R$5</f>
        <v>497.7787868761443</v>
      </c>
      <c r="V223" s="56">
        <f>170.52609260397*Deflactores!$S$5</f>
        <v>274.70036109578479</v>
      </c>
      <c r="W223" s="56"/>
    </row>
    <row r="224" spans="3:23" x14ac:dyDescent="0.2">
      <c r="C224" s="88" t="s">
        <v>140</v>
      </c>
      <c r="D224" s="57">
        <f>195.61822388637*Deflactores!$A$5</f>
        <v>728.42611829207431</v>
      </c>
      <c r="E224" s="57">
        <f>363.318579015919*Deflactores!$B$5</f>
        <v>1256.7723374047339</v>
      </c>
      <c r="F224" s="57">
        <f>205.32052735121*Deflactores!$C$5</f>
        <v>663.82059006479096</v>
      </c>
      <c r="G224" s="57">
        <f>289.50881697081*Deflactores!$D$5</f>
        <v>878.9532207855757</v>
      </c>
      <c r="H224" s="57">
        <f>542.0916073189*Deflactores!$E$5</f>
        <v>1560.0431526685234</v>
      </c>
      <c r="I224" s="57">
        <f>520.16111077437*Deflactores!$F$5</f>
        <v>1427.6178777938096</v>
      </c>
      <c r="J224" s="57">
        <f>623.315397549739*Deflactores!$G$5</f>
        <v>1637.4095456146022</v>
      </c>
      <c r="K224" s="57">
        <f>2262.41722930846*Deflactores!$H$5</f>
        <v>5623.0239435105987</v>
      </c>
      <c r="L224" s="57">
        <f>1534.98696702197*Deflactores!$I$5</f>
        <v>3543.150343324191</v>
      </c>
      <c r="M224" s="57">
        <f>6288.69592941564*Deflactores!$J$5</f>
        <v>14231.071964835553</v>
      </c>
      <c r="N224" s="57">
        <f>1187.811498224*Deflactores!$K$5</f>
        <v>2605.349363557285</v>
      </c>
      <c r="O224" s="57">
        <f>1929.6361863134*Deflactores!$L$5</f>
        <v>4080.4060111024428</v>
      </c>
      <c r="P224" s="57">
        <f>2241.41150176858*Deflactores!$M$5</f>
        <v>4626.7919387083111</v>
      </c>
      <c r="Q224" s="57">
        <f>2656.92605572163*Deflactores!$N$5</f>
        <v>5380.1354878867287</v>
      </c>
      <c r="R224" s="57">
        <f>2165.51482300643*Deflactores!$O$5</f>
        <v>4230.2272754066953</v>
      </c>
      <c r="S224" s="57">
        <f>2384.03076015752*Deflactores!$P$5</f>
        <v>4361.7940146124429</v>
      </c>
      <c r="T224" s="57">
        <f>2387.70491730661*Deflactores!$Q$5</f>
        <v>4130.9845941905714</v>
      </c>
      <c r="U224" s="57">
        <f>2615.70326519034*Deflactores!$R$5</f>
        <v>4347.6281044547131</v>
      </c>
      <c r="V224" s="57">
        <f>3230.78175839413*Deflactores!$S$5</f>
        <v>5204.4640330419461</v>
      </c>
      <c r="W224" s="56"/>
    </row>
    <row r="225" spans="2:23" x14ac:dyDescent="0.2">
      <c r="C225" s="87" t="s">
        <v>141</v>
      </c>
      <c r="D225" s="56">
        <f>0.50997717775*Deflactores!$A$5</f>
        <v>1.8990086333764284</v>
      </c>
      <c r="E225" s="56">
        <f>2.01979671507*Deflactores!$B$5</f>
        <v>6.9867735516209439</v>
      </c>
      <c r="F225" s="56">
        <f>1.23149935904999*Deflactores!$C$5</f>
        <v>3.9815533387492961</v>
      </c>
      <c r="G225" s="56">
        <f>1.65200836502*Deflactores!$D$5</f>
        <v>5.0155228030428001</v>
      </c>
      <c r="H225" s="56">
        <f>3.22899349088999*Deflactores!$E$5</f>
        <v>9.2924685006436434</v>
      </c>
      <c r="I225" s="56">
        <f>3.07963480564999*Deflactores!$F$5</f>
        <v>8.4522691422986362</v>
      </c>
      <c r="J225" s="56">
        <f>13.57879981068*Deflactores!$G$5</f>
        <v>35.670635629088501</v>
      </c>
      <c r="K225" s="56">
        <f>18.98929350189*Deflactores!$H$5</f>
        <v>47.196092147917248</v>
      </c>
      <c r="L225" s="56">
        <f>25.9493086861799*Deflactores!$I$5</f>
        <v>59.897773698262135</v>
      </c>
      <c r="M225" s="56">
        <f>43.61357929084*Deflactores!$J$5</f>
        <v>98.695817463332091</v>
      </c>
      <c r="N225" s="56">
        <f>45.57912019648*Deflactores!$K$5</f>
        <v>99.973381275524673</v>
      </c>
      <c r="O225" s="56">
        <f>33.7722522734399*Deflactores!$L$5</f>
        <v>71.414757954083541</v>
      </c>
      <c r="P225" s="56">
        <f>51.5931416035099*Deflactores!$M$5</f>
        <v>106.50018145949635</v>
      </c>
      <c r="Q225" s="56">
        <f>63.4935462330899*Deflactores!$N$5</f>
        <v>128.57109086825639</v>
      </c>
      <c r="R225" s="56">
        <f>42.9919971538*Deflactores!$O$5</f>
        <v>83.982763383592768</v>
      </c>
      <c r="S225" s="56">
        <f>37.2615806565999*Deflactores!$P$5</f>
        <v>68.173339958171326</v>
      </c>
      <c r="T225" s="56">
        <f>45.0617977053662*Deflactores!$Q$5</f>
        <v>77.961724146960833</v>
      </c>
      <c r="U225" s="56">
        <f>163.5910267423*Deflactores!$R$5</f>
        <v>271.90888009602679</v>
      </c>
      <c r="V225" s="56">
        <f>187.07936476754*Deflactores!$S$5</f>
        <v>301.3660154318041</v>
      </c>
      <c r="W225" s="56"/>
    </row>
    <row r="226" spans="2:23" x14ac:dyDescent="0.2">
      <c r="C226" s="88" t="s">
        <v>142</v>
      </c>
      <c r="D226" s="57">
        <f>70.63357127525*Deflactores!$A$5</f>
        <v>263.01914577766428</v>
      </c>
      <c r="E226" s="57">
        <f>235.63606969175*Deflactores!$B$5</f>
        <v>815.09978070895693</v>
      </c>
      <c r="F226" s="57">
        <f>74.8456918235799*Deflactores!$C$5</f>
        <v>241.98316627713217</v>
      </c>
      <c r="G226" s="57">
        <f>71.21573308882*Deflactores!$D$5</f>
        <v>216.21206091051613</v>
      </c>
      <c r="H226" s="57">
        <f>158.973680149549*Deflactores!$E$5</f>
        <v>457.49795389457819</v>
      </c>
      <c r="I226" s="57">
        <f>49.29369756039*Deflactores!$F$5</f>
        <v>135.28993698704119</v>
      </c>
      <c r="J226" s="57">
        <f>74.1701642299499*Deflactores!$G$5</f>
        <v>194.84026126633833</v>
      </c>
      <c r="K226" s="57">
        <f>153.581341325569*Deflactores!$H$5</f>
        <v>381.71189131817101</v>
      </c>
      <c r="L226" s="57">
        <f>175.71901463452*Deflactores!$I$5</f>
        <v>405.60532460988435</v>
      </c>
      <c r="M226" s="57">
        <f>330.115466509639*Deflactores!$J$5</f>
        <v>747.03833884372159</v>
      </c>
      <c r="N226" s="57">
        <f>329.01173752047*Deflactores!$K$5</f>
        <v>721.65534870936415</v>
      </c>
      <c r="O226" s="57">
        <f>288.39815569576*Deflactores!$L$5</f>
        <v>609.84634121113618</v>
      </c>
      <c r="P226" s="57">
        <f>461.475308407236*Deflactores!$M$5</f>
        <v>952.59180885205433</v>
      </c>
      <c r="Q226" s="57">
        <f>292.20892426328*Deflactores!$N$5</f>
        <v>591.70769917384246</v>
      </c>
      <c r="R226" s="57">
        <f>237.31708894872*Deflactores!$O$5</f>
        <v>463.58732432837809</v>
      </c>
      <c r="S226" s="57">
        <f>160.945413628413*Deflactores!$P$5</f>
        <v>294.46379366235686</v>
      </c>
      <c r="T226" s="57">
        <f>207.35384785543*Deflactores!$Q$5</f>
        <v>358.74430915992559</v>
      </c>
      <c r="U226" s="57">
        <f>226.89264958024*Deflactores!$R$5</f>
        <v>377.12414597512247</v>
      </c>
      <c r="V226" s="57">
        <f>186.76520905418*Deflactores!$S$5</f>
        <v>300.85994221695177</v>
      </c>
      <c r="W226" s="56"/>
    </row>
    <row r="227" spans="2:23" x14ac:dyDescent="0.2">
      <c r="C227" s="87" t="s">
        <v>143</v>
      </c>
      <c r="D227" s="56">
        <f>478.573798976619*Deflactores!$A$5</f>
        <v>1782.0714644016339</v>
      </c>
      <c r="E227" s="56">
        <f>385.81379488361*Deflactores!$B$5</f>
        <v>1334.5865937057399</v>
      </c>
      <c r="F227" s="56">
        <f>537.47258786779*Deflactores!$C$5</f>
        <v>1737.699464465865</v>
      </c>
      <c r="G227" s="56">
        <f>451.080899457589*Deflactores!$D$5</f>
        <v>1369.4885480917069</v>
      </c>
      <c r="H227" s="56">
        <f>473.59513337546*Deflactores!$E$5</f>
        <v>1362.9224931440167</v>
      </c>
      <c r="I227" s="56">
        <f>452.902909477739*Deflactores!$F$5</f>
        <v>1243.0231270321071</v>
      </c>
      <c r="J227" s="56">
        <f>40.8277992175699*Deflactores!$G$5</f>
        <v>107.25200825790722</v>
      </c>
      <c r="K227" s="56">
        <f>115.79532016356*Deflactores!$H$5</f>
        <v>287.79831120062573</v>
      </c>
      <c r="L227" s="56">
        <f>49.31787309361*Deflactores!$I$5</f>
        <v>113.83851637688993</v>
      </c>
      <c r="M227" s="56">
        <f>32.04724265598*Deflactores!$J$5</f>
        <v>72.521651806780525</v>
      </c>
      <c r="N227" s="56">
        <f>45.79105077182*Deflactores!$K$5</f>
        <v>100.43823044595784</v>
      </c>
      <c r="O227" s="56">
        <f>56.45846049696*Deflactores!$L$5</f>
        <v>119.38698249099352</v>
      </c>
      <c r="P227" s="56">
        <f>70.5414569754*Deflactores!$M$5</f>
        <v>145.6138884899047</v>
      </c>
      <c r="Q227" s="56">
        <f>100.732296572849*Deflactores!$N$5</f>
        <v>203.97760125872952</v>
      </c>
      <c r="R227" s="56">
        <f>97.04198805532*Deflactores!$O$5</f>
        <v>189.56677662514736</v>
      </c>
      <c r="S227" s="56">
        <f>66.81325477469*Deflactores!$P$5</f>
        <v>122.24072761282815</v>
      </c>
      <c r="T227" s="56">
        <f>62.10434169297*Deflactores!$Q$5</f>
        <v>107.44714596282834</v>
      </c>
      <c r="U227" s="56">
        <f>51.98171971707*Deflactores!$R$5</f>
        <v>86.400161886625853</v>
      </c>
      <c r="V227" s="56">
        <f>78.4672454852099*Deflactores!$S$5</f>
        <v>126.40282985336479</v>
      </c>
      <c r="W227" s="56"/>
    </row>
    <row r="228" spans="2:23" x14ac:dyDescent="0.2">
      <c r="C228" s="88" t="s">
        <v>144</v>
      </c>
      <c r="D228" s="57">
        <f>3.30990141816*Deflactores!$A$5</f>
        <v>12.325122854403507</v>
      </c>
      <c r="E228" s="57">
        <f>34.91933000916*Deflactores!$B$5</f>
        <v>120.79109225596856</v>
      </c>
      <c r="F228" s="57">
        <f>15.15585196482*Deflactores!$C$5</f>
        <v>49.000295898383506</v>
      </c>
      <c r="G228" s="57">
        <f>15.02365065738*Deflactores!$D$5</f>
        <v>45.612034450035061</v>
      </c>
      <c r="H228" s="57">
        <f>24.71888923175*Deflactores!$E$5</f>
        <v>71.136563206147997</v>
      </c>
      <c r="I228" s="57">
        <f>25.54293371844*Deflactores!$F$5</f>
        <v>70.104335123132458</v>
      </c>
      <c r="J228" s="57">
        <f>39.96841163936*Deflactores!$G$5</f>
        <v>104.99445224457095</v>
      </c>
      <c r="K228" s="57">
        <f>51.29681523284*Deflactores!$H$5</f>
        <v>127.49338032943875</v>
      </c>
      <c r="L228" s="57">
        <f>60.72293143023*Deflactores!$I$5</f>
        <v>140.16436619138494</v>
      </c>
      <c r="M228" s="57">
        <f>58.95885193803*Deflactores!$J$5</f>
        <v>133.42156693719414</v>
      </c>
      <c r="N228" s="57">
        <f>56.35410637401*Deflactores!$K$5</f>
        <v>123.60726882581369</v>
      </c>
      <c r="O228" s="57">
        <f>35.96286998739*Deflactores!$L$5</f>
        <v>76.047035142617631</v>
      </c>
      <c r="P228" s="57">
        <f>38.0838349023699*Deflactores!$M$5</f>
        <v>78.613846757879301</v>
      </c>
      <c r="Q228" s="57">
        <f>104.62414360902*Deflactores!$N$5</f>
        <v>211.85838676558976</v>
      </c>
      <c r="R228" s="57">
        <f>116.67564795315*Deflactores!$O$5</f>
        <v>227.92017080813073</v>
      </c>
      <c r="S228" s="57">
        <f>66.749551135*Deflactores!$P$5</f>
        <v>122.12417619958613</v>
      </c>
      <c r="T228" s="57">
        <f>58.830486963*Deflactores!$Q$5</f>
        <v>101.78302752210423</v>
      </c>
      <c r="U228" s="57">
        <f>89.7059556029899*Deflactores!$R$5</f>
        <v>149.10259084305781</v>
      </c>
      <c r="V228" s="57">
        <f>114.282096487289*Deflactores!$S$5</f>
        <v>184.09694781871019</v>
      </c>
      <c r="W228" s="56"/>
    </row>
    <row r="229" spans="2:23" x14ac:dyDescent="0.2">
      <c r="C229" s="87" t="s">
        <v>145</v>
      </c>
      <c r="D229" s="56">
        <f>6.46794301177*Deflactores!$A$5</f>
        <v>24.084763309857681</v>
      </c>
      <c r="E229" s="56">
        <f>0.092233314*Deflactores!$B$5</f>
        <v>0.31904858247638862</v>
      </c>
      <c r="F229" s="56">
        <f>0.061303668*Deflactores!$C$5</f>
        <v>0.19820052865579307</v>
      </c>
      <c r="G229" s="56">
        <f>4.482766776*Deflactores!$D$5</f>
        <v>13.60974887404911</v>
      </c>
      <c r="H229" s="56">
        <f>8.925352765*Deflactores!$E$5</f>
        <v>25.685576530237981</v>
      </c>
      <c r="I229" s="56">
        <f>53.421271057*Deflactores!$F$5</f>
        <v>146.61834580810043</v>
      </c>
      <c r="J229" s="56">
        <f>86.70101822622*Deflactores!$G$5</f>
        <v>227.75801049706905</v>
      </c>
      <c r="K229" s="56">
        <f>5.158753478*Deflactores!$H$5</f>
        <v>12.821593625473417</v>
      </c>
      <c r="L229" s="56">
        <f>67.277743976*Deflactores!$I$5</f>
        <v>155.29458346419275</v>
      </c>
      <c r="M229" s="56">
        <f>49.2395479505*Deflactores!$J$5</f>
        <v>111.4271636384636</v>
      </c>
      <c r="N229" s="56">
        <f>49.362647968*Deflactores!$K$5</f>
        <v>108.2721826310172</v>
      </c>
      <c r="O229" s="56">
        <f>30.99865425609*Deflactores!$L$5</f>
        <v>65.549711422178248</v>
      </c>
      <c r="P229" s="56">
        <f>42.38621083284*Deflactores!$M$5</f>
        <v>87.494946126150055</v>
      </c>
      <c r="Q229" s="56">
        <f>45.82001927172*Deflactores!$N$5</f>
        <v>92.783128536288714</v>
      </c>
      <c r="R229" s="56">
        <f>43.98351716436*Deflactores!$O$5</f>
        <v>85.919649221649209</v>
      </c>
      <c r="S229" s="56">
        <f>43.91209795516*Deflactores!$P$5</f>
        <v>80.341046445741696</v>
      </c>
      <c r="T229" s="56">
        <f>50.19785864576*Deflactores!$Q$5</f>
        <v>86.84765827801921</v>
      </c>
      <c r="U229" s="56">
        <f>67.9554022781*Deflactores!$R$5</f>
        <v>112.95043314949351</v>
      </c>
      <c r="V229" s="56">
        <f>69.8594663844*Deflactores!$S$5</f>
        <v>112.53656463190869</v>
      </c>
      <c r="W229" s="56"/>
    </row>
    <row r="230" spans="2:23" x14ac:dyDescent="0.2">
      <c r="C230" s="88" t="s">
        <v>146</v>
      </c>
      <c r="D230" s="57">
        <f>3.21439404988999*Deflactores!$A$5</f>
        <v>11.969480828036748</v>
      </c>
      <c r="E230" s="57">
        <f>4.15648078777*Deflactores!$B$5</f>
        <v>14.377877644387381</v>
      </c>
      <c r="F230" s="57">
        <f>1.17608422715*Deflactores!$C$5</f>
        <v>3.8023910015444726</v>
      </c>
      <c r="G230" s="57">
        <f>2.72121537173*Deflactores!$D$5</f>
        <v>8.2616517191407635</v>
      </c>
      <c r="H230" s="57">
        <f>2.29439912359*Deflactores!$E$5</f>
        <v>6.6028722708846228</v>
      </c>
      <c r="I230" s="57">
        <f>4.06416115487*Deflactores!$F$5</f>
        <v>11.154369295870541</v>
      </c>
      <c r="J230" s="57">
        <f>4.29933402766*Deflactores!$G$5</f>
        <v>11.294074563775558</v>
      </c>
      <c r="K230" s="57">
        <f>3.76203384482*Deflactores!$H$5</f>
        <v>9.3501791410004955</v>
      </c>
      <c r="L230" s="57">
        <f>7.25781744755*Deflactores!$I$5</f>
        <v>16.752935975060314</v>
      </c>
      <c r="M230" s="57">
        <f>9.4035134516*Deflactores!$J$5</f>
        <v>21.279781715325171</v>
      </c>
      <c r="N230" s="57">
        <f>11.7246408356*Deflactores!$K$5</f>
        <v>25.716862974168347</v>
      </c>
      <c r="O230" s="57">
        <f>11.0856960125892*Deflactores!$L$5</f>
        <v>23.441797457915566</v>
      </c>
      <c r="P230" s="57">
        <f>56.3440275460279*Deflactores!$M$5</f>
        <v>116.30710926513159</v>
      </c>
      <c r="Q230" s="57">
        <f>44.7565573076721*Deflactores!$N$5</f>
        <v>90.629674005452017</v>
      </c>
      <c r="R230" s="57">
        <f>50.8315086598214*Deflactores!$O$5</f>
        <v>99.296865622152183</v>
      </c>
      <c r="S230" s="57">
        <f>64.8400880475273*Deflactores!$P$5</f>
        <v>118.63064549299763</v>
      </c>
      <c r="T230" s="57">
        <f>76.245319800748*Deflactores!$Q$5</f>
        <v>131.91254882170085</v>
      </c>
      <c r="U230" s="57">
        <f>82.79957096354*Deflactores!$R$5</f>
        <v>137.62331016231832</v>
      </c>
      <c r="V230" s="57">
        <f>72.147775937515*Deflactores!$S$5</f>
        <v>116.22280086086801</v>
      </c>
      <c r="W230" s="56"/>
    </row>
    <row r="231" spans="2:23" x14ac:dyDescent="0.2">
      <c r="C231" s="90" t="s">
        <v>147</v>
      </c>
      <c r="D231" s="58">
        <f>878.59762666681*Deflactores!$A$5</f>
        <v>3271.6453815943578</v>
      </c>
      <c r="E231" s="58">
        <f>1438.52602774484*Deflactores!$B$5</f>
        <v>4976.0728537563045</v>
      </c>
      <c r="F231" s="58">
        <f>1215.45894303325*Deflactores!$C$5</f>
        <v>3929.6931640142911</v>
      </c>
      <c r="G231" s="58">
        <f>1278.77542820178*Deflactores!$D$5</f>
        <v>3882.3818667765649</v>
      </c>
      <c r="H231" s="58">
        <f>1751.08751968309*Deflactores!$E$5</f>
        <v>5039.3181851972013</v>
      </c>
      <c r="I231" s="58">
        <f>2010.67097841978*Deflactores!$F$5</f>
        <v>5518.424533660248</v>
      </c>
      <c r="J231" s="58">
        <f>2274.30174319385*Deflactores!$G$5</f>
        <v>5974.4447169963851</v>
      </c>
      <c r="K231" s="58">
        <f>2644.57921860708*Deflactores!$H$5</f>
        <v>6572.8514060527868</v>
      </c>
      <c r="L231" s="58">
        <f>2317.30194685782*Deflactores!$I$5</f>
        <v>5348.9373949046594</v>
      </c>
      <c r="M231" s="58">
        <f>2637.0894052911*Deflactores!$J$5</f>
        <v>5967.6297797865191</v>
      </c>
      <c r="N231" s="58">
        <f>3731.01549729052*Deflactores!$K$5</f>
        <v>8183.620773011824</v>
      </c>
      <c r="O231" s="58">
        <f>3796.95894203751*Deflactores!$L$5</f>
        <v>8029.0441280534342</v>
      </c>
      <c r="P231" s="58">
        <f>5081.164751733*Deflactores!$M$5</f>
        <v>10488.699685005166</v>
      </c>
      <c r="Q231" s="58">
        <f>6417.92411705893*Deflactores!$N$5</f>
        <v>12995.958704381246</v>
      </c>
      <c r="R231" s="58">
        <f>7380.55780966715*Deflactores!$O$5</f>
        <v>14417.558643549017</v>
      </c>
      <c r="S231" s="58">
        <f>8272.28495713563*Deflactores!$P$5</f>
        <v>15134.873096527786</v>
      </c>
      <c r="T231" s="58">
        <f>8541.72378699712*Deflactores!$Q$5</f>
        <v>14778.094695101363</v>
      </c>
      <c r="U231" s="58">
        <f>4681.37189553516*Deflactores!$R$5</f>
        <v>7781.0294047065972</v>
      </c>
      <c r="V231" s="58">
        <f>4856.63202229209*Deflactores!$S$5</f>
        <v>7823.5450649264994</v>
      </c>
      <c r="W231" s="56"/>
    </row>
    <row r="232" spans="2:23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0*Deflactores!$R$5</f>
        <v>0</v>
      </c>
      <c r="V232" s="59">
        <f>12.311477938*Deflactores!$S$5</f>
        <v>19.832551039832204</v>
      </c>
      <c r="W232" s="56"/>
    </row>
    <row r="233" spans="2:23" x14ac:dyDescent="0.2">
      <c r="C233" s="87" t="s">
        <v>149</v>
      </c>
      <c r="D233" s="56">
        <f>70.77222704172*Deflactores!$A$5</f>
        <v>263.53546005422794</v>
      </c>
      <c r="E233" s="56">
        <f>65.54006019833*Deflactores!$B$5</f>
        <v>226.71269625738879</v>
      </c>
      <c r="F233" s="56">
        <f>30.08063461922*Deflactores!$C$5</f>
        <v>97.253522967518933</v>
      </c>
      <c r="G233" s="56">
        <f>7.18767991274*Deflactores!$D$5</f>
        <v>21.821906757042189</v>
      </c>
      <c r="H233" s="56">
        <f>108.86624710759*Deflactores!$E$5</f>
        <v>313.29768080509058</v>
      </c>
      <c r="I233" s="56">
        <f>50.89808838202*Deflactores!$F$5</f>
        <v>139.69329773909251</v>
      </c>
      <c r="J233" s="56">
        <f>132.76658405094*Deflactores!$G$5</f>
        <v>348.76929547742338</v>
      </c>
      <c r="K233" s="56">
        <f>253.37822816682*Deflactores!$H$5</f>
        <v>629.7476103387952</v>
      </c>
      <c r="L233" s="56">
        <f>250.42949043714*Deflactores!$I$5</f>
        <v>578.05659206496364</v>
      </c>
      <c r="M233" s="56">
        <f>414.23078004695*Deflactores!$J$5</f>
        <v>937.38799062047894</v>
      </c>
      <c r="N233" s="56">
        <f>349.11715396406*Deflactores!$K$5</f>
        <v>765.75463046718653</v>
      </c>
      <c r="O233" s="56">
        <f>528.0017893263*Deflactores!$L$5</f>
        <v>1116.5118535406473</v>
      </c>
      <c r="P233" s="56">
        <f>428.44097780168*Deflactores!$M$5</f>
        <v>884.40130727489566</v>
      </c>
      <c r="Q233" s="56">
        <f>775.45260526634*Deflactores!$N$5</f>
        <v>1570.2507308335742</v>
      </c>
      <c r="R233" s="56">
        <f>1158.31637178594*Deflactores!$O$5</f>
        <v>2262.7143704684104</v>
      </c>
      <c r="S233" s="56">
        <f>861.90654690102*Deflactores!$P$5</f>
        <v>1576.9338551570322</v>
      </c>
      <c r="T233" s="56">
        <f>916.889344831579*Deflactores!$Q$5</f>
        <v>1586.3165212011663</v>
      </c>
      <c r="U233" s="56">
        <f>873.98815849204*Deflactores!$R$5</f>
        <v>1452.6783413806345</v>
      </c>
      <c r="V233" s="56">
        <f>908.964528727519*Deflactores!$S$5</f>
        <v>1464.250311795957</v>
      </c>
      <c r="W233" s="56"/>
    </row>
    <row r="234" spans="2:23" x14ac:dyDescent="0.2">
      <c r="C234" s="88" t="s">
        <v>150</v>
      </c>
      <c r="D234" s="57">
        <f>456.55228560835*Deflactores!$A$5</f>
        <v>1700.0696693588416</v>
      </c>
      <c r="E234" s="57">
        <f>1040.3849312907*Deflactores!$B$5</f>
        <v>3598.8443130005371</v>
      </c>
      <c r="F234" s="57">
        <f>581.47455495515*Deflactores!$C$5</f>
        <v>1879.9619656037994</v>
      </c>
      <c r="G234" s="57">
        <f>574.5736802995*Deflactores!$D$5</f>
        <v>1744.4145299684833</v>
      </c>
      <c r="H234" s="57">
        <f>709.52533218795*Deflactores!$E$5</f>
        <v>2041.8876093639888</v>
      </c>
      <c r="I234" s="57">
        <f>1013.30491506711*Deflactores!$F$5</f>
        <v>2781.0849031996172</v>
      </c>
      <c r="J234" s="57">
        <f>1388.51858200609*Deflactores!$G$5</f>
        <v>3647.5492012189511</v>
      </c>
      <c r="K234" s="57">
        <f>2027.24498967906*Deflactores!$H$5</f>
        <v>5038.5255949503153</v>
      </c>
      <c r="L234" s="57">
        <f>1709.10271139325*Deflactores!$I$5</f>
        <v>3945.0549019303994</v>
      </c>
      <c r="M234" s="57">
        <f>2421.86227268834*Deflactores!$J$5</f>
        <v>5480.5792295240744</v>
      </c>
      <c r="N234" s="57">
        <f>2405.66155366826*Deflactores!$K$5</f>
        <v>5276.5853901524324</v>
      </c>
      <c r="O234" s="57">
        <f>3380.09026371731*Deflactores!$L$5</f>
        <v>7147.534197361344</v>
      </c>
      <c r="P234" s="57">
        <f>5332.07289356132*Deflactores!$M$5</f>
        <v>11006.632142767405</v>
      </c>
      <c r="Q234" s="57">
        <f>5420.34369781411*Deflactores!$N$5</f>
        <v>10975.910835889757</v>
      </c>
      <c r="R234" s="57">
        <f>5381.23630769837*Deflactores!$O$5</f>
        <v>10511.981891045623</v>
      </c>
      <c r="S234" s="57">
        <f>4681.28736398429*Deflactores!$P$5</f>
        <v>8564.8270761231306</v>
      </c>
      <c r="T234" s="57">
        <f>3315.06489311057*Deflactores!$Q$5</f>
        <v>5735.416425589764</v>
      </c>
      <c r="U234" s="57">
        <f>3298.80780281824*Deflactores!$R$5</f>
        <v>5483.0338385816258</v>
      </c>
      <c r="V234" s="57">
        <f>3063.99095289962*Deflactores!$S$5</f>
        <v>4935.7808432898337</v>
      </c>
      <c r="W234" s="56"/>
    </row>
    <row r="235" spans="2:23" x14ac:dyDescent="0.2">
      <c r="C235" s="87" t="s">
        <v>151</v>
      </c>
      <c r="D235" s="56">
        <f>63.953565918*Deflactores!$A$5</f>
        <v>238.14472316058564</v>
      </c>
      <c r="E235" s="56">
        <f>21.9711616745*Deflactores!$B$5</f>
        <v>76.001475861626119</v>
      </c>
      <c r="F235" s="56">
        <f>56.0764394204*Deflactores!$C$5</f>
        <v>181.30040666176509</v>
      </c>
      <c r="G235" s="56">
        <f>35.2659554043*Deflactores!$D$5</f>
        <v>107.06798297550738</v>
      </c>
      <c r="H235" s="56">
        <f>9.5346043585*Deflactores!$E$5</f>
        <v>27.438894168548011</v>
      </c>
      <c r="I235" s="56">
        <f>22.65820576873*Deflactores!$F$5</f>
        <v>62.187001227396706</v>
      </c>
      <c r="J235" s="56">
        <f>105.59388483823*Deflactores!$G$5</f>
        <v>277.38835856184636</v>
      </c>
      <c r="K235" s="56">
        <f>276.6781556009*Deflactores!$H$5</f>
        <v>687.6573752339018</v>
      </c>
      <c r="L235" s="56">
        <f>203.12475467744*Deflactores!$I$5</f>
        <v>468.86492181057883</v>
      </c>
      <c r="M235" s="56">
        <f>240.12921720191*Deflactores!$J$5</f>
        <v>543.40298993873466</v>
      </c>
      <c r="N235" s="56">
        <f>175.59608600289*Deflactores!$K$5</f>
        <v>385.15299068481102</v>
      </c>
      <c r="O235" s="56">
        <f>468.302105733759*Deflactores!$L$5</f>
        <v>990.27098517399543</v>
      </c>
      <c r="P235" s="56">
        <f>732.85055749066*Deflactores!$M$5</f>
        <v>1512.7731114970263</v>
      </c>
      <c r="Q235" s="56">
        <f>551.64323463517*Deflactores!$N$5</f>
        <v>1117.0485294169046</v>
      </c>
      <c r="R235" s="56">
        <f>713.7241593518*Deflactores!$O$5</f>
        <v>1394.2252317696255</v>
      </c>
      <c r="S235" s="56">
        <f>542.36887843788*Deflactores!$P$5</f>
        <v>992.31157886826077</v>
      </c>
      <c r="T235" s="56">
        <f>330.25736957812*Deflactores!$Q$5</f>
        <v>571.38053197296529</v>
      </c>
      <c r="U235" s="56">
        <f>357.64562416536*Deflactores!$R$5</f>
        <v>594.4520495689402</v>
      </c>
      <c r="V235" s="56">
        <f>347.59598352293*Deflactores!$S$5</f>
        <v>559.94212223549391</v>
      </c>
      <c r="W235" s="56"/>
    </row>
    <row r="236" spans="2:23" x14ac:dyDescent="0.2">
      <c r="C236" s="79" t="s">
        <v>202</v>
      </c>
      <c r="D236" s="44">
        <f t="shared" ref="D236:V236" si="62">+SUM(D207:D235)</f>
        <v>15548.925104009541</v>
      </c>
      <c r="E236" s="44">
        <f t="shared" si="62"/>
        <v>24855.163241025606</v>
      </c>
      <c r="F236" s="44">
        <f t="shared" si="62"/>
        <v>17775.587846753413</v>
      </c>
      <c r="G236" s="44">
        <f t="shared" si="62"/>
        <v>17291.499972571964</v>
      </c>
      <c r="H236" s="44">
        <f t="shared" si="62"/>
        <v>19764.426378283522</v>
      </c>
      <c r="I236" s="44">
        <f t="shared" si="62"/>
        <v>22371.671917617994</v>
      </c>
      <c r="J236" s="44">
        <f t="shared" si="62"/>
        <v>24309.45463037007</v>
      </c>
      <c r="K236" s="44">
        <f t="shared" si="62"/>
        <v>36439.795192084042</v>
      </c>
      <c r="L236" s="44">
        <f t="shared" si="62"/>
        <v>38201.332499382377</v>
      </c>
      <c r="M236" s="44">
        <f t="shared" si="62"/>
        <v>52001.117725074815</v>
      </c>
      <c r="N236" s="44">
        <f t="shared" si="62"/>
        <v>39734.171659084815</v>
      </c>
      <c r="O236" s="44">
        <f t="shared" si="62"/>
        <v>45659.093549840669</v>
      </c>
      <c r="P236" s="44">
        <f t="shared" si="62"/>
        <v>53430.534955149</v>
      </c>
      <c r="Q236" s="44">
        <f t="shared" si="62"/>
        <v>62670.742337205353</v>
      </c>
      <c r="R236" s="44">
        <f t="shared" si="62"/>
        <v>63252.270048425969</v>
      </c>
      <c r="S236" s="44">
        <f t="shared" si="62"/>
        <v>61397.69141018761</v>
      </c>
      <c r="T236" s="44">
        <f t="shared" si="62"/>
        <v>51821.587540800392</v>
      </c>
      <c r="U236" s="44">
        <f t="shared" si="62"/>
        <v>48134.574022826215</v>
      </c>
      <c r="V236" s="44">
        <f t="shared" si="62"/>
        <v>47850.197497943351</v>
      </c>
    </row>
    <row r="237" spans="2:23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customHeight="1" x14ac:dyDescent="0.2">
      <c r="C241" s="9"/>
      <c r="D241" s="155" t="s">
        <v>208</v>
      </c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</row>
    <row r="242" spans="3:22" ht="5.25" customHeight="1" x14ac:dyDescent="0.2">
      <c r="H242" s="27"/>
      <c r="I242" s="27"/>
      <c r="J242" s="27"/>
      <c r="L242" s="177"/>
      <c r="M242" s="156"/>
      <c r="N242" s="156"/>
      <c r="O242" s="156"/>
      <c r="P242" s="156"/>
      <c r="Q242" s="156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76" t="s">
        <v>120</v>
      </c>
      <c r="D244" s="153">
        <v>2000</v>
      </c>
      <c r="E244" s="153">
        <v>2001</v>
      </c>
      <c r="F244" s="153">
        <v>2002</v>
      </c>
      <c r="G244" s="153">
        <v>2003</v>
      </c>
      <c r="H244" s="153">
        <v>2004</v>
      </c>
      <c r="I244" s="153">
        <v>2005</v>
      </c>
      <c r="J244" s="153">
        <v>2006</v>
      </c>
      <c r="K244" s="153">
        <v>2007</v>
      </c>
      <c r="L244" s="153">
        <v>2008</v>
      </c>
      <c r="M244" s="153">
        <v>2009</v>
      </c>
      <c r="N244" s="153">
        <v>2010</v>
      </c>
      <c r="O244" s="153">
        <v>2011</v>
      </c>
      <c r="P244" s="153">
        <v>2012</v>
      </c>
      <c r="Q244" s="153">
        <v>2013</v>
      </c>
      <c r="R244" s="153">
        <v>2014</v>
      </c>
      <c r="S244" s="153">
        <v>2015</v>
      </c>
      <c r="T244" s="153">
        <v>2016</v>
      </c>
      <c r="U244" s="153">
        <v>2017</v>
      </c>
      <c r="V244" s="153">
        <v>2018</v>
      </c>
    </row>
    <row r="245" spans="3:22" ht="12" customHeight="1" thickBot="1" x14ac:dyDescent="0.25">
      <c r="C245" s="160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3:22" x14ac:dyDescent="0.2">
      <c r="C246" s="87" t="s">
        <v>123</v>
      </c>
      <c r="D246" s="60">
        <f t="shared" ref="D246:V246" si="63">+IFERROR(IF(D207&gt;0,+((D207/D13)*100)," "),"")</f>
        <v>37.695382501558505</v>
      </c>
      <c r="E246" s="60">
        <f t="shared" si="63"/>
        <v>50.217159302731808</v>
      </c>
      <c r="F246" s="60">
        <f t="shared" si="63"/>
        <v>44.666918459517767</v>
      </c>
      <c r="G246" s="60">
        <f t="shared" si="63"/>
        <v>43.814127524745395</v>
      </c>
      <c r="H246" s="60">
        <f t="shared" si="63"/>
        <v>52.431766280127654</v>
      </c>
      <c r="I246" s="60">
        <f t="shared" si="63"/>
        <v>65.966372065240591</v>
      </c>
      <c r="J246" s="60">
        <f t="shared" si="63"/>
        <v>76.310324288114046</v>
      </c>
      <c r="K246" s="60">
        <f t="shared" si="63"/>
        <v>87.585188207760865</v>
      </c>
      <c r="L246" s="60">
        <f t="shared" si="63"/>
        <v>90.372722737369301</v>
      </c>
      <c r="M246" s="60">
        <f t="shared" si="63"/>
        <v>71.461358349737168</v>
      </c>
      <c r="N246" s="60">
        <f t="shared" si="63"/>
        <v>72.302371006847494</v>
      </c>
      <c r="O246" s="60">
        <f t="shared" si="63"/>
        <v>73.564576743233758</v>
      </c>
      <c r="P246" s="60">
        <f t="shared" si="63"/>
        <v>58.561920709315196</v>
      </c>
      <c r="Q246" s="60">
        <f t="shared" si="63"/>
        <v>59.321621017313809</v>
      </c>
      <c r="R246" s="60">
        <f t="shared" si="63"/>
        <v>53.008544884058004</v>
      </c>
      <c r="S246" s="60">
        <f t="shared" si="63"/>
        <v>53.667263820803001</v>
      </c>
      <c r="T246" s="60">
        <f t="shared" si="63"/>
        <v>40.713490007557631</v>
      </c>
      <c r="U246" s="60">
        <f t="shared" si="63"/>
        <v>54.799558989672533</v>
      </c>
      <c r="V246" s="60">
        <f t="shared" si="63"/>
        <v>53.034627494932849</v>
      </c>
    </row>
    <row r="247" spans="3:22" x14ac:dyDescent="0.2">
      <c r="C247" s="88" t="s">
        <v>124</v>
      </c>
      <c r="D247" s="62">
        <f t="shared" ref="D247:V247" si="64">+IFERROR(IF(D208&gt;0,+((D208/D14)*100)," "),"")</f>
        <v>21.965448000989333</v>
      </c>
      <c r="E247" s="62">
        <f t="shared" si="64"/>
        <v>46.811769892214237</v>
      </c>
      <c r="F247" s="62">
        <f t="shared" si="64"/>
        <v>41.158392487454719</v>
      </c>
      <c r="G247" s="62">
        <f t="shared" si="64"/>
        <v>39.081038067311688</v>
      </c>
      <c r="H247" s="62">
        <f t="shared" si="64"/>
        <v>15.735750514890956</v>
      </c>
      <c r="I247" s="62">
        <f t="shared" si="64"/>
        <v>29.400814456546286</v>
      </c>
      <c r="J247" s="62">
        <f t="shared" si="64"/>
        <v>29.599440403018573</v>
      </c>
      <c r="K247" s="62">
        <f t="shared" si="64"/>
        <v>78.083443551462565</v>
      </c>
      <c r="L247" s="62">
        <f t="shared" si="64"/>
        <v>30.967331670344834</v>
      </c>
      <c r="M247" s="62">
        <f t="shared" si="64"/>
        <v>25.627030484409175</v>
      </c>
      <c r="N247" s="62">
        <f t="shared" si="64"/>
        <v>49.612403314526098</v>
      </c>
      <c r="O247" s="62">
        <f t="shared" si="64"/>
        <v>80.599053863105198</v>
      </c>
      <c r="P247" s="62">
        <f t="shared" si="64"/>
        <v>69.81488617202281</v>
      </c>
      <c r="Q247" s="62">
        <f t="shared" si="64"/>
        <v>51.033653920823063</v>
      </c>
      <c r="R247" s="62">
        <f t="shared" si="64"/>
        <v>55.6135342234397</v>
      </c>
      <c r="S247" s="62">
        <f t="shared" si="64"/>
        <v>47.098505974010045</v>
      </c>
      <c r="T247" s="62">
        <f t="shared" si="64"/>
        <v>47.009710289691284</v>
      </c>
      <c r="U247" s="62">
        <f t="shared" si="64"/>
        <v>51.977688588450363</v>
      </c>
      <c r="V247" s="62">
        <f t="shared" si="64"/>
        <v>61.875444551023662</v>
      </c>
    </row>
    <row r="248" spans="3:22" x14ac:dyDescent="0.2">
      <c r="C248" s="87" t="s">
        <v>125</v>
      </c>
      <c r="D248" s="60">
        <f t="shared" ref="D248:V248" si="65">+IFERROR(IF(D209&gt;0,+((D209/D15)*100)," "),"")</f>
        <v>60.388696741130886</v>
      </c>
      <c r="E248" s="60">
        <f t="shared" si="65"/>
        <v>49.296107561265259</v>
      </c>
      <c r="F248" s="60">
        <f t="shared" si="65"/>
        <v>29.94014579069491</v>
      </c>
      <c r="G248" s="60">
        <f t="shared" si="65"/>
        <v>18.211423679428091</v>
      </c>
      <c r="H248" s="60">
        <f t="shared" si="65"/>
        <v>41.471657885409883</v>
      </c>
      <c r="I248" s="60">
        <f t="shared" si="65"/>
        <v>40.493980455974778</v>
      </c>
      <c r="J248" s="60">
        <f t="shared" si="65"/>
        <v>31.039083972286779</v>
      </c>
      <c r="K248" s="60">
        <f t="shared" si="65"/>
        <v>56.438902705946305</v>
      </c>
      <c r="L248" s="60">
        <f t="shared" si="65"/>
        <v>52.262415010577293</v>
      </c>
      <c r="M248" s="60">
        <f t="shared" si="65"/>
        <v>53.253141240836918</v>
      </c>
      <c r="N248" s="60">
        <f t="shared" si="65"/>
        <v>64.109691535495443</v>
      </c>
      <c r="O248" s="60">
        <f t="shared" si="65"/>
        <v>60.999650063014386</v>
      </c>
      <c r="P248" s="60">
        <f t="shared" si="65"/>
        <v>74.080908886874823</v>
      </c>
      <c r="Q248" s="60">
        <f t="shared" si="65"/>
        <v>86.30124621956476</v>
      </c>
      <c r="R248" s="60">
        <f t="shared" si="65"/>
        <v>79.154578023594865</v>
      </c>
      <c r="S248" s="60">
        <f t="shared" si="65"/>
        <v>47.621802803948341</v>
      </c>
      <c r="T248" s="60">
        <f t="shared" si="65"/>
        <v>78.529510000672971</v>
      </c>
      <c r="U248" s="60">
        <f t="shared" si="65"/>
        <v>88.178664485980946</v>
      </c>
      <c r="V248" s="60">
        <f t="shared" si="65"/>
        <v>59.722672579745272</v>
      </c>
    </row>
    <row r="249" spans="3:22" x14ac:dyDescent="0.2">
      <c r="C249" s="88" t="s">
        <v>126</v>
      </c>
      <c r="D249" s="62">
        <f t="shared" ref="D249:V249" si="66">+IFERROR(IF(D210&gt;0,+((D210/D16)*100)," "),"")</f>
        <v>9.983732516813868</v>
      </c>
      <c r="E249" s="62">
        <f t="shared" si="66"/>
        <v>30.867941826526728</v>
      </c>
      <c r="F249" s="62">
        <f t="shared" si="66"/>
        <v>14.380500847548467</v>
      </c>
      <c r="G249" s="62">
        <f t="shared" si="66"/>
        <v>34.908653642116263</v>
      </c>
      <c r="H249" s="62">
        <f t="shared" si="66"/>
        <v>31.867365538172205</v>
      </c>
      <c r="I249" s="62">
        <f t="shared" si="66"/>
        <v>33.999081640309484</v>
      </c>
      <c r="J249" s="62">
        <f t="shared" si="66"/>
        <v>47.779691789235251</v>
      </c>
      <c r="K249" s="62">
        <f t="shared" si="66"/>
        <v>76.24843678160687</v>
      </c>
      <c r="L249" s="62">
        <f t="shared" si="66"/>
        <v>72.230739659653835</v>
      </c>
      <c r="M249" s="62">
        <f t="shared" si="66"/>
        <v>64.806872698455294</v>
      </c>
      <c r="N249" s="62">
        <f t="shared" si="66"/>
        <v>64.243218594451676</v>
      </c>
      <c r="O249" s="62">
        <f t="shared" si="66"/>
        <v>86.380610556222422</v>
      </c>
      <c r="P249" s="62">
        <f t="shared" si="66"/>
        <v>88.878128521267158</v>
      </c>
      <c r="Q249" s="62">
        <f t="shared" si="66"/>
        <v>56.801574619956284</v>
      </c>
      <c r="R249" s="62">
        <f t="shared" si="66"/>
        <v>57.342961466327438</v>
      </c>
      <c r="S249" s="62">
        <f t="shared" si="66"/>
        <v>59.705711075543164</v>
      </c>
      <c r="T249" s="62">
        <f t="shared" si="66"/>
        <v>53.030203346962615</v>
      </c>
      <c r="U249" s="62">
        <f t="shared" si="66"/>
        <v>56.338270864632555</v>
      </c>
      <c r="V249" s="62">
        <f t="shared" si="66"/>
        <v>65.922693016325411</v>
      </c>
    </row>
    <row r="250" spans="3:22" x14ac:dyDescent="0.2">
      <c r="C250" s="87" t="s">
        <v>127</v>
      </c>
      <c r="D250" s="60" t="str">
        <f t="shared" ref="D250:V250" si="67">+IFERROR(IF(D211&gt;0,+((D211/D17)*100)," "),"")</f>
        <v xml:space="preserve"> </v>
      </c>
      <c r="E250" s="60" t="str">
        <f t="shared" si="67"/>
        <v xml:space="preserve"> </v>
      </c>
      <c r="F250" s="60" t="str">
        <f t="shared" si="67"/>
        <v xml:space="preserve"> </v>
      </c>
      <c r="G250" s="60" t="str">
        <f t="shared" si="67"/>
        <v xml:space="preserve"> </v>
      </c>
      <c r="H250" s="60" t="str">
        <f t="shared" si="67"/>
        <v xml:space="preserve"> </v>
      </c>
      <c r="I250" s="60">
        <f t="shared" si="67"/>
        <v>51.065452319999991</v>
      </c>
      <c r="J250" s="60">
        <f t="shared" si="67"/>
        <v>74.81860701411766</v>
      </c>
      <c r="K250" s="60">
        <f t="shared" si="67"/>
        <v>93.492191331942436</v>
      </c>
      <c r="L250" s="60">
        <f t="shared" si="67"/>
        <v>46.262473947643976</v>
      </c>
      <c r="M250" s="60">
        <f t="shared" si="67"/>
        <v>46.481868632318495</v>
      </c>
      <c r="N250" s="60">
        <f t="shared" si="67"/>
        <v>66.620908732875009</v>
      </c>
      <c r="O250" s="60">
        <f t="shared" si="67"/>
        <v>2.3999999959999996</v>
      </c>
      <c r="P250" s="60">
        <f t="shared" si="67"/>
        <v>7.5522709230646647</v>
      </c>
      <c r="Q250" s="60">
        <f t="shared" si="67"/>
        <v>46.351510708886131</v>
      </c>
      <c r="R250" s="60">
        <f t="shared" si="67"/>
        <v>71.512180167422613</v>
      </c>
      <c r="S250" s="60">
        <f t="shared" si="67"/>
        <v>79.385243161525352</v>
      </c>
      <c r="T250" s="60">
        <f t="shared" si="67"/>
        <v>89.423839948414482</v>
      </c>
      <c r="U250" s="60">
        <f t="shared" si="67"/>
        <v>80.536720004597242</v>
      </c>
      <c r="V250" s="60">
        <f t="shared" si="67"/>
        <v>65.555159428505732</v>
      </c>
    </row>
    <row r="251" spans="3:22" x14ac:dyDescent="0.2">
      <c r="C251" s="88" t="s">
        <v>128</v>
      </c>
      <c r="D251" s="62">
        <f t="shared" ref="D251:V251" si="68">+IFERROR(IF(D212&gt;0,+((D212/D18)*100)," "),"")</f>
        <v>16.633134953383895</v>
      </c>
      <c r="E251" s="62">
        <f t="shared" si="68"/>
        <v>53.597634254527193</v>
      </c>
      <c r="F251" s="62">
        <f t="shared" si="68"/>
        <v>41.369872779153887</v>
      </c>
      <c r="G251" s="62">
        <f t="shared" si="68"/>
        <v>51.532581426510617</v>
      </c>
      <c r="H251" s="62">
        <f t="shared" si="68"/>
        <v>55.647493215848456</v>
      </c>
      <c r="I251" s="62">
        <f t="shared" si="68"/>
        <v>75.895669061608544</v>
      </c>
      <c r="J251" s="62">
        <f t="shared" si="68"/>
        <v>68.154184629064375</v>
      </c>
      <c r="K251" s="62">
        <f t="shared" si="68"/>
        <v>62.500813632796714</v>
      </c>
      <c r="L251" s="62">
        <f t="shared" si="68"/>
        <v>73.382895031152671</v>
      </c>
      <c r="M251" s="62">
        <f t="shared" si="68"/>
        <v>70.452374070351524</v>
      </c>
      <c r="N251" s="62">
        <f t="shared" si="68"/>
        <v>83.871961517137635</v>
      </c>
      <c r="O251" s="62">
        <f t="shared" si="68"/>
        <v>77.698243209500845</v>
      </c>
      <c r="P251" s="62">
        <f t="shared" si="68"/>
        <v>72.862086039156523</v>
      </c>
      <c r="Q251" s="62">
        <f t="shared" si="68"/>
        <v>77.148950450076896</v>
      </c>
      <c r="R251" s="62">
        <f t="shared" si="68"/>
        <v>80.765516852339289</v>
      </c>
      <c r="S251" s="62">
        <f t="shared" si="68"/>
        <v>70.150853543703604</v>
      </c>
      <c r="T251" s="62">
        <f t="shared" si="68"/>
        <v>64.797228954790555</v>
      </c>
      <c r="U251" s="62">
        <f t="shared" si="68"/>
        <v>66.055347892827001</v>
      </c>
      <c r="V251" s="62">
        <f t="shared" si="68"/>
        <v>78.662813582861958</v>
      </c>
    </row>
    <row r="252" spans="3:22" x14ac:dyDescent="0.2">
      <c r="C252" s="87" t="s">
        <v>129</v>
      </c>
      <c r="D252" s="60">
        <f t="shared" ref="D252:V252" si="69">+IFERROR(IF(D213&gt;0,+((D213/D19)*100)," "),"")</f>
        <v>52.65862004665852</v>
      </c>
      <c r="E252" s="60">
        <f t="shared" si="69"/>
        <v>52.275746620449951</v>
      </c>
      <c r="F252" s="60">
        <f t="shared" si="69"/>
        <v>50.297225065070286</v>
      </c>
      <c r="G252" s="60">
        <f t="shared" si="69"/>
        <v>49.294886304422633</v>
      </c>
      <c r="H252" s="60">
        <f t="shared" si="69"/>
        <v>43.505030633466852</v>
      </c>
      <c r="I252" s="60">
        <f t="shared" si="69"/>
        <v>52.500497990468929</v>
      </c>
      <c r="J252" s="60">
        <f t="shared" si="69"/>
        <v>62.207311504509711</v>
      </c>
      <c r="K252" s="60">
        <f t="shared" si="69"/>
        <v>80.120011623764881</v>
      </c>
      <c r="L252" s="60">
        <f t="shared" si="69"/>
        <v>83.351430104908346</v>
      </c>
      <c r="M252" s="60">
        <f t="shared" si="69"/>
        <v>68.306950490164709</v>
      </c>
      <c r="N252" s="60">
        <f t="shared" si="69"/>
        <v>61.235456779669029</v>
      </c>
      <c r="O252" s="60">
        <f t="shared" si="69"/>
        <v>60.135793893955366</v>
      </c>
      <c r="P252" s="60">
        <f t="shared" si="69"/>
        <v>65.121668947425931</v>
      </c>
      <c r="Q252" s="60">
        <f t="shared" si="69"/>
        <v>68.208052841435602</v>
      </c>
      <c r="R252" s="60">
        <f t="shared" si="69"/>
        <v>60.350087369377484</v>
      </c>
      <c r="S252" s="60">
        <f t="shared" si="69"/>
        <v>58.758528225264904</v>
      </c>
      <c r="T252" s="60">
        <f t="shared" si="69"/>
        <v>57.052009363899423</v>
      </c>
      <c r="U252" s="60">
        <f t="shared" si="69"/>
        <v>61.378972141073071</v>
      </c>
      <c r="V252" s="60">
        <f t="shared" si="69"/>
        <v>67.263678428753366</v>
      </c>
    </row>
    <row r="253" spans="3:22" x14ac:dyDescent="0.2">
      <c r="C253" s="88" t="s">
        <v>130</v>
      </c>
      <c r="D253" s="62">
        <f t="shared" ref="D253:V253" si="70">+IFERROR(IF(D214&gt;0,+((D214/D20)*100)," "),"")</f>
        <v>48.092980450817876</v>
      </c>
      <c r="E253" s="62">
        <f t="shared" si="70"/>
        <v>60.593909012601735</v>
      </c>
      <c r="F253" s="62">
        <f t="shared" si="70"/>
        <v>35.449354208812736</v>
      </c>
      <c r="G253" s="62">
        <f t="shared" si="70"/>
        <v>54.515289592352026</v>
      </c>
      <c r="H253" s="62">
        <f t="shared" si="70"/>
        <v>77.826742172828276</v>
      </c>
      <c r="I253" s="62">
        <f t="shared" si="70"/>
        <v>86.006592060931581</v>
      </c>
      <c r="J253" s="62">
        <f t="shared" si="70"/>
        <v>90.19549224383654</v>
      </c>
      <c r="K253" s="62">
        <f t="shared" si="70"/>
        <v>85.200153966550047</v>
      </c>
      <c r="L253" s="62">
        <f t="shared" si="70"/>
        <v>90.780782631029837</v>
      </c>
      <c r="M253" s="62">
        <f t="shared" si="70"/>
        <v>80.169725464851751</v>
      </c>
      <c r="N253" s="62">
        <f t="shared" si="70"/>
        <v>86.905621909193968</v>
      </c>
      <c r="O253" s="62">
        <f t="shared" si="70"/>
        <v>80.644673712817138</v>
      </c>
      <c r="P253" s="62">
        <f t="shared" si="70"/>
        <v>62.189977282187279</v>
      </c>
      <c r="Q253" s="62">
        <f t="shared" si="70"/>
        <v>70.374619261157363</v>
      </c>
      <c r="R253" s="62">
        <f t="shared" si="70"/>
        <v>69.114650835189323</v>
      </c>
      <c r="S253" s="62">
        <f t="shared" si="70"/>
        <v>79.740545089734013</v>
      </c>
      <c r="T253" s="62">
        <f t="shared" si="70"/>
        <v>48.491657135704628</v>
      </c>
      <c r="U253" s="62">
        <f t="shared" si="70"/>
        <v>57.023578287916351</v>
      </c>
      <c r="V253" s="62">
        <f t="shared" si="70"/>
        <v>68.995378630883096</v>
      </c>
    </row>
    <row r="254" spans="3:22" x14ac:dyDescent="0.2">
      <c r="C254" s="87" t="s">
        <v>131</v>
      </c>
      <c r="D254" s="60">
        <f t="shared" ref="D254:V254" si="71">+IFERROR(IF(D215&gt;0,+((D215/D21)*100)," "),"")</f>
        <v>48.602528216246</v>
      </c>
      <c r="E254" s="60">
        <f t="shared" si="71"/>
        <v>56.05495986685969</v>
      </c>
      <c r="F254" s="60">
        <f t="shared" si="71"/>
        <v>52.646954608452198</v>
      </c>
      <c r="G254" s="60">
        <f t="shared" si="71"/>
        <v>78.206433401665748</v>
      </c>
      <c r="H254" s="60">
        <f t="shared" si="71"/>
        <v>55.079527538998107</v>
      </c>
      <c r="I254" s="60">
        <f t="shared" si="71"/>
        <v>52.641532231535081</v>
      </c>
      <c r="J254" s="60">
        <f t="shared" si="71"/>
        <v>47.733170601725632</v>
      </c>
      <c r="K254" s="60">
        <f t="shared" si="71"/>
        <v>82.846718423170969</v>
      </c>
      <c r="L254" s="60">
        <f t="shared" si="71"/>
        <v>65.598688342689783</v>
      </c>
      <c r="M254" s="60">
        <f t="shared" si="71"/>
        <v>69.55767922011799</v>
      </c>
      <c r="N254" s="60">
        <f t="shared" si="71"/>
        <v>71.602785187002581</v>
      </c>
      <c r="O254" s="60">
        <f t="shared" si="71"/>
        <v>72.775582422426211</v>
      </c>
      <c r="P254" s="60">
        <f t="shared" si="71"/>
        <v>66.933505835440826</v>
      </c>
      <c r="Q254" s="60">
        <f t="shared" si="71"/>
        <v>66.616254648099726</v>
      </c>
      <c r="R254" s="60">
        <f t="shared" si="71"/>
        <v>84.339852752457134</v>
      </c>
      <c r="S254" s="60">
        <f t="shared" si="71"/>
        <v>90.093478926671935</v>
      </c>
      <c r="T254" s="60">
        <f t="shared" si="71"/>
        <v>88.419745746702318</v>
      </c>
      <c r="U254" s="60">
        <f t="shared" si="71"/>
        <v>93.437513552862981</v>
      </c>
      <c r="V254" s="60">
        <f t="shared" si="71"/>
        <v>93.861232757856143</v>
      </c>
    </row>
    <row r="255" spans="3:22" x14ac:dyDescent="0.2">
      <c r="C255" s="88" t="s">
        <v>132</v>
      </c>
      <c r="D255" s="62">
        <f t="shared" ref="D255:V255" si="72">+IFERROR(IF(D216&gt;0,+((D216/D22)*100)," "),"")</f>
        <v>93.890937617456146</v>
      </c>
      <c r="E255" s="62">
        <f t="shared" si="72"/>
        <v>47.985678548130927</v>
      </c>
      <c r="F255" s="62">
        <f t="shared" si="72"/>
        <v>67.312401385035542</v>
      </c>
      <c r="G255" s="62">
        <f t="shared" si="72"/>
        <v>94.221115279818747</v>
      </c>
      <c r="H255" s="62">
        <f t="shared" si="72"/>
        <v>58.180352759395667</v>
      </c>
      <c r="I255" s="62">
        <f t="shared" si="72"/>
        <v>47.579536645431368</v>
      </c>
      <c r="J255" s="62">
        <f t="shared" si="72"/>
        <v>71.703647480616411</v>
      </c>
      <c r="K255" s="62">
        <f t="shared" si="72"/>
        <v>37.42720179037881</v>
      </c>
      <c r="L255" s="62">
        <f t="shared" si="72"/>
        <v>57.580275085299618</v>
      </c>
      <c r="M255" s="62">
        <f t="shared" si="72"/>
        <v>82.720787555058735</v>
      </c>
      <c r="N255" s="62">
        <f t="shared" si="72"/>
        <v>62.510912736564464</v>
      </c>
      <c r="O255" s="62">
        <f t="shared" si="72"/>
        <v>45.465819162943021</v>
      </c>
      <c r="P255" s="62">
        <f t="shared" si="72"/>
        <v>66.476544833699307</v>
      </c>
      <c r="Q255" s="62">
        <f t="shared" si="72"/>
        <v>78.074121790219664</v>
      </c>
      <c r="R255" s="62">
        <f t="shared" si="72"/>
        <v>66.287271776570662</v>
      </c>
      <c r="S255" s="62">
        <f t="shared" si="72"/>
        <v>74.422029385027628</v>
      </c>
      <c r="T255" s="62">
        <f t="shared" si="72"/>
        <v>84.728270103722082</v>
      </c>
      <c r="U255" s="62">
        <f t="shared" si="72"/>
        <v>84.955106166739569</v>
      </c>
      <c r="V255" s="62">
        <f t="shared" si="72"/>
        <v>85.448474979524363</v>
      </c>
    </row>
    <row r="256" spans="3:22" x14ac:dyDescent="0.2">
      <c r="C256" s="87" t="s">
        <v>133</v>
      </c>
      <c r="D256" s="60">
        <f t="shared" ref="D256:V256" si="73">+IFERROR(IF(D217&gt;0,+((D217/D23)*100)," "),"")</f>
        <v>13.181733438083853</v>
      </c>
      <c r="E256" s="60">
        <f t="shared" si="73"/>
        <v>60.527737494739597</v>
      </c>
      <c r="F256" s="60">
        <f t="shared" si="73"/>
        <v>23.815772359565401</v>
      </c>
      <c r="G256" s="60">
        <f t="shared" si="73"/>
        <v>28.446408802057999</v>
      </c>
      <c r="H256" s="60">
        <f t="shared" si="73"/>
        <v>65.500409781371644</v>
      </c>
      <c r="I256" s="60">
        <f t="shared" si="73"/>
        <v>69.919827508366311</v>
      </c>
      <c r="J256" s="60">
        <f t="shared" si="73"/>
        <v>48.974578272811016</v>
      </c>
      <c r="K256" s="60">
        <f t="shared" si="73"/>
        <v>53.784699284465432</v>
      </c>
      <c r="L256" s="60">
        <f t="shared" si="73"/>
        <v>47.573570231432896</v>
      </c>
      <c r="M256" s="60">
        <f t="shared" si="73"/>
        <v>50.566796897542417</v>
      </c>
      <c r="N256" s="60">
        <f t="shared" si="73"/>
        <v>36.742009442704365</v>
      </c>
      <c r="O256" s="60">
        <f t="shared" si="73"/>
        <v>42.872953085920152</v>
      </c>
      <c r="P256" s="60">
        <f t="shared" si="73"/>
        <v>53.596873807149301</v>
      </c>
      <c r="Q256" s="60">
        <f t="shared" si="73"/>
        <v>56.471195531233519</v>
      </c>
      <c r="R256" s="60">
        <f t="shared" si="73"/>
        <v>60.466394811891412</v>
      </c>
      <c r="S256" s="60">
        <f t="shared" si="73"/>
        <v>41.703213142414306</v>
      </c>
      <c r="T256" s="60">
        <f t="shared" si="73"/>
        <v>38.890384691380994</v>
      </c>
      <c r="U256" s="60">
        <f t="shared" si="73"/>
        <v>47.974247103431331</v>
      </c>
      <c r="V256" s="60">
        <f t="shared" si="73"/>
        <v>59.101629025746881</v>
      </c>
    </row>
    <row r="257" spans="3:22" x14ac:dyDescent="0.2">
      <c r="C257" s="88" t="s">
        <v>134</v>
      </c>
      <c r="D257" s="62">
        <f t="shared" ref="D257:V257" si="74">+IFERROR(IF(D218&gt;0,+((D218/D24)*100)," "),"")</f>
        <v>68.110572393035739</v>
      </c>
      <c r="E257" s="62">
        <f t="shared" si="74"/>
        <v>84.826742258269988</v>
      </c>
      <c r="F257" s="62">
        <f t="shared" si="74"/>
        <v>69.885518274978352</v>
      </c>
      <c r="G257" s="62">
        <f t="shared" si="74"/>
        <v>83.54319360829669</v>
      </c>
      <c r="H257" s="62">
        <f t="shared" si="74"/>
        <v>58.571353283576045</v>
      </c>
      <c r="I257" s="62">
        <f t="shared" si="74"/>
        <v>58.406036584952133</v>
      </c>
      <c r="J257" s="62">
        <f t="shared" si="74"/>
        <v>28.401968393374972</v>
      </c>
      <c r="K257" s="62">
        <f t="shared" si="74"/>
        <v>72.463610672028921</v>
      </c>
      <c r="L257" s="62">
        <f t="shared" si="74"/>
        <v>75.094277539788393</v>
      </c>
      <c r="M257" s="62">
        <f t="shared" si="74"/>
        <v>79.655760286945707</v>
      </c>
      <c r="N257" s="62">
        <f t="shared" si="74"/>
        <v>70.029061307669764</v>
      </c>
      <c r="O257" s="62">
        <f t="shared" si="74"/>
        <v>67.363530935781228</v>
      </c>
      <c r="P257" s="62">
        <f t="shared" si="74"/>
        <v>29.297584002666703</v>
      </c>
      <c r="Q257" s="62">
        <f t="shared" si="74"/>
        <v>39.916538154440524</v>
      </c>
      <c r="R257" s="62">
        <f t="shared" si="74"/>
        <v>21.786270725143343</v>
      </c>
      <c r="S257" s="62">
        <f t="shared" si="74"/>
        <v>19.391969255319967</v>
      </c>
      <c r="T257" s="62">
        <f t="shared" si="74"/>
        <v>25.162111214895798</v>
      </c>
      <c r="U257" s="62">
        <f t="shared" si="74"/>
        <v>36.707330423148306</v>
      </c>
      <c r="V257" s="62">
        <f t="shared" si="74"/>
        <v>47.504580739195418</v>
      </c>
    </row>
    <row r="258" spans="3:22" x14ac:dyDescent="0.2">
      <c r="C258" s="87" t="s">
        <v>135</v>
      </c>
      <c r="D258" s="60" t="str">
        <f t="shared" ref="D258:V258" si="75">+IFERROR(IF(D219&gt;0,+((D219/D25)*100)," "),"")</f>
        <v xml:space="preserve"> </v>
      </c>
      <c r="E258" s="60" t="str">
        <f t="shared" si="75"/>
        <v xml:space="preserve"> </v>
      </c>
      <c r="F258" s="60" t="str">
        <f t="shared" si="75"/>
        <v xml:space="preserve"> </v>
      </c>
      <c r="G258" s="60" t="str">
        <f t="shared" si="75"/>
        <v xml:space="preserve"> </v>
      </c>
      <c r="H258" s="60" t="str">
        <f t="shared" si="75"/>
        <v xml:space="preserve"> </v>
      </c>
      <c r="I258" s="60" t="str">
        <f t="shared" si="75"/>
        <v xml:space="preserve"> </v>
      </c>
      <c r="J258" s="60" t="str">
        <f t="shared" si="75"/>
        <v xml:space="preserve"> </v>
      </c>
      <c r="K258" s="60" t="str">
        <f t="shared" si="75"/>
        <v xml:space="preserve"> </v>
      </c>
      <c r="L258" s="60" t="str">
        <f t="shared" si="75"/>
        <v xml:space="preserve"> </v>
      </c>
      <c r="M258" s="60" t="str">
        <f t="shared" si="75"/>
        <v xml:space="preserve"> </v>
      </c>
      <c r="N258" s="60" t="str">
        <f t="shared" si="75"/>
        <v xml:space="preserve"> </v>
      </c>
      <c r="O258" s="60" t="str">
        <f t="shared" si="75"/>
        <v xml:space="preserve"> </v>
      </c>
      <c r="P258" s="60" t="str">
        <f t="shared" si="75"/>
        <v xml:space="preserve"> </v>
      </c>
      <c r="Q258" s="60" t="str">
        <f t="shared" si="75"/>
        <v xml:space="preserve"> </v>
      </c>
      <c r="R258" s="60" t="str">
        <f t="shared" si="75"/>
        <v xml:space="preserve"> </v>
      </c>
      <c r="S258" s="60" t="str">
        <f t="shared" si="75"/>
        <v xml:space="preserve"> </v>
      </c>
      <c r="T258" s="60" t="str">
        <f t="shared" si="75"/>
        <v xml:space="preserve"> </v>
      </c>
      <c r="U258" s="60" t="str">
        <f t="shared" si="75"/>
        <v xml:space="preserve"> </v>
      </c>
      <c r="V258" s="60" t="str">
        <f t="shared" si="75"/>
        <v xml:space="preserve"> </v>
      </c>
    </row>
    <row r="259" spans="3:22" x14ac:dyDescent="0.2">
      <c r="C259" s="88" t="s">
        <v>136</v>
      </c>
      <c r="D259" s="62">
        <f t="shared" ref="D259:V259" si="76">+IFERROR(IF(D220&gt;0,+((D220/D26)*100)," "),"")</f>
        <v>67.950096452715485</v>
      </c>
      <c r="E259" s="62">
        <f t="shared" si="76"/>
        <v>73.958087016069811</v>
      </c>
      <c r="F259" s="62">
        <f t="shared" si="76"/>
        <v>76.792547536654723</v>
      </c>
      <c r="G259" s="62">
        <f t="shared" si="76"/>
        <v>79.045869662452986</v>
      </c>
      <c r="H259" s="62">
        <f t="shared" si="76"/>
        <v>80.177327625385786</v>
      </c>
      <c r="I259" s="62">
        <f t="shared" si="76"/>
        <v>81.171110691058274</v>
      </c>
      <c r="J259" s="62">
        <f t="shared" si="76"/>
        <v>80.134173693556008</v>
      </c>
      <c r="K259" s="62">
        <f t="shared" si="76"/>
        <v>75.746333311720889</v>
      </c>
      <c r="L259" s="62">
        <f t="shared" si="76"/>
        <v>82.649043592707599</v>
      </c>
      <c r="M259" s="62">
        <f t="shared" si="76"/>
        <v>84.424889940856445</v>
      </c>
      <c r="N259" s="62">
        <f t="shared" si="76"/>
        <v>83.058635733903714</v>
      </c>
      <c r="O259" s="62">
        <f t="shared" si="76"/>
        <v>73.369425985240582</v>
      </c>
      <c r="P259" s="62">
        <f t="shared" si="76"/>
        <v>78.741027800436569</v>
      </c>
      <c r="Q259" s="62">
        <f t="shared" si="76"/>
        <v>84.040427357888319</v>
      </c>
      <c r="R259" s="62">
        <f t="shared" si="76"/>
        <v>88.372978639976182</v>
      </c>
      <c r="S259" s="62">
        <f t="shared" si="76"/>
        <v>91.352822280144252</v>
      </c>
      <c r="T259" s="62">
        <f t="shared" si="76"/>
        <v>83.452223505236304</v>
      </c>
      <c r="U259" s="62">
        <f t="shared" si="76"/>
        <v>87.775180981521117</v>
      </c>
      <c r="V259" s="62">
        <f t="shared" si="76"/>
        <v>92.026322440544931</v>
      </c>
    </row>
    <row r="260" spans="3:22" x14ac:dyDescent="0.2">
      <c r="C260" s="87" t="s">
        <v>137</v>
      </c>
      <c r="D260" s="60">
        <f t="shared" ref="D260:V260" si="77">+IFERROR(IF(D221&gt;0,+((D221/D27)*100)," "),"")</f>
        <v>40.623253396413801</v>
      </c>
      <c r="E260" s="60">
        <f t="shared" si="77"/>
        <v>63.669396118773037</v>
      </c>
      <c r="F260" s="60">
        <f t="shared" si="77"/>
        <v>50.671823746665901</v>
      </c>
      <c r="G260" s="60">
        <f t="shared" si="77"/>
        <v>51.969673033753836</v>
      </c>
      <c r="H260" s="60">
        <f t="shared" si="77"/>
        <v>57.437180229519427</v>
      </c>
      <c r="I260" s="60">
        <f t="shared" si="77"/>
        <v>62.010173817622928</v>
      </c>
      <c r="J260" s="60">
        <f t="shared" si="77"/>
        <v>77.464781152842349</v>
      </c>
      <c r="K260" s="60">
        <f t="shared" si="77"/>
        <v>69.966419787451173</v>
      </c>
      <c r="L260" s="60">
        <f t="shared" si="77"/>
        <v>76.595110623621267</v>
      </c>
      <c r="M260" s="60">
        <f t="shared" si="77"/>
        <v>72.633150051867304</v>
      </c>
      <c r="N260" s="60">
        <f t="shared" si="77"/>
        <v>68.188518123851111</v>
      </c>
      <c r="O260" s="60">
        <f t="shared" si="77"/>
        <v>78.212140991439554</v>
      </c>
      <c r="P260" s="60">
        <f t="shared" si="77"/>
        <v>79.288316212016667</v>
      </c>
      <c r="Q260" s="60">
        <f t="shared" si="77"/>
        <v>73.015504774358476</v>
      </c>
      <c r="R260" s="60">
        <f t="shared" si="77"/>
        <v>80.537460825646974</v>
      </c>
      <c r="S260" s="60">
        <f t="shared" si="77"/>
        <v>75.589138995452615</v>
      </c>
      <c r="T260" s="60">
        <f t="shared" si="77"/>
        <v>79.887220279867151</v>
      </c>
      <c r="U260" s="60">
        <f t="shared" si="77"/>
        <v>68.441379507188572</v>
      </c>
      <c r="V260" s="60">
        <f t="shared" si="77"/>
        <v>90.790792032482116</v>
      </c>
    </row>
    <row r="261" spans="3:22" x14ac:dyDescent="0.2">
      <c r="C261" s="88" t="s">
        <v>138</v>
      </c>
      <c r="D261" s="62">
        <f t="shared" ref="D261:V261" si="78">+IFERROR(IF(D222&gt;0,+((D222/D28)*100)," "),"")</f>
        <v>65.211227468226824</v>
      </c>
      <c r="E261" s="62">
        <f t="shared" si="78"/>
        <v>90.758732294578166</v>
      </c>
      <c r="F261" s="62">
        <f t="shared" si="78"/>
        <v>36.126943856944109</v>
      </c>
      <c r="G261" s="62">
        <f t="shared" si="78"/>
        <v>5.4901343762483865</v>
      </c>
      <c r="H261" s="62">
        <f t="shared" si="78"/>
        <v>26.390167577592592</v>
      </c>
      <c r="I261" s="62">
        <f t="shared" si="78"/>
        <v>13.789047289019866</v>
      </c>
      <c r="J261" s="62">
        <f t="shared" si="78"/>
        <v>4.7015998212564831</v>
      </c>
      <c r="K261" s="62">
        <f t="shared" si="78"/>
        <v>69.406741617981851</v>
      </c>
      <c r="L261" s="62">
        <f t="shared" si="78"/>
        <v>60.814769570033491</v>
      </c>
      <c r="M261" s="62">
        <f t="shared" si="78"/>
        <v>23.006758393201565</v>
      </c>
      <c r="N261" s="62">
        <f t="shared" si="78"/>
        <v>27.81742633980301</v>
      </c>
      <c r="O261" s="62">
        <f t="shared" si="78"/>
        <v>35.065335232504424</v>
      </c>
      <c r="P261" s="62">
        <f t="shared" si="78"/>
        <v>71.541512400874751</v>
      </c>
      <c r="Q261" s="62">
        <f t="shared" si="78"/>
        <v>81.497708415786747</v>
      </c>
      <c r="R261" s="62">
        <f t="shared" si="78"/>
        <v>60.248886620839436</v>
      </c>
      <c r="S261" s="62">
        <f t="shared" si="78"/>
        <v>72.150588462035444</v>
      </c>
      <c r="T261" s="62">
        <f t="shared" si="78"/>
        <v>75.210390246946062</v>
      </c>
      <c r="U261" s="62">
        <f t="shared" si="78"/>
        <v>78.465566416782536</v>
      </c>
      <c r="V261" s="62">
        <f t="shared" si="78"/>
        <v>96.85860163507715</v>
      </c>
    </row>
    <row r="262" spans="3:22" x14ac:dyDescent="0.2">
      <c r="C262" s="87" t="s">
        <v>139</v>
      </c>
      <c r="D262" s="60">
        <f t="shared" ref="D262:V262" si="79">+IFERROR(IF(D223&gt;0,+((D223/D29)*100)," "),"")</f>
        <v>44.515348909432191</v>
      </c>
      <c r="E262" s="60">
        <f t="shared" si="79"/>
        <v>63.583152276600664</v>
      </c>
      <c r="F262" s="60">
        <f t="shared" si="79"/>
        <v>51.226386444820328</v>
      </c>
      <c r="G262" s="60">
        <f t="shared" si="79"/>
        <v>79.627844171109729</v>
      </c>
      <c r="H262" s="60">
        <f t="shared" si="79"/>
        <v>35.853926177576817</v>
      </c>
      <c r="I262" s="60">
        <f t="shared" si="79"/>
        <v>68.664496195218177</v>
      </c>
      <c r="J262" s="60">
        <f t="shared" si="79"/>
        <v>68.705763107340303</v>
      </c>
      <c r="K262" s="60">
        <f t="shared" si="79"/>
        <v>63.534122532610901</v>
      </c>
      <c r="L262" s="60">
        <f t="shared" si="79"/>
        <v>46.904806884465636</v>
      </c>
      <c r="M262" s="60">
        <f t="shared" si="79"/>
        <v>71.61357529613781</v>
      </c>
      <c r="N262" s="60">
        <f t="shared" si="79"/>
        <v>60.545006138005917</v>
      </c>
      <c r="O262" s="60">
        <f t="shared" si="79"/>
        <v>45.537089899758016</v>
      </c>
      <c r="P262" s="60">
        <f t="shared" si="79"/>
        <v>60.555195385155059</v>
      </c>
      <c r="Q262" s="60">
        <f t="shared" si="79"/>
        <v>55.24277968499797</v>
      </c>
      <c r="R262" s="60">
        <f t="shared" si="79"/>
        <v>57.826083472366896</v>
      </c>
      <c r="S262" s="60">
        <f t="shared" si="79"/>
        <v>61.754665207841072</v>
      </c>
      <c r="T262" s="60">
        <f t="shared" si="79"/>
        <v>38.862030931464048</v>
      </c>
      <c r="U262" s="60">
        <f t="shared" si="79"/>
        <v>25.98058764002263</v>
      </c>
      <c r="V262" s="60">
        <f t="shared" si="79"/>
        <v>33.706826812421554</v>
      </c>
    </row>
    <row r="263" spans="3:22" x14ac:dyDescent="0.2">
      <c r="C263" s="88" t="s">
        <v>140</v>
      </c>
      <c r="D263" s="62">
        <f t="shared" ref="D263:V263" si="80">+IFERROR(IF(D224&gt;0,+((D224/D30)*100)," "),"")</f>
        <v>71.743042375052212</v>
      </c>
      <c r="E263" s="62">
        <f t="shared" si="80"/>
        <v>68.331991325770005</v>
      </c>
      <c r="F263" s="62">
        <f t="shared" si="80"/>
        <v>65.500577892121896</v>
      </c>
      <c r="G263" s="62">
        <f t="shared" si="80"/>
        <v>84.427339671572568</v>
      </c>
      <c r="H263" s="62">
        <f t="shared" si="80"/>
        <v>81.422225623948506</v>
      </c>
      <c r="I263" s="62">
        <f t="shared" si="80"/>
        <v>59.31790918435911</v>
      </c>
      <c r="J263" s="62">
        <f t="shared" si="80"/>
        <v>65.874695911688761</v>
      </c>
      <c r="K263" s="62">
        <f t="shared" si="80"/>
        <v>57.387543043714793</v>
      </c>
      <c r="L263" s="62">
        <f t="shared" si="80"/>
        <v>89.224002326109684</v>
      </c>
      <c r="M263" s="62">
        <f t="shared" si="80"/>
        <v>87.327022899857482</v>
      </c>
      <c r="N263" s="62">
        <f t="shared" si="80"/>
        <v>83.274772331236903</v>
      </c>
      <c r="O263" s="62">
        <f t="shared" si="80"/>
        <v>87.410405507794167</v>
      </c>
      <c r="P263" s="62">
        <f t="shared" si="80"/>
        <v>86.762152126838089</v>
      </c>
      <c r="Q263" s="62">
        <f t="shared" si="80"/>
        <v>84.605662416344231</v>
      </c>
      <c r="R263" s="62">
        <f t="shared" si="80"/>
        <v>84.823274848275688</v>
      </c>
      <c r="S263" s="62">
        <f t="shared" si="80"/>
        <v>89.342605442154479</v>
      </c>
      <c r="T263" s="62">
        <f t="shared" si="80"/>
        <v>88.005319517423004</v>
      </c>
      <c r="U263" s="62">
        <f t="shared" si="80"/>
        <v>81.576396043596034</v>
      </c>
      <c r="V263" s="62">
        <f t="shared" si="80"/>
        <v>91.53900208623719</v>
      </c>
    </row>
    <row r="264" spans="3:22" x14ac:dyDescent="0.2">
      <c r="C264" s="87" t="s">
        <v>141</v>
      </c>
      <c r="D264" s="60">
        <f t="shared" ref="D264:V264" si="81">+IFERROR(IF(D225&gt;0,+((D225/D31)*100)," "),"")</f>
        <v>6.4027266509730065</v>
      </c>
      <c r="E264" s="60">
        <f t="shared" si="81"/>
        <v>9.7236506598786843</v>
      </c>
      <c r="F264" s="60">
        <f t="shared" si="81"/>
        <v>5.8642826621428101</v>
      </c>
      <c r="G264" s="60">
        <f t="shared" si="81"/>
        <v>8.8870284793393672</v>
      </c>
      <c r="H264" s="60">
        <f t="shared" si="81"/>
        <v>13.299353192915728</v>
      </c>
      <c r="I264" s="60">
        <f t="shared" si="81"/>
        <v>9.9031270868852239</v>
      </c>
      <c r="J264" s="60">
        <f t="shared" si="81"/>
        <v>38.332145079577437</v>
      </c>
      <c r="K264" s="60">
        <f t="shared" si="81"/>
        <v>39.918254929036827</v>
      </c>
      <c r="L264" s="60">
        <f t="shared" si="81"/>
        <v>46.626778182228016</v>
      </c>
      <c r="M264" s="60">
        <f t="shared" si="81"/>
        <v>63.320861245263451</v>
      </c>
      <c r="N264" s="60">
        <f t="shared" si="81"/>
        <v>43.40700216446556</v>
      </c>
      <c r="O264" s="60">
        <f t="shared" si="81"/>
        <v>36.39042344131277</v>
      </c>
      <c r="P264" s="60">
        <f t="shared" si="81"/>
        <v>57.830439171451061</v>
      </c>
      <c r="Q264" s="60">
        <f t="shared" si="81"/>
        <v>53.961285202133091</v>
      </c>
      <c r="R264" s="60">
        <f t="shared" si="81"/>
        <v>52.441622432941791</v>
      </c>
      <c r="S264" s="60">
        <f t="shared" si="81"/>
        <v>22.954811427255407</v>
      </c>
      <c r="T264" s="60">
        <f t="shared" si="81"/>
        <v>46.471049478338081</v>
      </c>
      <c r="U264" s="60">
        <f t="shared" si="81"/>
        <v>70.922382253126614</v>
      </c>
      <c r="V264" s="60">
        <f t="shared" si="81"/>
        <v>83.1352783129702</v>
      </c>
    </row>
    <row r="265" spans="3:22" x14ac:dyDescent="0.2">
      <c r="C265" s="88" t="s">
        <v>142</v>
      </c>
      <c r="D265" s="62">
        <f t="shared" ref="D265:V265" si="82">+IFERROR(IF(D226&gt;0,+((D226/D32)*100)," "),"")</f>
        <v>15.092942462740774</v>
      </c>
      <c r="E265" s="62">
        <f t="shared" si="82"/>
        <v>22.311767882242357</v>
      </c>
      <c r="F265" s="62">
        <f t="shared" si="82"/>
        <v>8.7603568610142606</v>
      </c>
      <c r="G265" s="62">
        <f t="shared" si="82"/>
        <v>18.282878245784463</v>
      </c>
      <c r="H265" s="62">
        <f t="shared" si="82"/>
        <v>54.694011595608373</v>
      </c>
      <c r="I265" s="62">
        <f t="shared" si="82"/>
        <v>19.168907284274553</v>
      </c>
      <c r="J265" s="62">
        <f t="shared" si="82"/>
        <v>22.048123229744913</v>
      </c>
      <c r="K265" s="62">
        <f t="shared" si="82"/>
        <v>41.567197077440596</v>
      </c>
      <c r="L265" s="62">
        <f t="shared" si="82"/>
        <v>29.987809443056236</v>
      </c>
      <c r="M265" s="62">
        <f t="shared" si="82"/>
        <v>29.861093775291387</v>
      </c>
      <c r="N265" s="62">
        <f t="shared" si="82"/>
        <v>37.388783301259373</v>
      </c>
      <c r="O265" s="62">
        <f t="shared" si="82"/>
        <v>33.207005913645844</v>
      </c>
      <c r="P265" s="62">
        <f t="shared" si="82"/>
        <v>48.261094809283421</v>
      </c>
      <c r="Q265" s="62">
        <f t="shared" si="82"/>
        <v>54.114184166618131</v>
      </c>
      <c r="R265" s="62">
        <f t="shared" si="82"/>
        <v>75.634423445619291</v>
      </c>
      <c r="S265" s="62">
        <f t="shared" si="82"/>
        <v>63.957150708353907</v>
      </c>
      <c r="T265" s="62">
        <f t="shared" si="82"/>
        <v>52.421714831649091</v>
      </c>
      <c r="U265" s="62">
        <f t="shared" si="82"/>
        <v>62.120568202418646</v>
      </c>
      <c r="V265" s="62">
        <f t="shared" si="82"/>
        <v>58.354807341065573</v>
      </c>
    </row>
    <row r="266" spans="3:22" x14ac:dyDescent="0.2">
      <c r="C266" s="87" t="s">
        <v>143</v>
      </c>
      <c r="D266" s="60">
        <f t="shared" ref="D266:V266" si="83">+IFERROR(IF(D227&gt;0,+((D227/D33)*100)," "),"")</f>
        <v>64.582920664367066</v>
      </c>
      <c r="E266" s="60">
        <f t="shared" si="83"/>
        <v>49.997195680537992</v>
      </c>
      <c r="F266" s="60">
        <f t="shared" si="83"/>
        <v>48.183877831121997</v>
      </c>
      <c r="G266" s="60">
        <f t="shared" si="83"/>
        <v>59.3923786215259</v>
      </c>
      <c r="H266" s="60">
        <f t="shared" si="83"/>
        <v>62.1440402633338</v>
      </c>
      <c r="I266" s="60">
        <f t="shared" si="83"/>
        <v>76.339351818461296</v>
      </c>
      <c r="J266" s="60">
        <f t="shared" si="83"/>
        <v>85.00096669103047</v>
      </c>
      <c r="K266" s="60">
        <f t="shared" si="83"/>
        <v>84.314733808307835</v>
      </c>
      <c r="L266" s="60">
        <f t="shared" si="83"/>
        <v>42.110741797044469</v>
      </c>
      <c r="M266" s="60">
        <f t="shared" si="83"/>
        <v>54.791765842045962</v>
      </c>
      <c r="N266" s="60">
        <f t="shared" si="83"/>
        <v>58.623818828911908</v>
      </c>
      <c r="O266" s="60">
        <f t="shared" si="83"/>
        <v>66.016694115934854</v>
      </c>
      <c r="P266" s="60">
        <f t="shared" si="83"/>
        <v>16.049976515846335</v>
      </c>
      <c r="Q266" s="60">
        <f t="shared" si="83"/>
        <v>70.802757941253631</v>
      </c>
      <c r="R266" s="60">
        <f t="shared" si="83"/>
        <v>68.159454652111066</v>
      </c>
      <c r="S266" s="60">
        <f t="shared" si="83"/>
        <v>46.720940324384181</v>
      </c>
      <c r="T266" s="60">
        <f t="shared" si="83"/>
        <v>65.230535294964099</v>
      </c>
      <c r="U266" s="60">
        <f t="shared" si="83"/>
        <v>61.911935743090794</v>
      </c>
      <c r="V266" s="60">
        <f t="shared" si="83"/>
        <v>8.9094694453604415</v>
      </c>
    </row>
    <row r="267" spans="3:22" x14ac:dyDescent="0.2">
      <c r="C267" s="88" t="s">
        <v>144</v>
      </c>
      <c r="D267" s="62">
        <f t="shared" ref="D267:V267" si="84">+IFERROR(IF(D228&gt;0,+((D228/D34)*100)," "),"")</f>
        <v>13.985294214522401</v>
      </c>
      <c r="E267" s="62">
        <f t="shared" si="84"/>
        <v>73.747265066863761</v>
      </c>
      <c r="F267" s="62">
        <f t="shared" si="84"/>
        <v>36.320299679476683</v>
      </c>
      <c r="G267" s="62">
        <f t="shared" si="84"/>
        <v>39.971840485615687</v>
      </c>
      <c r="H267" s="62">
        <f t="shared" si="84"/>
        <v>36.577170716514388</v>
      </c>
      <c r="I267" s="62">
        <f t="shared" si="84"/>
        <v>36.465909737511701</v>
      </c>
      <c r="J267" s="62">
        <f t="shared" si="84"/>
        <v>48.076967916871489</v>
      </c>
      <c r="K267" s="62">
        <f t="shared" si="84"/>
        <v>55.1907993192712</v>
      </c>
      <c r="L267" s="62">
        <f t="shared" si="84"/>
        <v>58.402309997319236</v>
      </c>
      <c r="M267" s="62">
        <f t="shared" si="84"/>
        <v>67.290691103497537</v>
      </c>
      <c r="N267" s="62">
        <f t="shared" si="84"/>
        <v>37.075140650558545</v>
      </c>
      <c r="O267" s="62">
        <f t="shared" si="84"/>
        <v>15.606057493292205</v>
      </c>
      <c r="P267" s="62">
        <f t="shared" si="84"/>
        <v>18.940680530956236</v>
      </c>
      <c r="Q267" s="62">
        <f t="shared" si="84"/>
        <v>31.521835747942418</v>
      </c>
      <c r="R267" s="62">
        <f t="shared" si="84"/>
        <v>43.474231170922565</v>
      </c>
      <c r="S267" s="62">
        <f t="shared" si="84"/>
        <v>26.711259359461227</v>
      </c>
      <c r="T267" s="62">
        <f t="shared" si="84"/>
        <v>35.53712567133563</v>
      </c>
      <c r="U267" s="62">
        <f t="shared" si="84"/>
        <v>38.015504430966644</v>
      </c>
      <c r="V267" s="62">
        <f t="shared" si="84"/>
        <v>51.204978626295251</v>
      </c>
    </row>
    <row r="268" spans="3:22" x14ac:dyDescent="0.2">
      <c r="C268" s="87" t="s">
        <v>145</v>
      </c>
      <c r="D268" s="60">
        <f t="shared" ref="D268:V268" si="85">+IFERROR(IF(D229&gt;0,+((D229/D35)*100)," "),"")</f>
        <v>18.537616121991114</v>
      </c>
      <c r="E268" s="60">
        <f t="shared" si="85"/>
        <v>1.84466628</v>
      </c>
      <c r="F268" s="60">
        <f t="shared" si="85"/>
        <v>0.42299979299780571</v>
      </c>
      <c r="G268" s="60">
        <f t="shared" si="85"/>
        <v>29.058688165123364</v>
      </c>
      <c r="H268" s="60">
        <f t="shared" si="85"/>
        <v>38.71570935180894</v>
      </c>
      <c r="I268" s="60">
        <f t="shared" si="85"/>
        <v>91.256638338833881</v>
      </c>
      <c r="J268" s="60">
        <f t="shared" si="85"/>
        <v>86.650743800005614</v>
      </c>
      <c r="K268" s="60">
        <f t="shared" si="85"/>
        <v>5.0556282624877706</v>
      </c>
      <c r="L268" s="60">
        <f t="shared" si="85"/>
        <v>60.796215480648698</v>
      </c>
      <c r="M268" s="60">
        <f t="shared" si="85"/>
        <v>40.640437730998109</v>
      </c>
      <c r="N268" s="60">
        <f t="shared" si="85"/>
        <v>52.893274008036428</v>
      </c>
      <c r="O268" s="60">
        <f t="shared" si="85"/>
        <v>44.258341279946649</v>
      </c>
      <c r="P268" s="60">
        <f t="shared" si="85"/>
        <v>54.894898345225144</v>
      </c>
      <c r="Q268" s="60">
        <f t="shared" si="85"/>
        <v>62.011799346864514</v>
      </c>
      <c r="R268" s="60">
        <f t="shared" si="85"/>
        <v>58.505101771483439</v>
      </c>
      <c r="S268" s="60">
        <f t="shared" si="85"/>
        <v>49.036350830204512</v>
      </c>
      <c r="T268" s="60">
        <f t="shared" si="85"/>
        <v>59.302016762123188</v>
      </c>
      <c r="U268" s="60">
        <f t="shared" si="85"/>
        <v>70.449812227087449</v>
      </c>
      <c r="V268" s="60">
        <f t="shared" si="85"/>
        <v>69.406849498376516</v>
      </c>
    </row>
    <row r="269" spans="3:22" x14ac:dyDescent="0.2">
      <c r="C269" s="88" t="s">
        <v>146</v>
      </c>
      <c r="D269" s="62">
        <f t="shared" ref="D269:V269" si="86">+IFERROR(IF(D230&gt;0,+((D230/D36)*100)," "),"")</f>
        <v>60.333615817144171</v>
      </c>
      <c r="E269" s="62">
        <f t="shared" si="86"/>
        <v>54.979904600132279</v>
      </c>
      <c r="F269" s="62">
        <f t="shared" si="86"/>
        <v>16.095974230083137</v>
      </c>
      <c r="G269" s="62">
        <f t="shared" si="86"/>
        <v>99.468425807063042</v>
      </c>
      <c r="H269" s="62">
        <f t="shared" si="86"/>
        <v>67.831671444626878</v>
      </c>
      <c r="I269" s="62">
        <f t="shared" si="86"/>
        <v>79.069283168677046</v>
      </c>
      <c r="J269" s="62">
        <f t="shared" si="86"/>
        <v>63.730659605698101</v>
      </c>
      <c r="K269" s="62">
        <f t="shared" si="86"/>
        <v>50.22534743568832</v>
      </c>
      <c r="L269" s="62">
        <f t="shared" si="86"/>
        <v>67.451835014405205</v>
      </c>
      <c r="M269" s="62">
        <f t="shared" si="86"/>
        <v>63.795885017639073</v>
      </c>
      <c r="N269" s="62">
        <f t="shared" si="86"/>
        <v>83.74743454</v>
      </c>
      <c r="O269" s="62">
        <f t="shared" si="86"/>
        <v>83.912618367944873</v>
      </c>
      <c r="P269" s="62">
        <f t="shared" si="86"/>
        <v>79.079324697967991</v>
      </c>
      <c r="Q269" s="62">
        <f t="shared" si="86"/>
        <v>72.911227999791635</v>
      </c>
      <c r="R269" s="62">
        <f t="shared" si="86"/>
        <v>89.843933931916112</v>
      </c>
      <c r="S269" s="62">
        <f t="shared" si="86"/>
        <v>90.969546912334863</v>
      </c>
      <c r="T269" s="62">
        <f t="shared" si="86"/>
        <v>88.698553611425197</v>
      </c>
      <c r="U269" s="62">
        <f t="shared" si="86"/>
        <v>88.345552222728045</v>
      </c>
      <c r="V269" s="62">
        <f t="shared" si="86"/>
        <v>97.559966717216611</v>
      </c>
    </row>
    <row r="270" spans="3:22" x14ac:dyDescent="0.2">
      <c r="C270" s="90" t="s">
        <v>147</v>
      </c>
      <c r="D270" s="61">
        <f t="shared" ref="D270:V270" si="87">+IFERROR(IF(D231&gt;0,+((D231/D37)*100)," "),"")</f>
        <v>60.702331855430401</v>
      </c>
      <c r="E270" s="61">
        <f t="shared" si="87"/>
        <v>76.591834687157117</v>
      </c>
      <c r="F270" s="61">
        <f t="shared" si="87"/>
        <v>69.996000899997242</v>
      </c>
      <c r="G270" s="61">
        <f t="shared" si="87"/>
        <v>69.758754658379246</v>
      </c>
      <c r="H270" s="61">
        <f t="shared" si="87"/>
        <v>71.416275208351209</v>
      </c>
      <c r="I270" s="61">
        <f t="shared" si="87"/>
        <v>78.903311456758331</v>
      </c>
      <c r="J270" s="61">
        <f t="shared" si="87"/>
        <v>67.97801819789666</v>
      </c>
      <c r="K270" s="61">
        <f t="shared" si="87"/>
        <v>70.043038960465935</v>
      </c>
      <c r="L270" s="61">
        <f t="shared" si="87"/>
        <v>76.365518730491686</v>
      </c>
      <c r="M270" s="61">
        <f t="shared" si="87"/>
        <v>75.359076361849262</v>
      </c>
      <c r="N270" s="61">
        <f t="shared" si="87"/>
        <v>83.260260379434143</v>
      </c>
      <c r="O270" s="61">
        <f t="shared" si="87"/>
        <v>67.270092013144804</v>
      </c>
      <c r="P270" s="61">
        <f t="shared" si="87"/>
        <v>82.083127256426408</v>
      </c>
      <c r="Q270" s="61">
        <f t="shared" si="87"/>
        <v>88.445195454027186</v>
      </c>
      <c r="R270" s="61">
        <f t="shared" si="87"/>
        <v>88.969775112458194</v>
      </c>
      <c r="S270" s="61">
        <f t="shared" si="87"/>
        <v>91.085508051270608</v>
      </c>
      <c r="T270" s="61">
        <f t="shared" si="87"/>
        <v>92.847883702561859</v>
      </c>
      <c r="U270" s="61">
        <f t="shared" si="87"/>
        <v>87.356444396234409</v>
      </c>
      <c r="V270" s="61">
        <f t="shared" si="87"/>
        <v>91.036963680045631</v>
      </c>
    </row>
    <row r="271" spans="3:22" ht="22.5" customHeight="1" x14ac:dyDescent="0.2">
      <c r="C271" s="89" t="s">
        <v>148</v>
      </c>
      <c r="D271" s="63" t="str">
        <f t="shared" ref="D271:V271" si="88">+IFERROR(IF(D232&gt;0,+((D232/D38)*100)," "),"")</f>
        <v xml:space="preserve"> </v>
      </c>
      <c r="E271" s="63" t="str">
        <f t="shared" si="88"/>
        <v xml:space="preserve"> </v>
      </c>
      <c r="F271" s="63" t="str">
        <f t="shared" si="88"/>
        <v xml:space="preserve"> </v>
      </c>
      <c r="G271" s="63" t="str">
        <f t="shared" si="88"/>
        <v xml:space="preserve"> </v>
      </c>
      <c r="H271" s="63" t="str">
        <f t="shared" si="88"/>
        <v xml:space="preserve"> </v>
      </c>
      <c r="I271" s="63" t="str">
        <f t="shared" si="88"/>
        <v xml:space="preserve"> </v>
      </c>
      <c r="J271" s="63" t="str">
        <f t="shared" si="88"/>
        <v xml:space="preserve"> </v>
      </c>
      <c r="K271" s="63" t="str">
        <f t="shared" si="88"/>
        <v xml:space="preserve"> </v>
      </c>
      <c r="L271" s="63" t="str">
        <f t="shared" si="88"/>
        <v xml:space="preserve"> </v>
      </c>
      <c r="M271" s="63" t="str">
        <f t="shared" si="88"/>
        <v xml:space="preserve"> </v>
      </c>
      <c r="N271" s="63" t="str">
        <f t="shared" si="88"/>
        <v xml:space="preserve"> </v>
      </c>
      <c r="O271" s="63" t="str">
        <f t="shared" si="88"/>
        <v xml:space="preserve"> </v>
      </c>
      <c r="P271" s="63" t="str">
        <f t="shared" si="88"/>
        <v xml:space="preserve"> </v>
      </c>
      <c r="Q271" s="63" t="str">
        <f t="shared" si="88"/>
        <v xml:space="preserve"> </v>
      </c>
      <c r="R271" s="63" t="str">
        <f t="shared" si="88"/>
        <v xml:space="preserve"> </v>
      </c>
      <c r="S271" s="63" t="str">
        <f t="shared" si="88"/>
        <v xml:space="preserve"> </v>
      </c>
      <c r="T271" s="63" t="str">
        <f t="shared" si="88"/>
        <v xml:space="preserve"> </v>
      </c>
      <c r="U271" s="63" t="str">
        <f t="shared" si="88"/>
        <v xml:space="preserve"> </v>
      </c>
      <c r="V271" s="63">
        <f t="shared" si="88"/>
        <v>56.255603915121867</v>
      </c>
    </row>
    <row r="272" spans="3:22" x14ac:dyDescent="0.2">
      <c r="C272" s="87" t="s">
        <v>149</v>
      </c>
      <c r="D272" s="60">
        <f t="shared" ref="D272:V272" si="89">+IFERROR(IF(D233&gt;0,+((D233/D39)*100)," "),"")</f>
        <v>70.314130481632176</v>
      </c>
      <c r="E272" s="60">
        <f t="shared" si="89"/>
        <v>52.11670540082838</v>
      </c>
      <c r="F272" s="60">
        <f t="shared" si="89"/>
        <v>23.518722806440614</v>
      </c>
      <c r="G272" s="60">
        <f t="shared" si="89"/>
        <v>11.364341828347534</v>
      </c>
      <c r="H272" s="60">
        <f t="shared" si="89"/>
        <v>94.332536911435696</v>
      </c>
      <c r="I272" s="60">
        <f t="shared" si="89"/>
        <v>36.927640125774978</v>
      </c>
      <c r="J272" s="60">
        <f t="shared" si="89"/>
        <v>71.168008782991592</v>
      </c>
      <c r="K272" s="60">
        <f t="shared" si="89"/>
        <v>85.75214162969398</v>
      </c>
      <c r="L272" s="60">
        <f t="shared" si="89"/>
        <v>62.498074375304313</v>
      </c>
      <c r="M272" s="60">
        <f t="shared" si="89"/>
        <v>61.968675317642067</v>
      </c>
      <c r="N272" s="60">
        <f t="shared" si="89"/>
        <v>51.060807704662004</v>
      </c>
      <c r="O272" s="60">
        <f t="shared" si="89"/>
        <v>68.131728657522501</v>
      </c>
      <c r="P272" s="60">
        <f t="shared" si="89"/>
        <v>52.830284123253449</v>
      </c>
      <c r="Q272" s="60">
        <f t="shared" si="89"/>
        <v>73.275788111676675</v>
      </c>
      <c r="R272" s="60">
        <f t="shared" si="89"/>
        <v>77.439282476303035</v>
      </c>
      <c r="S272" s="60">
        <f t="shared" si="89"/>
        <v>76.335958488328913</v>
      </c>
      <c r="T272" s="60">
        <f t="shared" si="89"/>
        <v>84.435225738379543</v>
      </c>
      <c r="U272" s="60">
        <f t="shared" si="89"/>
        <v>76.582800951754621</v>
      </c>
      <c r="V272" s="60">
        <f t="shared" si="89"/>
        <v>87.994491909047952</v>
      </c>
    </row>
    <row r="273" spans="3:22" x14ac:dyDescent="0.2">
      <c r="C273" s="88" t="s">
        <v>150</v>
      </c>
      <c r="D273" s="62">
        <f t="shared" ref="D273:V273" si="90">+IFERROR(IF(D234&gt;0,+((D234/D40)*100)," "),"")</f>
        <v>46.904450712465938</v>
      </c>
      <c r="E273" s="62">
        <f t="shared" si="90"/>
        <v>67.036114177999764</v>
      </c>
      <c r="F273" s="62">
        <f t="shared" si="90"/>
        <v>37.937519434440922</v>
      </c>
      <c r="G273" s="62">
        <f t="shared" si="90"/>
        <v>61.652243283894769</v>
      </c>
      <c r="H273" s="62">
        <f t="shared" si="90"/>
        <v>61.044961343599404</v>
      </c>
      <c r="I273" s="62">
        <f t="shared" si="90"/>
        <v>68.907672569402749</v>
      </c>
      <c r="J273" s="62">
        <f t="shared" si="90"/>
        <v>54.001481362935898</v>
      </c>
      <c r="K273" s="62">
        <f t="shared" si="90"/>
        <v>70.440549587798458</v>
      </c>
      <c r="L273" s="62">
        <f t="shared" si="90"/>
        <v>73.303623306936174</v>
      </c>
      <c r="M273" s="62">
        <f t="shared" si="90"/>
        <v>68.660551373309005</v>
      </c>
      <c r="N273" s="62">
        <f t="shared" si="90"/>
        <v>63.500103260463924</v>
      </c>
      <c r="O273" s="62">
        <f t="shared" si="90"/>
        <v>68.011557884573762</v>
      </c>
      <c r="P273" s="62">
        <f t="shared" si="90"/>
        <v>69.344934715227311</v>
      </c>
      <c r="Q273" s="62">
        <f t="shared" si="90"/>
        <v>68.156668914631723</v>
      </c>
      <c r="R273" s="62">
        <f t="shared" si="90"/>
        <v>76.333515369210119</v>
      </c>
      <c r="S273" s="62">
        <f t="shared" si="90"/>
        <v>70.624075097793082</v>
      </c>
      <c r="T273" s="62">
        <f t="shared" si="90"/>
        <v>63.242980004809787</v>
      </c>
      <c r="U273" s="62">
        <f t="shared" si="90"/>
        <v>58.445122058359601</v>
      </c>
      <c r="V273" s="62">
        <f t="shared" si="90"/>
        <v>68.085446406935489</v>
      </c>
    </row>
    <row r="274" spans="3:22" x14ac:dyDescent="0.2">
      <c r="C274" s="87" t="s">
        <v>151</v>
      </c>
      <c r="D274" s="60">
        <f t="shared" ref="D274:V274" si="91">+IFERROR(IF(D235&gt;0,+((D235/D41)*100)," "),"")</f>
        <v>41.890078387391995</v>
      </c>
      <c r="E274" s="60">
        <f t="shared" si="91"/>
        <v>11.586512311271205</v>
      </c>
      <c r="F274" s="60">
        <f t="shared" si="91"/>
        <v>34.929015983406416</v>
      </c>
      <c r="G274" s="60">
        <f t="shared" si="91"/>
        <v>18.079571394020729</v>
      </c>
      <c r="H274" s="60">
        <f t="shared" si="91"/>
        <v>4.0917250960717908</v>
      </c>
      <c r="I274" s="60">
        <f t="shared" si="91"/>
        <v>8.8327475952558245</v>
      </c>
      <c r="J274" s="60">
        <f t="shared" si="91"/>
        <v>48.571244175818777</v>
      </c>
      <c r="K274" s="60">
        <f t="shared" si="91"/>
        <v>74.879067821623821</v>
      </c>
      <c r="L274" s="60">
        <f t="shared" si="91"/>
        <v>46.878533200932424</v>
      </c>
      <c r="M274" s="60">
        <f t="shared" si="91"/>
        <v>33.620806969470536</v>
      </c>
      <c r="N274" s="60">
        <f t="shared" si="91"/>
        <v>28.177398627722845</v>
      </c>
      <c r="O274" s="60">
        <f t="shared" si="91"/>
        <v>57.31661559294318</v>
      </c>
      <c r="P274" s="60">
        <f t="shared" si="91"/>
        <v>42.709448037640371</v>
      </c>
      <c r="Q274" s="60">
        <f t="shared" si="91"/>
        <v>25.901049819547545</v>
      </c>
      <c r="R274" s="60">
        <f t="shared" si="91"/>
        <v>32.499995098232475</v>
      </c>
      <c r="S274" s="60">
        <f t="shared" si="91"/>
        <v>23.725694563739744</v>
      </c>
      <c r="T274" s="60">
        <f t="shared" si="91"/>
        <v>22.109144252663988</v>
      </c>
      <c r="U274" s="60">
        <f t="shared" si="91"/>
        <v>18.815770110885683</v>
      </c>
      <c r="V274" s="60">
        <f t="shared" si="91"/>
        <v>18.897253307643833</v>
      </c>
    </row>
    <row r="275" spans="3:22" x14ac:dyDescent="0.2">
      <c r="C275" s="91" t="s">
        <v>202</v>
      </c>
      <c r="D275" s="64">
        <f t="shared" ref="D275:V275" si="92">+IFERROR(IF(D236&gt;0,+((D236/D42)*100)," "),"")</f>
        <v>54.792578622039379</v>
      </c>
      <c r="E275" s="64">
        <f t="shared" si="92"/>
        <v>62.664316604020307</v>
      </c>
      <c r="F275" s="64">
        <f t="shared" si="92"/>
        <v>51.708706586564055</v>
      </c>
      <c r="G275" s="64">
        <f t="shared" si="92"/>
        <v>63.545140869086495</v>
      </c>
      <c r="H275" s="64">
        <f t="shared" si="92"/>
        <v>61.45403810484158</v>
      </c>
      <c r="I275" s="64">
        <f t="shared" si="92"/>
        <v>64.700432489075993</v>
      </c>
      <c r="J275" s="64">
        <f t="shared" si="92"/>
        <v>61.767697167933655</v>
      </c>
      <c r="K275" s="64">
        <f t="shared" si="92"/>
        <v>69.84259195604848</v>
      </c>
      <c r="L275" s="64">
        <f t="shared" si="92"/>
        <v>74.919519627594369</v>
      </c>
      <c r="M275" s="64">
        <f t="shared" si="92"/>
        <v>73.675180798256321</v>
      </c>
      <c r="N275" s="64">
        <f t="shared" si="92"/>
        <v>70.529812052498158</v>
      </c>
      <c r="O275" s="64">
        <f t="shared" si="92"/>
        <v>65.708598600079057</v>
      </c>
      <c r="P275" s="64">
        <f t="shared" si="92"/>
        <v>67.972050662509943</v>
      </c>
      <c r="Q275" s="64">
        <f t="shared" si="92"/>
        <v>70.910549840491171</v>
      </c>
      <c r="R275" s="64">
        <f t="shared" si="92"/>
        <v>72.788381034215334</v>
      </c>
      <c r="S275" s="64">
        <f t="shared" si="92"/>
        <v>72.812255098373811</v>
      </c>
      <c r="T275" s="64">
        <f t="shared" si="92"/>
        <v>72.805200132772669</v>
      </c>
      <c r="U275" s="64">
        <f t="shared" si="92"/>
        <v>71.649446417324981</v>
      </c>
      <c r="V275" s="64">
        <f t="shared" si="92"/>
        <v>76.910200238465592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D2:V2"/>
    <mergeCell ref="A5:C6"/>
    <mergeCell ref="K205:K206"/>
    <mergeCell ref="V244:V245"/>
    <mergeCell ref="D126:V126"/>
    <mergeCell ref="L165:Q165"/>
    <mergeCell ref="O6:O7"/>
    <mergeCell ref="D50:D51"/>
    <mergeCell ref="L87:Q87"/>
    <mergeCell ref="K167:K168"/>
    <mergeCell ref="C89:C90"/>
    <mergeCell ref="H89:H90"/>
    <mergeCell ref="D4:V4"/>
    <mergeCell ref="H6:H7"/>
    <mergeCell ref="K244:K245"/>
    <mergeCell ref="J6:J7"/>
    <mergeCell ref="C205:C206"/>
    <mergeCell ref="E205:E206"/>
    <mergeCell ref="H167:H168"/>
    <mergeCell ref="K50:K51"/>
    <mergeCell ref="V6:V7"/>
    <mergeCell ref="T167:T168"/>
    <mergeCell ref="L205:L206"/>
    <mergeCell ref="V167:V168"/>
    <mergeCell ref="C167:C168"/>
    <mergeCell ref="L242:Q242"/>
    <mergeCell ref="O11:O12"/>
    <mergeCell ref="J50:J51"/>
    <mergeCell ref="L50:L51"/>
    <mergeCell ref="P205:P206"/>
    <mergeCell ref="P244:P245"/>
    <mergeCell ref="O205:O206"/>
    <mergeCell ref="Q205:Q206"/>
    <mergeCell ref="F205:F206"/>
    <mergeCell ref="E11:E12"/>
    <mergeCell ref="O50:O51"/>
    <mergeCell ref="E6:E7"/>
    <mergeCell ref="L128:L129"/>
    <mergeCell ref="N128:N129"/>
    <mergeCell ref="D203:V203"/>
    <mergeCell ref="D89:D90"/>
    <mergeCell ref="M205:M206"/>
    <mergeCell ref="Q128:Q129"/>
    <mergeCell ref="F50:F51"/>
    <mergeCell ref="V89:V90"/>
    <mergeCell ref="Q6:Q7"/>
    <mergeCell ref="S6:S7"/>
    <mergeCell ref="O167:O168"/>
    <mergeCell ref="R50:R51"/>
    <mergeCell ref="Q167:Q168"/>
    <mergeCell ref="S205:S206"/>
    <mergeCell ref="U205:U206"/>
    <mergeCell ref="E167:E168"/>
    <mergeCell ref="I205:I206"/>
    <mergeCell ref="R89:R90"/>
    <mergeCell ref="N167:N168"/>
    <mergeCell ref="T89:T90"/>
    <mergeCell ref="V50:V51"/>
    <mergeCell ref="U167:U168"/>
    <mergeCell ref="L11:L12"/>
    <mergeCell ref="I128:I129"/>
    <mergeCell ref="K128:K129"/>
    <mergeCell ref="N11:N12"/>
    <mergeCell ref="D86:V86"/>
    <mergeCell ref="U128:U129"/>
    <mergeCell ref="S50:S51"/>
    <mergeCell ref="G11:G12"/>
    <mergeCell ref="R167:R168"/>
    <mergeCell ref="D164:V164"/>
    <mergeCell ref="L167:L168"/>
    <mergeCell ref="I89:I90"/>
    <mergeCell ref="D128:D129"/>
    <mergeCell ref="F128:F129"/>
    <mergeCell ref="Q50:Q51"/>
    <mergeCell ref="D48:V48"/>
    <mergeCell ref="R11:R12"/>
    <mergeCell ref="A7:C7"/>
    <mergeCell ref="U50:U51"/>
    <mergeCell ref="I11:I12"/>
    <mergeCell ref="P128:P129"/>
    <mergeCell ref="S11:S12"/>
    <mergeCell ref="R128:R129"/>
    <mergeCell ref="U11:U12"/>
    <mergeCell ref="M11:M12"/>
    <mergeCell ref="F89:F90"/>
    <mergeCell ref="C50:C51"/>
    <mergeCell ref="K11:K12"/>
    <mergeCell ref="N6:N7"/>
    <mergeCell ref="S89:S90"/>
    <mergeCell ref="U89:U90"/>
    <mergeCell ref="F11:F12"/>
    <mergeCell ref="P6:P7"/>
    <mergeCell ref="C128:C129"/>
    <mergeCell ref="T6:T7"/>
    <mergeCell ref="D6:D7"/>
    <mergeCell ref="F6:F7"/>
    <mergeCell ref="C11:C12"/>
    <mergeCell ref="D244:D245"/>
    <mergeCell ref="F244:F245"/>
    <mergeCell ref="J89:J90"/>
    <mergeCell ref="G6:G7"/>
    <mergeCell ref="L89:L90"/>
    <mergeCell ref="U6:U7"/>
    <mergeCell ref="S167:S168"/>
    <mergeCell ref="N50:N51"/>
    <mergeCell ref="D11:D12"/>
    <mergeCell ref="P50:P51"/>
    <mergeCell ref="M128:M129"/>
    <mergeCell ref="P11:P12"/>
    <mergeCell ref="O128:O129"/>
    <mergeCell ref="E128:E129"/>
    <mergeCell ref="G128:G129"/>
    <mergeCell ref="M6:M7"/>
    <mergeCell ref="G167:G168"/>
    <mergeCell ref="M89:M90"/>
    <mergeCell ref="I167:I168"/>
    <mergeCell ref="O89:O90"/>
    <mergeCell ref="F167:F168"/>
    <mergeCell ref="G89:G90"/>
    <mergeCell ref="L6:L7"/>
    <mergeCell ref="Q89:Q90"/>
    <mergeCell ref="J244:J245"/>
    <mergeCell ref="I6:I7"/>
    <mergeCell ref="N89:N90"/>
    <mergeCell ref="K6:K7"/>
    <mergeCell ref="P89:P90"/>
    <mergeCell ref="T244:T245"/>
    <mergeCell ref="M50:M51"/>
    <mergeCell ref="J205:J206"/>
    <mergeCell ref="M167:M168"/>
    <mergeCell ref="L244:L245"/>
    <mergeCell ref="D241:V241"/>
    <mergeCell ref="N244:N245"/>
    <mergeCell ref="H205:H206"/>
    <mergeCell ref="E244:E245"/>
    <mergeCell ref="R244:R245"/>
    <mergeCell ref="R6:R7"/>
    <mergeCell ref="T50:T51"/>
    <mergeCell ref="H11:H12"/>
    <mergeCell ref="J11:J12"/>
    <mergeCell ref="S128:S129"/>
    <mergeCell ref="R205:R206"/>
    <mergeCell ref="H128:H129"/>
    <mergeCell ref="J128:J129"/>
    <mergeCell ref="T128:T129"/>
    <mergeCell ref="T11:T12"/>
    <mergeCell ref="Q11:Q12"/>
    <mergeCell ref="I50:I51"/>
    <mergeCell ref="P167:P168"/>
    <mergeCell ref="C244:C245"/>
    <mergeCell ref="U244:U245"/>
    <mergeCell ref="M244:M245"/>
    <mergeCell ref="O244:O245"/>
    <mergeCell ref="N205:N206"/>
    <mergeCell ref="G244:G245"/>
    <mergeCell ref="J167:J168"/>
    <mergeCell ref="K89:K90"/>
    <mergeCell ref="D9:V9"/>
    <mergeCell ref="T205:T206"/>
    <mergeCell ref="Q244:Q245"/>
    <mergeCell ref="H50:H51"/>
    <mergeCell ref="E89:E90"/>
    <mergeCell ref="V128:V129"/>
    <mergeCell ref="V205:V206"/>
    <mergeCell ref="E50:E51"/>
    <mergeCell ref="D167:D168"/>
    <mergeCell ref="G50:G51"/>
    <mergeCell ref="G205:G206"/>
    <mergeCell ref="V11:V12"/>
    <mergeCell ref="I244:I245"/>
    <mergeCell ref="D205:D206"/>
    <mergeCell ref="S244:S245"/>
    <mergeCell ref="H244:H245"/>
  </mergeCells>
  <pageMargins left="0.7" right="0.7" top="0.75" bottom="0.75" header="0.3" footer="0.3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K300"/>
  <sheetViews>
    <sheetView showGridLines="0" zoomScaleNormal="100" workbookViewId="0">
      <pane xSplit="3" ySplit="9" topLeftCell="D28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M253" sqref="M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>
      <c r="I1" s="9" t="s">
        <v>209</v>
      </c>
    </row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0.25" customHeight="1" x14ac:dyDescent="0.2">
      <c r="A7" s="165" t="s">
        <v>32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0.25" customHeight="1" x14ac:dyDescent="0.25">
      <c r="A8" s="175"/>
      <c r="B8" s="175"/>
      <c r="C8" s="175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s="102" customFormat="1" ht="16.5" customHeight="1" x14ac:dyDescent="0.25">
      <c r="A9" s="162" t="s">
        <v>227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C11" s="9"/>
      <c r="D11" s="131" t="s">
        <v>201</v>
      </c>
      <c r="E11" s="131"/>
      <c r="F11" s="131"/>
      <c r="G11" s="131"/>
      <c r="H11" s="131"/>
      <c r="I11" s="131"/>
      <c r="J11" s="131"/>
      <c r="K11" s="131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1526.065815823*Deflactores!$T$5</f>
        <v>2368.3413637431395</v>
      </c>
      <c r="E15" s="42">
        <f>1122.52520318*Deflactores!$U$5</f>
        <v>1714.473138666305</v>
      </c>
      <c r="F15" s="42">
        <f>1758.95142586*Deflactores!$V$5</f>
        <v>2543.5616468209723</v>
      </c>
      <c r="G15" s="42">
        <f>1824.182456578*Deflactores!$W$5</f>
        <v>2331.9396119401454</v>
      </c>
      <c r="H15" s="42">
        <f>4444.599534221*Deflactores!$X$5</f>
        <v>5199.2532870128025</v>
      </c>
      <c r="I15" s="42">
        <f>6821.061599551*Deflactores!$Y$5</f>
        <v>7584.8076289385317</v>
      </c>
      <c r="J15" s="42">
        <f>4192.64562226*Deflactores!$Z$5</f>
        <v>4435.8190683510802</v>
      </c>
      <c r="K15" s="42">
        <f>3213.56123749*Deflactores!$AA$5</f>
        <v>3213.5612374900002</v>
      </c>
    </row>
    <row r="16" spans="1:11" x14ac:dyDescent="0.2">
      <c r="C16" s="88" t="s">
        <v>124</v>
      </c>
      <c r="D16" s="50">
        <f>303.171016547*Deflactores!$T$5</f>
        <v>470.49901212097802</v>
      </c>
      <c r="E16" s="50">
        <f>376.695226315*Deflactores!$U$5</f>
        <v>575.34017512596631</v>
      </c>
      <c r="F16" s="50">
        <f>757.618897627*Deflactores!$V$5</f>
        <v>1095.5677016314614</v>
      </c>
      <c r="G16" s="50">
        <f>916.462803849*Deflactores!$W$5</f>
        <v>1171.5581999260571</v>
      </c>
      <c r="H16" s="50">
        <f>1492.79342263*Deflactores!$X$5</f>
        <v>1746.2565636524669</v>
      </c>
      <c r="I16" s="50">
        <f>1439.164580272*Deflactores!$Y$5</f>
        <v>1600.3061002210745</v>
      </c>
      <c r="J16" s="50">
        <f>976.371329937*Deflactores!$Z$5</f>
        <v>1033.0008670733462</v>
      </c>
      <c r="K16" s="50">
        <f>1114.293796946*Deflactores!$AA$5</f>
        <v>1114.2937969459999</v>
      </c>
    </row>
    <row r="17" spans="3:11" x14ac:dyDescent="0.2">
      <c r="C17" s="87" t="s">
        <v>125</v>
      </c>
      <c r="D17" s="42">
        <f>327.50009532*Deflactores!$T$5</f>
        <v>508.25594435970135</v>
      </c>
      <c r="E17" s="42">
        <f>245.873068343*Deflactores!$U$5</f>
        <v>375.53078541252364</v>
      </c>
      <c r="F17" s="42">
        <f>386.465162527*Deflactores!$V$5</f>
        <v>558.85452593183243</v>
      </c>
      <c r="G17" s="42">
        <f>302.901433272*Deflactores!$W$5</f>
        <v>387.21337781389792</v>
      </c>
      <c r="H17" s="42">
        <f>457.611289945*Deflactores!$X$5</f>
        <v>535.3096460326467</v>
      </c>
      <c r="I17" s="42">
        <f>347.851577998*Deflactores!$Y$5</f>
        <v>386.80009908006258</v>
      </c>
      <c r="J17" s="42">
        <f>254.424632408*Deflactores!$Z$5</f>
        <v>269.18126108766404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345.888371439*Deflactores!$T$5</f>
        <v>536.79318992867559</v>
      </c>
      <c r="E18" s="50">
        <f>389.397636729*Deflactores!$U$5</f>
        <v>594.74102366765021</v>
      </c>
      <c r="F18" s="50">
        <f>497.717907316*Deflactores!$V$5</f>
        <v>719.73345106218744</v>
      </c>
      <c r="G18" s="50">
        <f>495.177747969*Deflactores!$W$5</f>
        <v>633.00937977793239</v>
      </c>
      <c r="H18" s="50">
        <f>649.614091341*Deflactores!$X$5</f>
        <v>759.91282762137553</v>
      </c>
      <c r="I18" s="50">
        <f>343.700148969*Deflactores!$Y$5</f>
        <v>382.18383955643816</v>
      </c>
      <c r="J18" s="50">
        <f>398.919303499*Deflactores!$Z$5</f>
        <v>422.05662310194202</v>
      </c>
      <c r="K18" s="50">
        <f>333.668558019*Deflactores!$AA$5</f>
        <v>333.66855801899999</v>
      </c>
    </row>
    <row r="19" spans="3:11" x14ac:dyDescent="0.2">
      <c r="C19" s="87" t="s">
        <v>127</v>
      </c>
      <c r="D19" s="42">
        <f>90*Deflactores!$T$5</f>
        <v>139.67334863728101</v>
      </c>
      <c r="E19" s="42">
        <f>83.141129558*Deflactores!$U$5</f>
        <v>126.98443913932235</v>
      </c>
      <c r="F19" s="42">
        <f>115.71346817*Deflactores!$V$5</f>
        <v>167.32943009722288</v>
      </c>
      <c r="G19" s="42">
        <f>209.033450966*Deflactores!$W$5</f>
        <v>267.21745008039466</v>
      </c>
      <c r="H19" s="42">
        <f>276.516725483*Deflactores!$X$5</f>
        <v>323.46682368392169</v>
      </c>
      <c r="I19" s="42">
        <f>263*Deflactores!$Y$5</f>
        <v>292.44779237034641</v>
      </c>
      <c r="J19" s="42">
        <f>200*Deflactores!$Z$5</f>
        <v>211.60000000000002</v>
      </c>
      <c r="K19" s="42">
        <f>200*Deflactores!$AA$5</f>
        <v>200</v>
      </c>
    </row>
    <row r="20" spans="3:11" x14ac:dyDescent="0.2">
      <c r="C20" s="88" t="s">
        <v>128</v>
      </c>
      <c r="D20" s="50">
        <f>146.544090632*Deflactores!$T$5</f>
        <v>227.42559846196269</v>
      </c>
      <c r="E20" s="50">
        <f>141.962145894*Deflactores!$U$5</f>
        <v>216.82389415684395</v>
      </c>
      <c r="F20" s="50">
        <f>372.200515857*Deflactores!$V$5</f>
        <v>538.22689082955844</v>
      </c>
      <c r="G20" s="50">
        <f>376.854681237*Deflactores!$W$5</f>
        <v>481.75134891396232</v>
      </c>
      <c r="H20" s="50">
        <f>504.644431861*Deflactores!$X$5</f>
        <v>590.3286001189482</v>
      </c>
      <c r="I20" s="50">
        <f>985.487482283*Deflactores!$Y$5</f>
        <v>1095.8313254839325</v>
      </c>
      <c r="J20" s="50">
        <f>734.221144324*Deflactores!$Z$5</f>
        <v>776.80597069479199</v>
      </c>
      <c r="K20" s="50">
        <f>739.343206058*Deflactores!$AA$5</f>
        <v>739.34320605799996</v>
      </c>
    </row>
    <row r="21" spans="3:11" x14ac:dyDescent="0.2">
      <c r="C21" s="87" t="s">
        <v>129</v>
      </c>
      <c r="D21" s="42">
        <f>1133.197335263*Deflactores!$T$5</f>
        <v>1758.6385164780756</v>
      </c>
      <c r="E21" s="42">
        <f>1391.167489452*Deflactores!$U$5</f>
        <v>2124.7801700082036</v>
      </c>
      <c r="F21" s="42">
        <f>2105.628247*Deflactores!$V$5</f>
        <v>3044.8795644902366</v>
      </c>
      <c r="G21" s="42">
        <f>2083.008283576*Deflactores!$W$5</f>
        <v>2662.809035880357</v>
      </c>
      <c r="H21" s="42">
        <f>1981.492645*Deflactores!$X$5</f>
        <v>2317.9325985133128</v>
      </c>
      <c r="I21" s="42">
        <f>3103.143349434*Deflactores!$Y$5</f>
        <v>3450.5985625501739</v>
      </c>
      <c r="J21" s="42">
        <f>2310.99536515633*Deflactores!$Z$5</f>
        <v>2445.0330963353972</v>
      </c>
      <c r="K21" s="42">
        <f>3675.842580895*Deflactores!$AA$5</f>
        <v>3675.8425808950001</v>
      </c>
    </row>
    <row r="22" spans="3:11" x14ac:dyDescent="0.2">
      <c r="C22" s="88" t="s">
        <v>130</v>
      </c>
      <c r="D22" s="50">
        <f>462*Deflactores!$T$5</f>
        <v>716.9898563380425</v>
      </c>
      <c r="E22" s="50">
        <f>422.38737623*Deflactores!$U$5</f>
        <v>645.12743999561712</v>
      </c>
      <c r="F22" s="50">
        <f>727.839792982*Deflactores!$V$5</f>
        <v>1052.5051205174566</v>
      </c>
      <c r="G22" s="50">
        <f>845.29875289*Deflactores!$W$5</f>
        <v>1080.5857926545132</v>
      </c>
      <c r="H22" s="50">
        <f>891.709127023*Deflactores!$X$5</f>
        <v>1043.11346253746</v>
      </c>
      <c r="I22" s="50">
        <f>994.03887389*Deflactores!$Y$5</f>
        <v>1105.3402060815044</v>
      </c>
      <c r="J22" s="50">
        <f>400*Deflactores!$Z$5</f>
        <v>423.20000000000005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4062.336154618*Deflactores!$T$5</f>
        <v>6304.4454889532371</v>
      </c>
      <c r="E23" s="42">
        <f>3994.790481497*Deflactores!$U$5</f>
        <v>6101.3872612606201</v>
      </c>
      <c r="F23" s="42">
        <f>4861.243434535*Deflactores!$V$5</f>
        <v>7029.6838071568445</v>
      </c>
      <c r="G23" s="42">
        <f>5535.033284332*Deflactores!$W$5</f>
        <v>7075.6975666534972</v>
      </c>
      <c r="H23" s="42">
        <f>7403.613739137*Deflactores!$X$5</f>
        <v>8660.6819742935204</v>
      </c>
      <c r="I23" s="42">
        <f>8081.078749273*Deflactores!$Y$5</f>
        <v>8985.9073771703752</v>
      </c>
      <c r="J23" s="42">
        <f>6776.941757549*Deflactores!$Z$5</f>
        <v>7170.0043794868425</v>
      </c>
      <c r="K23" s="42">
        <f>6820.300451684*Deflactores!$AA$5</f>
        <v>6820.3004516840001</v>
      </c>
    </row>
    <row r="24" spans="3:11" x14ac:dyDescent="0.2">
      <c r="C24" s="88" t="s">
        <v>132</v>
      </c>
      <c r="D24" s="50">
        <f>324.638392831*Deflactores!$T$5</f>
        <v>503.81479358812049</v>
      </c>
      <c r="E24" s="50">
        <f>260.751040873*Deflactores!$U$5</f>
        <v>398.25444826502707</v>
      </c>
      <c r="F24" s="50">
        <f>334.639445337*Deflactores!$V$5</f>
        <v>483.91106551249584</v>
      </c>
      <c r="G24" s="50">
        <f>336.406633966*Deflactores!$W$5</f>
        <v>430.04467707488948</v>
      </c>
      <c r="H24" s="50">
        <f>392.980287025*Deflactores!$X$5</f>
        <v>459.70486954210509</v>
      </c>
      <c r="I24" s="50">
        <f>375.160266458*Deflactores!$Y$5</f>
        <v>417.16650840575295</v>
      </c>
      <c r="J24" s="50">
        <f>397.548510344*Deflactores!$Z$5</f>
        <v>420.60632394395202</v>
      </c>
      <c r="K24" s="50">
        <f>411.9110317*Deflactores!$AA$5</f>
        <v>411.91103170000002</v>
      </c>
    </row>
    <row r="25" spans="3:11" x14ac:dyDescent="0.2">
      <c r="C25" s="87" t="s">
        <v>133</v>
      </c>
      <c r="D25" s="42">
        <f>171.520550998*Deflactores!$T$5</f>
        <v>266.18721908891325</v>
      </c>
      <c r="E25" s="42">
        <f>173.978456129*Deflactores!$U$5</f>
        <v>265.72355693645341</v>
      </c>
      <c r="F25" s="42">
        <f>203.538882838*Deflactores!$V$5</f>
        <v>294.33086577157735</v>
      </c>
      <c r="G25" s="42">
        <f>200.554889748*Deflactores!$W$5</f>
        <v>256.37890008490615</v>
      </c>
      <c r="H25" s="42">
        <f>243.720783494*Deflactores!$X$5</f>
        <v>285.10242035036566</v>
      </c>
      <c r="I25" s="42">
        <f>257.729928226*Deflactores!$Y$5</f>
        <v>286.58763702456861</v>
      </c>
      <c r="J25" s="42">
        <f>338.391767658*Deflactores!$Z$5</f>
        <v>358.01849018216399</v>
      </c>
      <c r="K25" s="42">
        <f>407.050542142*Deflactores!$AA$5</f>
        <v>407.05054214199998</v>
      </c>
    </row>
    <row r="26" spans="3:11" x14ac:dyDescent="0.2">
      <c r="C26" s="88" t="s">
        <v>134</v>
      </c>
      <c r="D26" s="50">
        <f>1827.131144378*Deflactores!$T$5</f>
        <v>2835.5725037193624</v>
      </c>
      <c r="E26" s="50">
        <f>1929.249471722*Deflactores!$U$5</f>
        <v>2946.6121452625753</v>
      </c>
      <c r="F26" s="50">
        <f>2274.184409842*Deflactores!$V$5</f>
        <v>3288.6230726036583</v>
      </c>
      <c r="G26" s="50">
        <f>2613.560737045*Deflactores!$W$5</f>
        <v>3341.0395922564435</v>
      </c>
      <c r="H26" s="50">
        <f>4830.927664568*Deflactores!$X$5</f>
        <v>5651.1765224149767</v>
      </c>
      <c r="I26" s="50">
        <f>3315.450549608*Deflactores!$Y$5</f>
        <v>3686.6775435205755</v>
      </c>
      <c r="J26" s="50">
        <f>2785.404005115*Deflactores!$Z$5</f>
        <v>2946.9574374116701</v>
      </c>
      <c r="K26" s="50">
        <f>4765.890934639*Deflactores!$AA$5</f>
        <v>4765.8909346390001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9967.559102631*Deflactores!$Y$5</f>
        <v>11083.614657358885</v>
      </c>
      <c r="J27" s="42">
        <f>9990.712699932*Deflactores!$Z$5</f>
        <v>10570.174036528057</v>
      </c>
      <c r="K27" s="42">
        <f>9698.0072248*Deflactores!$AA$5</f>
        <v>9698.0072247999997</v>
      </c>
    </row>
    <row r="28" spans="3:11" x14ac:dyDescent="0.2">
      <c r="C28" s="88" t="s">
        <v>136</v>
      </c>
      <c r="D28" s="50">
        <f>10008.629901714*Deflactores!$T$5</f>
        <v>15532.653929373502</v>
      </c>
      <c r="E28" s="50">
        <f>10580.678139794*Deflactores!$U$5</f>
        <v>16160.25048538864</v>
      </c>
      <c r="F28" s="50">
        <f>14434.612841607*Deflactores!$V$5</f>
        <v>20873.417577560405</v>
      </c>
      <c r="G28" s="50">
        <f>21727.546051394*Deflactores!$W$5</f>
        <v>27775.360477123901</v>
      </c>
      <c r="H28" s="50">
        <f>19820.368650912*Deflactores!$X$5</f>
        <v>23185.692223702532</v>
      </c>
      <c r="I28" s="50">
        <f>11152.307544973*Deflactores!$Y$5</f>
        <v>12401.017951948714</v>
      </c>
      <c r="J28" s="50">
        <f>8876.386753354*Deflactores!$Z$5</f>
        <v>9391.217185048532</v>
      </c>
      <c r="K28" s="50">
        <f>11228.172667558*Deflactores!$AA$5</f>
        <v>11228.172667557999</v>
      </c>
    </row>
    <row r="29" spans="3:11" x14ac:dyDescent="0.2">
      <c r="C29" s="87" t="s">
        <v>137</v>
      </c>
      <c r="D29" s="42">
        <f>226.187526608*Deflactores!$T$5</f>
        <v>351.02632512581619</v>
      </c>
      <c r="E29" s="42">
        <f>212.053368929*Deflactores!$U$5</f>
        <v>323.8767414420081</v>
      </c>
      <c r="F29" s="42">
        <f>420.864117062*Deflactores!$V$5</f>
        <v>608.59771960938667</v>
      </c>
      <c r="G29" s="42">
        <f>483.829414493*Deflactores!$W$5</f>
        <v>618.50226275859973</v>
      </c>
      <c r="H29" s="42">
        <f>801.531642159*Deflactores!$X$5</f>
        <v>937.62463705751145</v>
      </c>
      <c r="I29" s="42">
        <f>1045.218780894*Deflactores!$Y$5</f>
        <v>1162.2506654618826</v>
      </c>
      <c r="J29" s="42">
        <f>754.850408857*Deflactores!$Z$5</f>
        <v>798.63173257070605</v>
      </c>
      <c r="K29" s="42">
        <f>522.403554053*Deflactores!$AA$5</f>
        <v>522.40355405299999</v>
      </c>
    </row>
    <row r="30" spans="3:11" x14ac:dyDescent="0.2">
      <c r="C30" s="88" t="s">
        <v>138</v>
      </c>
      <c r="D30" s="50">
        <f>7.240789965*Deflactores!$T$5</f>
        <v>11.237170902119676</v>
      </c>
      <c r="E30" s="50">
        <f>7.094353307*Deflactores!$U$5</f>
        <v>10.835461107334787</v>
      </c>
      <c r="F30" s="50">
        <f>7.846050941*Deflactores!$V$5</f>
        <v>11.345915503478848</v>
      </c>
      <c r="G30" s="50">
        <f>8*Deflactores!$W$5</f>
        <v>10.226782320074063</v>
      </c>
      <c r="H30" s="50">
        <f>29*Deflactores!$X$5</f>
        <v>33.923943914960162</v>
      </c>
      <c r="I30" s="50">
        <f>40.538191002*Deflactores!$Y$5</f>
        <v>45.077203289818783</v>
      </c>
      <c r="J30" s="50">
        <f>35.198878846*Deflactores!$Z$5</f>
        <v>37.240413819068003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153.83752738912105</v>
      </c>
      <c r="E31" s="42">
        <f>215.442899543*Deflactores!$U$5</f>
        <v>329.05369352640446</v>
      </c>
      <c r="F31" s="42">
        <f>356.557706831*Deflactores!$V$5</f>
        <v>515.60634059598692</v>
      </c>
      <c r="G31" s="42">
        <f>667.239572578*Deflactores!$W$5</f>
        <v>852.96423301180812</v>
      </c>
      <c r="H31" s="42">
        <f>496.367897221*Deflactores!$X$5</f>
        <v>580.64678298316949</v>
      </c>
      <c r="I31" s="42">
        <f>561.259970633*Deflactores!$Y$5</f>
        <v>624.10357170139275</v>
      </c>
      <c r="J31" s="42">
        <f>467.11101387*Deflactores!$Z$5</f>
        <v>494.20345267446004</v>
      </c>
      <c r="K31" s="42">
        <f>453.842954339*Deflactores!$AA$5</f>
        <v>453.84295433900002</v>
      </c>
    </row>
    <row r="32" spans="3:11" x14ac:dyDescent="0.2">
      <c r="C32" s="88" t="s">
        <v>161</v>
      </c>
      <c r="D32" s="50">
        <f>381.989697171*Deflactores!$T$5</f>
        <v>592.81977943127197</v>
      </c>
      <c r="E32" s="50">
        <f>441.527088085*Deflactores!$U$5</f>
        <v>674.36021068464083</v>
      </c>
      <c r="F32" s="50">
        <f>516.325614849*Deflactores!$V$5</f>
        <v>746.64144324455231</v>
      </c>
      <c r="G32" s="50">
        <f>713.0015559*Deflactores!$W$5</f>
        <v>911.46396325792728</v>
      </c>
      <c r="H32" s="50">
        <f>542.101724312*Deflactores!$X$5</f>
        <v>634.14581006080982</v>
      </c>
      <c r="I32" s="50">
        <f>730.950388311*Deflactores!$Y$5</f>
        <v>812.79402050874296</v>
      </c>
      <c r="J32" s="50">
        <f>788.494325058*Deflactores!$Z$5</f>
        <v>834.22699591136404</v>
      </c>
      <c r="K32" s="50">
        <f>705.303629209*Deflactores!$AA$5</f>
        <v>705.30362920899995</v>
      </c>
    </row>
    <row r="33" spans="1:11" x14ac:dyDescent="0.2">
      <c r="C33" s="87" t="s">
        <v>140</v>
      </c>
      <c r="D33" s="42">
        <f>3324.853707915*Deflactores!$T$5</f>
        <v>5159.9272345952031</v>
      </c>
      <c r="E33" s="42">
        <f>3159.053762721*Deflactores!$U$5</f>
        <v>4824.9364953629329</v>
      </c>
      <c r="F33" s="42">
        <f>4897.453745578*Deflactores!$V$5</f>
        <v>7082.0463437421859</v>
      </c>
      <c r="G33" s="42">
        <f>4787.154763782*Deflactores!$W$5</f>
        <v>6119.6487127130113</v>
      </c>
      <c r="H33" s="42">
        <f>7287.278419043*Deflactores!$X$5</f>
        <v>8524.5939441487699</v>
      </c>
      <c r="I33" s="42">
        <f>7525.703325265*Deflactores!$Y$5</f>
        <v>8368.347237672715</v>
      </c>
      <c r="J33" s="42">
        <f>7076.258883019*Deflactores!$Z$5</f>
        <v>7486.6818982341019</v>
      </c>
      <c r="K33" s="42">
        <f>10141.820157641*Deflactores!$AA$5</f>
        <v>10141.820157640999</v>
      </c>
    </row>
    <row r="34" spans="1:11" x14ac:dyDescent="0.2">
      <c r="C34" s="88" t="s">
        <v>141</v>
      </c>
      <c r="D34" s="50">
        <f>160.351239781*Deflactores!$T$5</f>
        <v>248.85327353724284</v>
      </c>
      <c r="E34" s="50">
        <f>223.229508317*Deflactores!$U$5</f>
        <v>340.94646132039912</v>
      </c>
      <c r="F34" s="50">
        <f>353.941613602*Deflactores!$V$5</f>
        <v>511.82329445613169</v>
      </c>
      <c r="G34" s="50">
        <f>444.371286924*Deflactores!$W$5</f>
        <v>568.06105258286527</v>
      </c>
      <c r="H34" s="50">
        <f>581.61888279*Deflactores!$X$5</f>
        <v>680.37263309137074</v>
      </c>
      <c r="I34" s="50">
        <f>515.167917902*Deflactores!$Y$5</f>
        <v>572.85064749227286</v>
      </c>
      <c r="J34" s="50">
        <f>383.713217875*Deflactores!$Z$5</f>
        <v>405.96858451175001</v>
      </c>
      <c r="K34" s="50">
        <f>890.028419756*Deflactores!$AA$5</f>
        <v>890.02841975599995</v>
      </c>
    </row>
    <row r="35" spans="1:11" x14ac:dyDescent="0.2">
      <c r="C35" s="87" t="s">
        <v>142</v>
      </c>
      <c r="D35" s="42">
        <f>301.854957798*Deflactores!$T$5</f>
        <v>468.4565862045755</v>
      </c>
      <c r="E35" s="42">
        <f>214.440182288*Deflactores!$U$5</f>
        <v>327.52220737847244</v>
      </c>
      <c r="F35" s="42">
        <f>585.154910213*Deflactores!$V$5</f>
        <v>846.17321728429624</v>
      </c>
      <c r="G35" s="42">
        <f>1137.305206519*Deflactores!$W$5</f>
        <v>1453.8715973195863</v>
      </c>
      <c r="H35" s="42">
        <f>1407.764857741*Deflactores!$X$5</f>
        <v>1646.79089929164</v>
      </c>
      <c r="I35" s="42">
        <f>982.459258332*Deflactores!$Y$5</f>
        <v>1092.4640349543774</v>
      </c>
      <c r="J35" s="42">
        <f>645.35435273*Deflactores!$Z$5</f>
        <v>682.78490518833996</v>
      </c>
      <c r="K35" s="42">
        <f>1027.143072587*Deflactores!$AA$5</f>
        <v>1027.143072587</v>
      </c>
    </row>
    <row r="36" spans="1:11" x14ac:dyDescent="0.2">
      <c r="C36" s="88" t="s">
        <v>143</v>
      </c>
      <c r="D36" s="50">
        <f>327.502494459*Deflactores!$T$5</f>
        <v>508.25966764612326</v>
      </c>
      <c r="E36" s="50">
        <f>728.879049582*Deflactores!$U$5</f>
        <v>1113.2432022950143</v>
      </c>
      <c r="F36" s="50">
        <f>2492.79450537*Deflactores!$V$5</f>
        <v>3604.7479219985312</v>
      </c>
      <c r="G36" s="50">
        <f>1365.786064798*Deflactores!$W$5</f>
        <v>1745.9495975599646</v>
      </c>
      <c r="H36" s="50">
        <f>2318.361949101*Deflactores!$X$5</f>
        <v>2711.9993357200019</v>
      </c>
      <c r="I36" s="50">
        <f>824.125423425*Deflactores!$Y$5</f>
        <v>916.40175177535446</v>
      </c>
      <c r="J36" s="50">
        <f>492.396294637*Deflactores!$Z$5</f>
        <v>520.95527972594596</v>
      </c>
      <c r="K36" s="50">
        <f>324.872965284*Deflactores!$AA$5</f>
        <v>324.87296528399997</v>
      </c>
    </row>
    <row r="37" spans="1:11" x14ac:dyDescent="0.2">
      <c r="C37" s="87" t="s">
        <v>144</v>
      </c>
      <c r="D37" s="42">
        <f>342.568474523*Deflactores!$T$5</f>
        <v>531.64095526880556</v>
      </c>
      <c r="E37" s="42">
        <f>276.349705141*Deflactores!$U$5</f>
        <v>422.07884954421286</v>
      </c>
      <c r="F37" s="42">
        <f>480.260662865*Deflactores!$V$5</f>
        <v>694.48910560049751</v>
      </c>
      <c r="G37" s="42">
        <f>580.82202774*Deflactores!$W$5</f>
        <v>742.49255555012485</v>
      </c>
      <c r="H37" s="42">
        <f>726.90985*Deflactores!$X$5</f>
        <v>850.33272353903817</v>
      </c>
      <c r="I37" s="42">
        <f>1137.039817889*Deflactores!$Y$5</f>
        <v>1264.3527930753564</v>
      </c>
      <c r="J37" s="42">
        <f>1249.41526791*Deflactores!$Z$5</f>
        <v>1321.8813534487801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108.811841261*Deflactores!$T$5</f>
        <v>168.86793600346812</v>
      </c>
      <c r="E38" s="50">
        <f>148.531931771*Deflactores!$U$5</f>
        <v>226.85816455094891</v>
      </c>
      <c r="F38" s="50">
        <f>120.208690351*Deflactores!$V$5</f>
        <v>173.82982264100229</v>
      </c>
      <c r="G38" s="50">
        <f>215.537219175*Deflactores!$W$5</f>
        <v>275.53152779710229</v>
      </c>
      <c r="H38" s="50">
        <f>336.485286098*Deflactores!$X$5</f>
        <v>393.61751633785786</v>
      </c>
      <c r="I38" s="50">
        <f>310.408411808*Deflactores!$Y$5</f>
        <v>345.1644667925284</v>
      </c>
      <c r="J38" s="50">
        <f>340.330984448*Deflactores!$Z$5</f>
        <v>360.07018154598398</v>
      </c>
      <c r="K38" s="50">
        <f>396.562629583*Deflactores!$AA$5</f>
        <v>396.56262958299999</v>
      </c>
    </row>
    <row r="39" spans="1:11" x14ac:dyDescent="0.2">
      <c r="C39" s="87" t="s">
        <v>146</v>
      </c>
      <c r="D39" s="42">
        <f>49.526122132*Deflactores!$T$5</f>
        <v>76.86088136883771</v>
      </c>
      <c r="E39" s="42">
        <f>46.018722192*Deflactores!$U$5</f>
        <v>70.286050460534284</v>
      </c>
      <c r="F39" s="42">
        <f>71.962289824*Deflactores!$V$5</f>
        <v>104.06229400237585</v>
      </c>
      <c r="G39" s="42">
        <f>79.178463919*Deflactores!$W$5</f>
        <v>101.21761436718141</v>
      </c>
      <c r="H39" s="42">
        <f>118.391293235*Deflactores!$X$5</f>
        <v>138.49308936978423</v>
      </c>
      <c r="I39" s="42">
        <f>105.012736073*Deflactores!$Y$5</f>
        <v>116.77088530539426</v>
      </c>
      <c r="J39" s="42">
        <f>187.940451164*Deflactores!$Z$5</f>
        <v>198.840997331512</v>
      </c>
      <c r="K39" s="42">
        <f>201.092961587*Deflactores!$AA$5</f>
        <v>201.09296158699999</v>
      </c>
    </row>
    <row r="40" spans="1:11" x14ac:dyDescent="0.2">
      <c r="C40" s="88" t="s">
        <v>162</v>
      </c>
      <c r="D40" s="50">
        <f>655.511019225*Deflactores!$T$5</f>
        <v>1017.3046569310316</v>
      </c>
      <c r="E40" s="50">
        <f>707.16456808*Deflactores!$U$5</f>
        <v>1080.0778932669589</v>
      </c>
      <c r="F40" s="50">
        <f>879.746749153*Deflactores!$V$5</f>
        <v>1272.1727599538078</v>
      </c>
      <c r="G40" s="50">
        <f>1182.912125689*Deflactores!$W$5</f>
        <v>1512.1731016496867</v>
      </c>
      <c r="H40" s="50">
        <f>2125.310001537*Deflactores!$X$5</f>
        <v>2486.1688722084514</v>
      </c>
      <c r="I40" s="50">
        <f>2056.649907901*Deflactores!$Y$5</f>
        <v>2286.9305142369722</v>
      </c>
      <c r="J40" s="50">
        <f>2126.376516837*Deflactores!$Z$5</f>
        <v>2249.7063548135461</v>
      </c>
      <c r="K40" s="50">
        <f>3034.420349005*Deflactores!$AA$5</f>
        <v>3034.4203490049999</v>
      </c>
    </row>
    <row r="41" spans="1:11" x14ac:dyDescent="0.2">
      <c r="C41" s="87" t="s">
        <v>148</v>
      </c>
      <c r="D41" s="42">
        <f>150.61064771*Deflactores!$T$5</f>
        <v>233.73659451206152</v>
      </c>
      <c r="E41" s="42">
        <f>177.973974653*Deflactores!$U$5</f>
        <v>271.8260561632286</v>
      </c>
      <c r="F41" s="42">
        <f>214.222987376*Deflactores!$V$5</f>
        <v>309.78079698283619</v>
      </c>
      <c r="G41" s="42">
        <f>255.085613218*Deflactores!$W$5</f>
        <v>326.08812992038662</v>
      </c>
      <c r="H41" s="42">
        <f>249.063806801*Deflactores!$X$5</f>
        <v>291.35264183322749</v>
      </c>
      <c r="I41" s="42">
        <f>254.269322249*Deflactores!$Y$5</f>
        <v>282.73955117575764</v>
      </c>
      <c r="J41" s="42">
        <f>264.583564807*Deflactores!$Z$5</f>
        <v>279.92941156580605</v>
      </c>
      <c r="K41" s="42">
        <f>265.794300973*Deflactores!$AA$5</f>
        <v>265.79430097300002</v>
      </c>
    </row>
    <row r="42" spans="1:11" x14ac:dyDescent="0.2">
      <c r="C42" s="88" t="s">
        <v>149</v>
      </c>
      <c r="D42" s="50">
        <f>1141.367832872*Deflactores!$T$5</f>
        <v>1771.3185249345415</v>
      </c>
      <c r="E42" s="50">
        <f>1268.783313599*Deflactores!$U$5</f>
        <v>1937.858414039277</v>
      </c>
      <c r="F42" s="50">
        <f>1606.674211183*Deflactores!$V$5</f>
        <v>2323.3585887701984</v>
      </c>
      <c r="G42" s="50">
        <f>1565.590897309*Deflactores!$W$5</f>
        <v>2001.3696636335712</v>
      </c>
      <c r="H42" s="50">
        <f>1495.299573094*Deflactores!$X$5</f>
        <v>1749.1882363346458</v>
      </c>
      <c r="I42" s="50">
        <f>3260.032668925*Deflactores!$Y$5</f>
        <v>3625.0545896666335</v>
      </c>
      <c r="J42" s="50">
        <f>1899.403039629*Deflactores!$Z$5</f>
        <v>2009.568415927482</v>
      </c>
      <c r="K42" s="50">
        <f>1707.851472581*Deflactores!$AA$5</f>
        <v>1707.8514725810001</v>
      </c>
    </row>
    <row r="43" spans="1:11" x14ac:dyDescent="0.2">
      <c r="C43" s="87" t="s">
        <v>163</v>
      </c>
      <c r="D43" s="42">
        <f>5178.702847861*Deflactores!$T$5</f>
        <v>8036.9640928685494</v>
      </c>
      <c r="E43" s="42">
        <f>5810.325189916*Deflactores!$U$5</f>
        <v>8874.3187563244428</v>
      </c>
      <c r="F43" s="42">
        <f>4146.329343165*Deflactores!$V$5</f>
        <v>5995.8701174516173</v>
      </c>
      <c r="G43" s="42">
        <f>4332.564139948*Deflactores!$W$5</f>
        <v>5538.5237933758872</v>
      </c>
      <c r="H43" s="42">
        <f>5120.5031115*Deflactores!$X$5</f>
        <v>5989.9193231346553</v>
      </c>
      <c r="I43" s="42">
        <f>5663.393123503*Deflactores!$Y$5</f>
        <v>6297.5164117636996</v>
      </c>
      <c r="J43" s="42">
        <f>6642.020890664*Deflactores!$Z$5</f>
        <v>7027.2581023225121</v>
      </c>
      <c r="K43" s="42">
        <f>6782.166091663*Deflactores!$AA$5</f>
        <v>6782.1660916629999</v>
      </c>
    </row>
    <row r="44" spans="1:11" x14ac:dyDescent="0.2">
      <c r="C44" s="88" t="s">
        <v>150</v>
      </c>
      <c r="D44" s="50">
        <f>6656.188300174*Deflactores!$T$5</f>
        <v>10329.91232272882</v>
      </c>
      <c r="E44" s="50">
        <f>7018.602306422*Deflactores!$U$5</f>
        <v>10719.763878132129</v>
      </c>
      <c r="F44" s="50">
        <f>10357.786140481*Deflactores!$V$5</f>
        <v>14978.052938568311</v>
      </c>
      <c r="G44" s="50">
        <f>11232.524326783*Deflactores!$W$5</f>
        <v>14359.072649368274</v>
      </c>
      <c r="H44" s="50">
        <f>11303.839670422*Deflactores!$X$5</f>
        <v>13223.131827693023</v>
      </c>
      <c r="I44" s="50">
        <f>12776.528166967*Deflactores!$Y$5</f>
        <v>14207.100595388014</v>
      </c>
      <c r="J44" s="50">
        <f>12131.627217916*Deflactores!$Z$5</f>
        <v>12835.261596555129</v>
      </c>
      <c r="K44" s="50">
        <f>15555.396320902*Deflactores!$AA$5</f>
        <v>15555.396320902</v>
      </c>
    </row>
    <row r="45" spans="1:11" x14ac:dyDescent="0.2">
      <c r="C45" s="87" t="s">
        <v>151</v>
      </c>
      <c r="D45" s="42">
        <f>1956.813877382*Deflactores!$T$5</f>
        <v>3036.8305212649525</v>
      </c>
      <c r="E45" s="42">
        <f>1995.97249401*Deflactores!$U$5</f>
        <v>3048.5206183368014</v>
      </c>
      <c r="F45" s="42">
        <f>3233.300557485*Deflactores!$V$5</f>
        <v>4675.569302115734</v>
      </c>
      <c r="G45" s="42">
        <f>3165.347167423*Deflactores!$W$5</f>
        <v>4046.4145560872566</v>
      </c>
      <c r="H45" s="42">
        <f>5008.42949458*Deflactores!$X$5</f>
        <v>5858.8165957298006</v>
      </c>
      <c r="I45" s="42">
        <f>5366.906197157*Deflactores!$Y$5</f>
        <v>5967.8322023471319</v>
      </c>
      <c r="J45" s="42">
        <f>4001.528694152*Deflactores!$Z$5</f>
        <v>4233.6173584128164</v>
      </c>
      <c r="K45" s="42">
        <f>2578.250963359*Deflactores!$AA$5</f>
        <v>2578.2509633589998</v>
      </c>
    </row>
    <row r="46" spans="1:11" ht="10.5" customHeight="1" x14ac:dyDescent="0.2">
      <c r="C46" s="79" t="s">
        <v>202</v>
      </c>
      <c r="D46" s="44">
        <f t="shared" ref="D46:K46" si="0">+SUM(D15:D45)</f>
        <v>64867.14481550354</v>
      </c>
      <c r="E46" s="44">
        <f t="shared" si="0"/>
        <v>66842.392117221476</v>
      </c>
      <c r="F46" s="44">
        <f t="shared" si="0"/>
        <v>86144.792642506858</v>
      </c>
      <c r="G46" s="44">
        <f t="shared" si="0"/>
        <v>89078.177203454208</v>
      </c>
      <c r="H46" s="44">
        <f t="shared" si="0"/>
        <v>97489.050631925173</v>
      </c>
      <c r="I46" s="44">
        <f t="shared" si="0"/>
        <v>100747.03837231897</v>
      </c>
      <c r="J46" s="44">
        <f t="shared" si="0"/>
        <v>82650.501773804732</v>
      </c>
      <c r="K46" s="44">
        <f t="shared" si="0"/>
        <v>89458.217092418985</v>
      </c>
    </row>
    <row r="47" spans="1:11" s="31" customFormat="1" ht="10.5" customHeight="1" x14ac:dyDescent="0.2">
      <c r="A47" s="5"/>
      <c r="B47" s="5"/>
      <c r="C47" s="72" t="str">
        <f>+'C1 Aprop Resumen 2000-2026'!B20</f>
        <v>* Información con corte a 30 de abril</v>
      </c>
      <c r="D47" s="121">
        <f>+D46-'C5 Ejecución PGN 2019-2026'!D32</f>
        <v>0</v>
      </c>
      <c r="E47" s="121">
        <f>+E46-'C5 Ejecución PGN 2019-2026'!E32</f>
        <v>0</v>
      </c>
      <c r="F47" s="121">
        <f>+F46-'C5 Ejecución PGN 2019-2026'!F32</f>
        <v>0</v>
      </c>
      <c r="G47" s="121">
        <f>+G46-'C5 Ejecución PGN 2019-2026'!G32</f>
        <v>0</v>
      </c>
      <c r="H47" s="121">
        <f>+H46-'C5 Ejecución PGN 2019-2026'!H32</f>
        <v>0</v>
      </c>
      <c r="I47" s="121">
        <f>+I46-'C5 Ejecución PGN 2019-2026'!I32</f>
        <v>0</v>
      </c>
      <c r="J47" s="121">
        <f>+J46-'C5 Ejecución PGN 2019-2026'!J32</f>
        <v>0</v>
      </c>
      <c r="K47" s="121">
        <f>+K46-'C5 Ejecución PGN 2019-2026'!K32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C53" s="9"/>
      <c r="D53" s="131" t="s">
        <v>203</v>
      </c>
      <c r="E53" s="131"/>
      <c r="F53" s="131"/>
      <c r="G53" s="131"/>
      <c r="H53" s="131"/>
      <c r="I53" s="131"/>
      <c r="J53" s="131"/>
      <c r="K53" s="131"/>
    </row>
    <row r="54" spans="3:11" ht="2.25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76" t="s">
        <v>120</v>
      </c>
      <c r="D56" s="180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10</v>
      </c>
    </row>
    <row r="57" spans="3:11" ht="12" customHeight="1" thickBot="1" x14ac:dyDescent="0.25">
      <c r="C57" s="160"/>
      <c r="D57" s="181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1457.14229773049*Deflactores!$T$5</f>
        <v>2261.3771573893273</v>
      </c>
      <c r="E58" s="42">
        <f>1065.7474036407*Deflactores!$U$5</f>
        <v>1627.7543621907796</v>
      </c>
      <c r="F58" s="42">
        <f>1645.5623886033*Deflactores!$V$5</f>
        <v>2379.5934996078772</v>
      </c>
      <c r="G58" s="42">
        <f>1611.21584977058*Deflactores!$W$5</f>
        <v>2059.6942207821094</v>
      </c>
      <c r="H58" s="42">
        <f>4097.03270145921*Deflactores!$X$5</f>
        <v>4792.6726752434479</v>
      </c>
      <c r="I58" s="42">
        <f>6630.71741609387*Deflactores!$Y$5</f>
        <v>7373.150837141673</v>
      </c>
      <c r="J58" s="42">
        <f>3989.16223948175*Deflactores!$Z$5</f>
        <v>4220.5336493716914</v>
      </c>
      <c r="K58" s="42">
        <f>1429.64916293519*Deflactores!$AA$5</f>
        <v>1429.6491629351899</v>
      </c>
    </row>
    <row r="59" spans="3:11" x14ac:dyDescent="0.2">
      <c r="C59" s="88" t="s">
        <v>124</v>
      </c>
      <c r="D59" s="50">
        <f>288.20049987044*Deflactores!$T$5</f>
        <v>447.26587662047365</v>
      </c>
      <c r="E59" s="50">
        <f>358.04352203405*Deflactores!$U$5</f>
        <v>546.8527559665157</v>
      </c>
      <c r="F59" s="50">
        <f>580.47322576173*Deflactores!$V$5</f>
        <v>839.40318780099415</v>
      </c>
      <c r="G59" s="50">
        <f>758.067403550259*Deflactores!$W$5</f>
        <v>969.07379000652986</v>
      </c>
      <c r="H59" s="50">
        <f>1239.30551607519*Deflactores!$X$5</f>
        <v>1449.7286489943278</v>
      </c>
      <c r="I59" s="50">
        <f>1403.70850518201*Deflactores!$Y$5</f>
        <v>1560.8800512241739</v>
      </c>
      <c r="J59" s="50">
        <f>949.172452500039*Deflactores!$Z$5</f>
        <v>1004.2244547450413</v>
      </c>
      <c r="K59" s="50">
        <f>539.23767146763*Deflactores!$AA$5</f>
        <v>539.23767146762998</v>
      </c>
    </row>
    <row r="60" spans="3:11" x14ac:dyDescent="0.2">
      <c r="C60" s="87" t="s">
        <v>125</v>
      </c>
      <c r="D60" s="42">
        <f>327.372708889349*Deflactores!$T$5</f>
        <v>508.0582500337016</v>
      </c>
      <c r="E60" s="42">
        <f>243.643233944079*Deflactores!$U$5</f>
        <v>372.12507909092477</v>
      </c>
      <c r="F60" s="42">
        <f>383.2487069391*Deflactores!$V$5</f>
        <v>554.2033155846874</v>
      </c>
      <c r="G60" s="42">
        <f>302.683368367509*Deflactores!$W$5</f>
        <v>386.93461502516323</v>
      </c>
      <c r="H60" s="42">
        <f>451.84911058533*Deflactores!$X$5</f>
        <v>528.5690995007368</v>
      </c>
      <c r="I60" s="42">
        <f>341.72148436872*Deflactores!$Y$5</f>
        <v>379.98362627053234</v>
      </c>
      <c r="J60" s="42">
        <f>249.2123277102*Deflactores!$Z$5</f>
        <v>263.6666427173916</v>
      </c>
      <c r="K60" s="42">
        <f>214.786448857*Deflactores!$AA$5</f>
        <v>214.78644885700001</v>
      </c>
    </row>
    <row r="61" spans="3:11" x14ac:dyDescent="0.2">
      <c r="C61" s="88" t="s">
        <v>126</v>
      </c>
      <c r="D61" s="50">
        <f>339.01676276163*Deflactores!$T$5</f>
        <v>526.12896110097256</v>
      </c>
      <c r="E61" s="50">
        <f>374.53614104527*Deflactores!$U$5</f>
        <v>572.04252649540047</v>
      </c>
      <c r="F61" s="50">
        <f>473.318057548889*Deflactores!$V$5</f>
        <v>684.44963301958683</v>
      </c>
      <c r="G61" s="50">
        <f>472.0308032489*Deflactores!$W$5</f>
        <v>603.41953414952616</v>
      </c>
      <c r="H61" s="50">
        <f>633.88547072686*Deflactores!$X$5</f>
        <v>741.51362611883178</v>
      </c>
      <c r="I61" s="50">
        <f>326.57453938395*Deflactores!$Y$5</f>
        <v>363.14069614904537</v>
      </c>
      <c r="J61" s="50">
        <f>385.878053078759*Deflactores!$Z$5</f>
        <v>408.25898015732707</v>
      </c>
      <c r="K61" s="50">
        <f>273.54319877638*Deflactores!$AA$5</f>
        <v>273.54319877638</v>
      </c>
    </row>
    <row r="62" spans="3:11" x14ac:dyDescent="0.2">
      <c r="C62" s="87" t="s">
        <v>127</v>
      </c>
      <c r="D62" s="42">
        <f>85.0317916714599*Deflactores!$T$5</f>
        <v>131.96305648200519</v>
      </c>
      <c r="E62" s="42">
        <f>82.08811447538*Deflactores!$U$5</f>
        <v>125.37613130921923</v>
      </c>
      <c r="F62" s="42">
        <f>113.121567184129*Deflactores!$V$5</f>
        <v>163.5813675622978</v>
      </c>
      <c r="G62" s="42">
        <f>180.03564532904*Deflactores!$W$5</f>
        <v>230.14816932926885</v>
      </c>
      <c r="H62" s="42">
        <f>264.313946154429*Deflactores!$X$5</f>
        <v>309.1921201822293</v>
      </c>
      <c r="I62" s="42">
        <f>260.20243270279*Deflactores!$Y$5</f>
        <v>289.33698484153831</v>
      </c>
      <c r="J62" s="42">
        <f>198.71816047376*Deflactores!$Z$5</f>
        <v>210.24381378123809</v>
      </c>
      <c r="K62" s="42">
        <f>176.00893634076*Deflactores!$AA$5</f>
        <v>176.00893634075999</v>
      </c>
    </row>
    <row r="63" spans="3:11" x14ac:dyDescent="0.2">
      <c r="C63" s="88" t="s">
        <v>128</v>
      </c>
      <c r="D63" s="50">
        <f>145.05669568624*Deflactores!$T$5</f>
        <v>225.11727143062419</v>
      </c>
      <c r="E63" s="50">
        <f>141.476032455479*Deflactores!$U$5</f>
        <v>216.08143560862786</v>
      </c>
      <c r="F63" s="50">
        <f>367.027041890209*Deflactores!$V$5</f>
        <v>530.74570074705082</v>
      </c>
      <c r="G63" s="50">
        <f>368.114053853772*Deflactores!$W$5</f>
        <v>470.57778721531844</v>
      </c>
      <c r="H63" s="50">
        <f>496.071108602305*Deflactores!$X$5</f>
        <v>580.29960227781748</v>
      </c>
      <c r="I63" s="50">
        <f>972.46580265405*Deflactores!$Y$5</f>
        <v>1081.3516241134369</v>
      </c>
      <c r="J63" s="50">
        <f>731.29721899727*Deflactores!$Z$5</f>
        <v>773.71245769911161</v>
      </c>
      <c r="K63" s="50">
        <f>427.53996615086*Deflactores!$AA$5</f>
        <v>427.53996615085998</v>
      </c>
    </row>
    <row r="64" spans="3:11" x14ac:dyDescent="0.2">
      <c r="C64" s="87" t="s">
        <v>129</v>
      </c>
      <c r="D64" s="42">
        <f>1128.47141640265*Deflactores!$T$5</f>
        <v>1751.3042396712626</v>
      </c>
      <c r="E64" s="42">
        <f>1380.41688755123*Deflactores!$U$5</f>
        <v>2108.3603888477005</v>
      </c>
      <c r="F64" s="42">
        <f>2081.46304348323*Deflactores!$V$5</f>
        <v>3009.9350606516346</v>
      </c>
      <c r="G64" s="42">
        <f>1996.66370915504*Deflactores!$W$5</f>
        <v>2552.4306399900329</v>
      </c>
      <c r="H64" s="42">
        <f>1869.28889509911*Deflactores!$X$5</f>
        <v>2186.6776426965539</v>
      </c>
      <c r="I64" s="42">
        <f>2888.57993568482*Deflactores!$Y$5</f>
        <v>3212.0107424954481</v>
      </c>
      <c r="J64" s="42">
        <f>2276.26783366249*Deflactores!$Z$5</f>
        <v>2408.2913680149145</v>
      </c>
      <c r="K64" s="42">
        <f>1769.46832686825*Deflactores!$AA$5</f>
        <v>1769.46832686825</v>
      </c>
    </row>
    <row r="65" spans="3:11" x14ac:dyDescent="0.2">
      <c r="C65" s="88" t="s">
        <v>130</v>
      </c>
      <c r="D65" s="50">
        <f>444.22376038195*Deflactores!$T$5</f>
        <v>689.40244618657869</v>
      </c>
      <c r="E65" s="50">
        <f>403.02721940475*Deflactores!$U$5</f>
        <v>615.55797577046894</v>
      </c>
      <c r="F65" s="50">
        <f>696.8199241366*Deflactores!$V$5</f>
        <v>1007.6483112135844</v>
      </c>
      <c r="G65" s="50">
        <f>829.17265326404*Deflactores!$W$5</f>
        <v>1059.9710288361982</v>
      </c>
      <c r="H65" s="50">
        <f>650.19622214562*Deflactores!$X$5</f>
        <v>760.59379909610323</v>
      </c>
      <c r="I65" s="50">
        <f>929.65762236639*Deflactores!$Y$5</f>
        <v>1033.7502635791479</v>
      </c>
      <c r="J65" s="50">
        <f>396.25331116953*Deflactores!$Z$5</f>
        <v>419.23600321736274</v>
      </c>
      <c r="K65" s="50">
        <f>376.6301286664*Deflactores!$AA$5</f>
        <v>376.63012866640003</v>
      </c>
    </row>
    <row r="66" spans="3:11" x14ac:dyDescent="0.2">
      <c r="C66" s="87" t="s">
        <v>131</v>
      </c>
      <c r="D66" s="42">
        <f>4059.09012760083*Deflactores!$T$5</f>
        <v>6299.407894917068</v>
      </c>
      <c r="E66" s="42">
        <f>3989.47143778037*Deflactores!$U$5</f>
        <v>6093.2632943779872</v>
      </c>
      <c r="F66" s="42">
        <f>4855.84393790518*Deflactores!$V$5</f>
        <v>7021.8757731555443</v>
      </c>
      <c r="G66" s="42">
        <f>5528.88848345094*Deflactores!$W$5</f>
        <v>7067.8423740271464</v>
      </c>
      <c r="H66" s="42">
        <f>7383.75967930301*Deflactores!$X$5</f>
        <v>8637.4568704213634</v>
      </c>
      <c r="I66" s="42">
        <f>8056.49067200885*Deflactores!$Y$5</f>
        <v>8958.5662025904057</v>
      </c>
      <c r="J66" s="42">
        <f>6754.05805949682*Deflactores!$Z$5</f>
        <v>7145.7934269476355</v>
      </c>
      <c r="K66" s="42">
        <f>4553.46951440437*Deflactores!$AA$5</f>
        <v>4553.4695144043699</v>
      </c>
    </row>
    <row r="67" spans="3:11" x14ac:dyDescent="0.2">
      <c r="C67" s="88" t="s">
        <v>132</v>
      </c>
      <c r="D67" s="50">
        <f>300.629583821339*Deflactores!$T$5</f>
        <v>466.55489635287307</v>
      </c>
      <c r="E67" s="50">
        <f>187.21013920091*Deflactores!$U$5</f>
        <v>285.93278265527914</v>
      </c>
      <c r="F67" s="50">
        <f>217.63284735314*Deflactores!$V$5</f>
        <v>314.71168303879568</v>
      </c>
      <c r="G67" s="50">
        <f>229.58232074167*Deflactores!$W$5</f>
        <v>293.48605234531044</v>
      </c>
      <c r="H67" s="50">
        <f>298.30637236421*Deflactores!$X$5</f>
        <v>348.95616019167869</v>
      </c>
      <c r="I67" s="50">
        <f>332.15641994716*Deflactores!$Y$5</f>
        <v>369.34757313758416</v>
      </c>
      <c r="J67" s="50">
        <f>355.384343542669*Deflactores!$Z$5</f>
        <v>375.99663546814384</v>
      </c>
      <c r="K67" s="50">
        <f>204.265772745729*Deflactores!$AA$5</f>
        <v>204.26577274572901</v>
      </c>
    </row>
    <row r="68" spans="3:11" x14ac:dyDescent="0.2">
      <c r="C68" s="87" t="s">
        <v>133</v>
      </c>
      <c r="D68" s="42">
        <f>170.160323868139*Deflactores!$T$5</f>
        <v>264.07624710963586</v>
      </c>
      <c r="E68" s="42">
        <f>170.68877500457*Deflactores!$U$5</f>
        <v>260.69910857071955</v>
      </c>
      <c r="F68" s="42">
        <f>195.3461308216*Deflactores!$V$5</f>
        <v>282.48359727714376</v>
      </c>
      <c r="G68" s="42">
        <f>197.106304312919*Deflactores!$W$5</f>
        <v>251.97040851531227</v>
      </c>
      <c r="H68" s="42">
        <f>225.97992504154*Deflactores!$X$5</f>
        <v>264.34932079365882</v>
      </c>
      <c r="I68" s="42">
        <f>253.097706043409*Deflactores!$Y$5</f>
        <v>281.43675051860777</v>
      </c>
      <c r="J68" s="42">
        <f>336.609445736519*Deflactores!$Z$5</f>
        <v>356.13279358923711</v>
      </c>
      <c r="K68" s="42">
        <f>170.510668563609*Deflactores!$AA$5</f>
        <v>170.51066856360899</v>
      </c>
    </row>
    <row r="69" spans="3:11" x14ac:dyDescent="0.2">
      <c r="C69" s="88" t="s">
        <v>134</v>
      </c>
      <c r="D69" s="50">
        <f>1204.07596679339*Deflactores!$T$5</f>
        <v>1868.6369143967152</v>
      </c>
      <c r="E69" s="50">
        <f>1030.83694137889*Deflactores!$U$5</f>
        <v>1574.4343568699733</v>
      </c>
      <c r="F69" s="50">
        <f>1664.60186427044*Deflactores!$V$5</f>
        <v>2407.125857449334</v>
      </c>
      <c r="G69" s="50">
        <f>2052.43653681453*Deflactores!$W$5</f>
        <v>2623.7277109711094</v>
      </c>
      <c r="H69" s="50">
        <f>1709.46198849359*Deflactores!$X$5</f>
        <v>1999.7135387038907</v>
      </c>
      <c r="I69" s="50">
        <f>3034.41016930447*Deflactores!$Y$5</f>
        <v>3374.1694112517921</v>
      </c>
      <c r="J69" s="50">
        <f>2508.89470690474*Deflactores!$Z$5</f>
        <v>2654.4105999052149</v>
      </c>
      <c r="K69" s="50">
        <f>3797.20658584588*Deflactores!$AA$5</f>
        <v>3797.20658584588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9876.82162195098*Deflactores!$Y$5</f>
        <v>10982.71741055235</v>
      </c>
      <c r="J70" s="42">
        <f>9973.81784170416*Deflactores!$Z$5</f>
        <v>10552.299276523001</v>
      </c>
      <c r="K70" s="42">
        <f>6225.53572888549*Deflactores!$AA$5</f>
        <v>6225.5357288854902</v>
      </c>
    </row>
    <row r="71" spans="3:11" x14ac:dyDescent="0.2">
      <c r="C71" s="88" t="s">
        <v>136</v>
      </c>
      <c r="D71" s="50">
        <f>9938.24199580664*Deflactores!$T$5</f>
        <v>15423.417101355202</v>
      </c>
      <c r="E71" s="50">
        <f>10473.1315785255*Deflactores!$U$5</f>
        <v>15995.99075212971</v>
      </c>
      <c r="F71" s="50">
        <f>13956.0179398663*Deflactores!$V$5</f>
        <v>20181.337274185051</v>
      </c>
      <c r="G71" s="50">
        <f>21413.1975625256*Deflactores!$W$5</f>
        <v>27373.513781086225</v>
      </c>
      <c r="H71" s="50">
        <f>18296.3040459428*Deflactores!$X$5</f>
        <v>21402.854907090423</v>
      </c>
      <c r="I71" s="50">
        <f>10863.196471742*Deflactores!$Y$5</f>
        <v>12079.535461012487</v>
      </c>
      <c r="J71" s="50">
        <f>8784.72130867526*Deflactores!$Z$5</f>
        <v>9294.2351445784261</v>
      </c>
      <c r="K71" s="50">
        <f>3801.47970296381*Deflactores!$AA$5</f>
        <v>3801.4797029638098</v>
      </c>
    </row>
    <row r="72" spans="3:11" x14ac:dyDescent="0.2">
      <c r="C72" s="87" t="s">
        <v>137</v>
      </c>
      <c r="D72" s="42">
        <f>215.139340389159*Deflactores!$T$5</f>
        <v>333.88035661966308</v>
      </c>
      <c r="E72" s="42">
        <f>196.612318659119*Deflactores!$U$5</f>
        <v>300.29306969413915</v>
      </c>
      <c r="F72" s="42">
        <f>272.855477830189*Deflactores!$V$5</f>
        <v>394.56730773253219</v>
      </c>
      <c r="G72" s="42">
        <f>277.85290164032*Deflactores!$W$5</f>
        <v>355.19264275956277</v>
      </c>
      <c r="H72" s="42">
        <f>649.734923253929*Deflactores!$X$5</f>
        <v>760.05417572611145</v>
      </c>
      <c r="I72" s="42">
        <f>987.02751904181*Deflactores!$Y$5</f>
        <v>1097.5437982986973</v>
      </c>
      <c r="J72" s="42">
        <f>725.67679059755*Deflactores!$Z$5</f>
        <v>767.76604445220801</v>
      </c>
      <c r="K72" s="42">
        <f>294.38139551513*Deflactores!$AA$5</f>
        <v>294.38139551513001</v>
      </c>
    </row>
    <row r="73" spans="3:11" x14ac:dyDescent="0.2">
      <c r="C73" s="88" t="s">
        <v>138</v>
      </c>
      <c r="D73" s="50">
        <f>7.24011327854*Deflactores!$T$5</f>
        <v>11.236120734743611</v>
      </c>
      <c r="E73" s="50">
        <f>7.09158704076*Deflactores!$U$5</f>
        <v>10.831236089357958</v>
      </c>
      <c r="F73" s="50">
        <f>7.62840792554*Deflactores!$V$5</f>
        <v>11.031189116676067</v>
      </c>
      <c r="G73" s="50">
        <f>7.00219109229*Deflactores!$W$5</f>
        <v>8.9512355080514343</v>
      </c>
      <c r="H73" s="50">
        <f>28.58911039884*Deflactores!$X$5</f>
        <v>33.44328888789147</v>
      </c>
      <c r="I73" s="50">
        <f>39.42857062632*Deflactores!$Y$5</f>
        <v>43.843340060781642</v>
      </c>
      <c r="J73" s="50">
        <f>35.1851783793699*Deflactores!$Z$5</f>
        <v>37.225918725373354</v>
      </c>
      <c r="K73" s="50">
        <f>7.3980481558*Deflactores!$AA$5</f>
        <v>7.3980481557999997</v>
      </c>
    </row>
    <row r="74" spans="3:11" x14ac:dyDescent="0.2">
      <c r="C74" s="87" t="s">
        <v>160</v>
      </c>
      <c r="D74" s="42">
        <f>90.8150400894*Deflactores!$T$5</f>
        <v>140.9382306212824</v>
      </c>
      <c r="E74" s="42">
        <f>204.8316122369*Deflactores!$U$5</f>
        <v>312.8466925597973</v>
      </c>
      <c r="F74" s="42">
        <f>337.176317504449*Deflactores!$V$5</f>
        <v>487.57955268794814</v>
      </c>
      <c r="G74" s="42">
        <f>527.31773120062*Deflactores!$W$5</f>
        <v>674.09545631300841</v>
      </c>
      <c r="H74" s="42">
        <f>459.49130289419*Deflactores!$X$5</f>
        <v>537.50886857911985</v>
      </c>
      <c r="I74" s="42">
        <f>487.09482211411*Deflactores!$Y$5</f>
        <v>541.63424107337664</v>
      </c>
      <c r="J74" s="42">
        <f>461.12502309919*Deflactores!$Z$5</f>
        <v>487.87027443894306</v>
      </c>
      <c r="K74" s="42">
        <f>177.461074089979*Deflactores!$AA$5</f>
        <v>177.46107408997901</v>
      </c>
    </row>
    <row r="75" spans="3:11" x14ac:dyDescent="0.2">
      <c r="C75" s="88" t="s">
        <v>161</v>
      </c>
      <c r="D75" s="50">
        <f>329.75323169689*Deflactores!$T$5</f>
        <v>511.75264550077577</v>
      </c>
      <c r="E75" s="50">
        <f>399.87789655353*Deflactores!$U$5</f>
        <v>610.74790164642377</v>
      </c>
      <c r="F75" s="50">
        <f>460.34561459564*Deflactores!$V$5</f>
        <v>665.69061109530344</v>
      </c>
      <c r="G75" s="50">
        <f>496.92303363902*Deflactores!$W$5</f>
        <v>635.24046185713735</v>
      </c>
      <c r="H75" s="50">
        <f>459.61261738658*Deflactores!$X$5</f>
        <v>537.65078120104772</v>
      </c>
      <c r="I75" s="50">
        <f>701.11949029911*Deflactores!$Y$5</f>
        <v>779.62299287375367</v>
      </c>
      <c r="J75" s="50">
        <f>702.68207815123*Deflactores!$Z$5</f>
        <v>743.4376386840014</v>
      </c>
      <c r="K75" s="50">
        <f>298.34157249801*Deflactores!$AA$5</f>
        <v>298.34157249801001</v>
      </c>
    </row>
    <row r="76" spans="3:11" x14ac:dyDescent="0.2">
      <c r="C76" s="87" t="s">
        <v>140</v>
      </c>
      <c r="D76" s="42">
        <f>3248.69805509588*Deflactores!$T$5</f>
        <v>5041.7392896295951</v>
      </c>
      <c r="E76" s="42">
        <f>3106.35825139056*Deflactores!$U$5</f>
        <v>4744.4527445764143</v>
      </c>
      <c r="F76" s="42">
        <f>4703.32653491161*Deflactores!$V$5</f>
        <v>6801.3253867015756</v>
      </c>
      <c r="G76" s="42">
        <f>4425.97526683406*Deflactores!$W$5</f>
        <v>5657.9357009929563</v>
      </c>
      <c r="H76" s="42">
        <f>6647.06425747272*Deflactores!$X$5</f>
        <v>7775.6770713669266</v>
      </c>
      <c r="I76" s="42">
        <f>7288.70712571268*Deflactores!$Y$5</f>
        <v>8104.8148598809357</v>
      </c>
      <c r="J76" s="42">
        <f>6691.90035591202*Deflactores!$Z$5</f>
        <v>7080.0305765549174</v>
      </c>
      <c r="K76" s="42">
        <f>4837.7291920459*Deflactores!$AA$5</f>
        <v>4837.7291920459002</v>
      </c>
    </row>
    <row r="77" spans="3:11" x14ac:dyDescent="0.2">
      <c r="C77" s="88" t="s">
        <v>141</v>
      </c>
      <c r="D77" s="50">
        <f>150.28931646502*Deflactores!$T$5</f>
        <v>233.23791216752659</v>
      </c>
      <c r="E77" s="50">
        <f>203.08294081661*Deflactores!$U$5</f>
        <v>310.17588377087435</v>
      </c>
      <c r="F77" s="50">
        <f>300.75663554628*Deflactores!$V$5</f>
        <v>434.91425172722137</v>
      </c>
      <c r="G77" s="50">
        <f>322.99075886375*Deflactores!$W$5</f>
        <v>412.89452278688793</v>
      </c>
      <c r="H77" s="50">
        <f>520.29727482276*Deflactores!$X$5</f>
        <v>608.63915759289387</v>
      </c>
      <c r="I77" s="50">
        <f>461.550373040819*Deflactores!$Y$5</f>
        <v>513.22961088782267</v>
      </c>
      <c r="J77" s="50">
        <f>364.29935462833*Deflactores!$Z$5</f>
        <v>385.42871719677316</v>
      </c>
      <c r="K77" s="50">
        <f>186.3549122954*Deflactores!$AA$5</f>
        <v>186.3549122954</v>
      </c>
    </row>
    <row r="78" spans="3:11" x14ac:dyDescent="0.2">
      <c r="C78" s="87" t="s">
        <v>142</v>
      </c>
      <c r="D78" s="42">
        <f>290.40782952852*Deflactores!$T$5</f>
        <v>450.691489119256</v>
      </c>
      <c r="E78" s="42">
        <f>209.06251773534*Deflactores!$U$5</f>
        <v>319.30870678340824</v>
      </c>
      <c r="F78" s="42">
        <f>538.38504922825*Deflactores!$V$5</f>
        <v>778.54086378152977</v>
      </c>
      <c r="G78" s="42">
        <f>1057.12627871551*Deflactores!$W$5</f>
        <v>1351.3750421566829</v>
      </c>
      <c r="H78" s="42">
        <f>1309.8043382036*Deflactores!$X$5</f>
        <v>1532.1975485789808</v>
      </c>
      <c r="I78" s="42">
        <f>840.6463291896*Deflactores!$Y$5</f>
        <v>934.77248340583276</v>
      </c>
      <c r="J78" s="42">
        <f>620.054194490519*Deflactores!$Z$5</f>
        <v>656.01733777096911</v>
      </c>
      <c r="K78" s="42">
        <f>454.61484135675*Deflactores!$AA$5</f>
        <v>454.61484135674999</v>
      </c>
    </row>
    <row r="79" spans="3:11" x14ac:dyDescent="0.2">
      <c r="C79" s="88" t="s">
        <v>143</v>
      </c>
      <c r="D79" s="50">
        <f>298.960041640599*Deflactores!$T$5</f>
        <v>463.96389027426034</v>
      </c>
      <c r="E79" s="50">
        <f>696.26791925015*Deflactores!$U$5</f>
        <v>1063.4350493759414</v>
      </c>
      <c r="F79" s="50">
        <f>2382.53682175094*Deflactores!$V$5</f>
        <v>3445.3079220089671</v>
      </c>
      <c r="G79" s="50">
        <f>1284.38817144474*Deflactores!$W$5</f>
        <v>1641.8947804804152</v>
      </c>
      <c r="H79" s="50">
        <f>2168.35802756612*Deflactores!$X$5</f>
        <v>2536.5260729209208</v>
      </c>
      <c r="I79" s="50">
        <f>706.03271860248*Deflactores!$Y$5</f>
        <v>785.08634941646119</v>
      </c>
      <c r="J79" s="50">
        <f>485.162845806439*Deflactores!$Z$5</f>
        <v>513.30229086321253</v>
      </c>
      <c r="K79" s="50">
        <f>183.76068647052*Deflactores!$AA$5</f>
        <v>183.76068647052</v>
      </c>
    </row>
    <row r="80" spans="3:11" x14ac:dyDescent="0.2">
      <c r="C80" s="87" t="s">
        <v>144</v>
      </c>
      <c r="D80" s="42">
        <f>321.45615513963*Deflactores!$T$5</f>
        <v>498.87619587130484</v>
      </c>
      <c r="E80" s="42">
        <f>262.37118981223*Deflactores!$U$5</f>
        <v>400.72896004354175</v>
      </c>
      <c r="F80" s="42">
        <f>410.751881874079*Deflactores!$V$5</f>
        <v>593.97474980505933</v>
      </c>
      <c r="G80" s="42">
        <f>489.71873122904*Deflactores!$W$5</f>
        <v>626.03085779278103</v>
      </c>
      <c r="H80" s="42">
        <f>709.58348720248*Deflactores!$X$5</f>
        <v>830.06449733926843</v>
      </c>
      <c r="I80" s="42">
        <f>993.701711954949*Deflactores!$Y$5</f>
        <v>1104.9652925317821</v>
      </c>
      <c r="J80" s="42">
        <f>1184.2927216499*Deflactores!$Z$5</f>
        <v>1252.9816995055942</v>
      </c>
      <c r="K80" s="42">
        <f>242.07415104619*Deflactores!$AA$5</f>
        <v>242.07415104619</v>
      </c>
    </row>
    <row r="81" spans="1:11" x14ac:dyDescent="0.2">
      <c r="C81" s="88" t="s">
        <v>145</v>
      </c>
      <c r="D81" s="50">
        <f>104.764068712339*Deflactores!$T$5</f>
        <v>162.58609215465097</v>
      </c>
      <c r="E81" s="50">
        <f>147.363516969*Deflactores!$U$5</f>
        <v>225.07360257659482</v>
      </c>
      <c r="F81" s="50">
        <f>110.932988253929*Deflactores!$V$5</f>
        <v>160.4165357505407</v>
      </c>
      <c r="G81" s="50">
        <f>206.96494002199*Deflactores!$W$5</f>
        <v>264.57317368650956</v>
      </c>
      <c r="H81" s="50">
        <f>327.69936732657*Deflactores!$X$5</f>
        <v>383.33982614325828</v>
      </c>
      <c r="I81" s="50">
        <f>266.41431728631*Deflactores!$Y$5</f>
        <v>296.24440663967442</v>
      </c>
      <c r="J81" s="50">
        <f>324.337987480599*Deflactores!$Z$5</f>
        <v>343.14959075447376</v>
      </c>
      <c r="K81" s="50">
        <f>297.637688083*Deflactores!$AA$5</f>
        <v>297.637688083</v>
      </c>
    </row>
    <row r="82" spans="1:11" x14ac:dyDescent="0.2">
      <c r="C82" s="87" t="s">
        <v>146</v>
      </c>
      <c r="D82" s="42">
        <f>48.70713345346*Deflactores!$T$5</f>
        <v>75.589871466307684</v>
      </c>
      <c r="E82" s="42">
        <f>44.3908023462599*Deflactores!$U$5</f>
        <v>67.79966989685829</v>
      </c>
      <c r="F82" s="42">
        <f>58.38649881688*Deflactores!$V$5</f>
        <v>84.430790355773226</v>
      </c>
      <c r="G82" s="42">
        <f>60.13311252943*Deflactores!$W$5</f>
        <v>76.871031508374855</v>
      </c>
      <c r="H82" s="42">
        <f>100.14156081164*Deflactores!$X$5</f>
        <v>117.14471353553959</v>
      </c>
      <c r="I82" s="42">
        <f>96.13393492928*Deflactores!$Y$5</f>
        <v>106.89793552069381</v>
      </c>
      <c r="J82" s="42">
        <f>165.760022647169*Deflactores!$Z$5</f>
        <v>175.37410396070482</v>
      </c>
      <c r="K82" s="42">
        <f>59.37109794277*Deflactores!$AA$5</f>
        <v>59.37109794277</v>
      </c>
    </row>
    <row r="83" spans="1:11" x14ac:dyDescent="0.2">
      <c r="C83" s="88" t="s">
        <v>162</v>
      </c>
      <c r="D83" s="50">
        <f>623.926003631919*Deflactores!$T$5</f>
        <v>968.28704699051639</v>
      </c>
      <c r="E83" s="50">
        <f>680.47480742684*Deflactores!$U$5</f>
        <v>1039.3136613480272</v>
      </c>
      <c r="F83" s="50">
        <f>829.07065508206*Deflactores!$V$5</f>
        <v>1198.8917316124407</v>
      </c>
      <c r="G83" s="50">
        <f>1121.05488114801*Deflactores!$W$5</f>
        <v>1433.0980297946498</v>
      </c>
      <c r="H83" s="50">
        <f>2039.29652315846*Deflactores!$X$5</f>
        <v>2385.5510647448573</v>
      </c>
      <c r="I83" s="50">
        <f>1972.69061701417*Deflactores!$Y$5</f>
        <v>2193.5704029486333</v>
      </c>
      <c r="J83" s="50">
        <f>2110.13515388882*Deflactores!$Z$5</f>
        <v>2232.5229928143713</v>
      </c>
      <c r="K83" s="50">
        <f>1649.14332478039*Deflactores!$AA$5</f>
        <v>1649.14332478039</v>
      </c>
    </row>
    <row r="84" spans="1:11" x14ac:dyDescent="0.2">
      <c r="C84" s="87" t="s">
        <v>148</v>
      </c>
      <c r="D84" s="42">
        <f>131.86012306384*Deflactores!$T$5</f>
        <v>204.63716600056114</v>
      </c>
      <c r="E84" s="42">
        <f>169.528733938289*Deflactores!$U$5</f>
        <v>258.92733610427126</v>
      </c>
      <c r="F84" s="42">
        <f>196.59069856996*Deflactores!$V$5</f>
        <v>284.28332565227561</v>
      </c>
      <c r="G84" s="42">
        <f>242.37571934876*Deflactores!$W$5</f>
        <v>309.84046518139144</v>
      </c>
      <c r="H84" s="42">
        <f>233.308292914719*Deflactores!$X$5</f>
        <v>272.92198081841468</v>
      </c>
      <c r="I84" s="42">
        <f>247.65642707201*Deflactores!$Y$5</f>
        <v>275.38621811230803</v>
      </c>
      <c r="J84" s="42">
        <f>262.45457091479*Deflactores!$Z$5</f>
        <v>277.67693602784783</v>
      </c>
      <c r="K84" s="42">
        <f>185.576962064359*Deflactores!$AA$5</f>
        <v>185.57696206435901</v>
      </c>
    </row>
    <row r="85" spans="1:11" x14ac:dyDescent="0.2">
      <c r="C85" s="88" t="s">
        <v>149</v>
      </c>
      <c r="D85" s="50">
        <f>1049.94701258532*Deflactores!$T$5</f>
        <v>1629.4401682166783</v>
      </c>
      <c r="E85" s="50">
        <f>1264.78092626602*Deflactores!$U$5</f>
        <v>1931.7454238333619</v>
      </c>
      <c r="F85" s="50">
        <f>1382.95297308313*Deflactores!$V$5</f>
        <v>1999.8426846673276</v>
      </c>
      <c r="G85" s="50">
        <f>1379.46152380394*Deflactores!$W$5</f>
        <v>1763.43159035757</v>
      </c>
      <c r="H85" s="50">
        <f>1466.14749357714*Deflactores!$X$5</f>
        <v>1715.0863911438039</v>
      </c>
      <c r="I85" s="50">
        <f>3077.89905639073*Deflactores!$Y$5</f>
        <v>3422.5276965028188</v>
      </c>
      <c r="J85" s="50">
        <f>1838.51037939204*Deflactores!$Z$5</f>
        <v>1945.1439813967784</v>
      </c>
      <c r="K85" s="50">
        <f>1192.17318446783*Deflactores!$AA$5</f>
        <v>1192.17318446783</v>
      </c>
    </row>
    <row r="86" spans="1:11" x14ac:dyDescent="0.2">
      <c r="C86" s="87" t="s">
        <v>163</v>
      </c>
      <c r="D86" s="42">
        <f>5102.22697644615*Deflactores!$T$5</f>
        <v>7918.2791923078139</v>
      </c>
      <c r="E86" s="42">
        <f>5635.39491743344*Deflactores!$U$5</f>
        <v>8607.1414560185749</v>
      </c>
      <c r="F86" s="42">
        <f>4023.59219583881*Deflactores!$V$5</f>
        <v>5818.3839765671564</v>
      </c>
      <c r="G86" s="42">
        <f>4214.12408689*Deflactores!$W$5</f>
        <v>5387.1162133006137</v>
      </c>
      <c r="H86" s="42">
        <f>4996.89998749019*Deflactores!$X$5</f>
        <v>5845.3294801476677</v>
      </c>
      <c r="I86" s="42">
        <f>5506.91813104931*Deflactores!$Y$5</f>
        <v>6123.5211033825281</v>
      </c>
      <c r="J86" s="42">
        <f>6326.41873263901*Deflactores!$Z$5</f>
        <v>6693.3510191320729</v>
      </c>
      <c r="K86" s="42">
        <f>2952.25781279766*Deflactores!$AA$5</f>
        <v>2952.2578127976599</v>
      </c>
    </row>
    <row r="87" spans="1:11" x14ac:dyDescent="0.2">
      <c r="C87" s="88" t="s">
        <v>150</v>
      </c>
      <c r="D87" s="50">
        <f>6575.66984927237*Deflactores!$T$5</f>
        <v>10204.95363756752</v>
      </c>
      <c r="E87" s="50">
        <f>6905.44839028756*Deflactores!$U$5</f>
        <v>10546.939829996891</v>
      </c>
      <c r="F87" s="50">
        <f>10010.6107230669*Deflactores!$V$5</f>
        <v>14476.014017270749</v>
      </c>
      <c r="G87" s="50">
        <f>10808.879773064*Deflactores!$W$5</f>
        <v>13817.507570372134</v>
      </c>
      <c r="H87" s="50">
        <f>10349.2629829576*Deflactores!$X$5</f>
        <v>12106.476448104377</v>
      </c>
      <c r="I87" s="50">
        <f>12304.2570241723*Deflactores!$Y$5</f>
        <v>13681.949823104629</v>
      </c>
      <c r="J87" s="50">
        <f>11892.7170295945*Deflactores!$Z$5</f>
        <v>12582.494617310982</v>
      </c>
      <c r="K87" s="50">
        <f>9840.67904581138*Deflactores!$AA$5</f>
        <v>9840.6790458113792</v>
      </c>
    </row>
    <row r="88" spans="1:11" x14ac:dyDescent="0.2">
      <c r="C88" s="87" t="s">
        <v>151</v>
      </c>
      <c r="D88" s="42">
        <f>1925.21048560087*Deflactores!$T$5</f>
        <v>2987.7843928386596</v>
      </c>
      <c r="E88" s="42">
        <f>1980.99172377834*Deflactores!$U$5</f>
        <v>3025.6399488552142</v>
      </c>
      <c r="F88" s="42">
        <f>3221.0590711635*Deflactores!$V$5</f>
        <v>4657.8672924697157</v>
      </c>
      <c r="G88" s="42">
        <f>3100.58621018887*Deflactores!$W$5</f>
        <v>3963.6275295281225</v>
      </c>
      <c r="H88" s="42">
        <f>4925.39672612925*Deflactores!$X$5</f>
        <v>5761.6855964185197</v>
      </c>
      <c r="I88" s="42">
        <f>5318.6024361443*Deflactores!$Y$5</f>
        <v>5914.1199275511281</v>
      </c>
      <c r="J88" s="42">
        <f>3990.29980425294*Deflactores!$Z$5</f>
        <v>4221.7371928996108</v>
      </c>
      <c r="K88" s="42">
        <f>1772.4583996726*Deflactores!$AA$5</f>
        <v>1772.4583996726001</v>
      </c>
    </row>
    <row r="89" spans="1:11" x14ac:dyDescent="0.2">
      <c r="C89" s="79" t="s">
        <v>202</v>
      </c>
      <c r="D89" s="44">
        <f t="shared" ref="D89:K89" si="1">+SUM(D58:D88)</f>
        <v>62700.584011127547</v>
      </c>
      <c r="E89" s="44">
        <f t="shared" si="1"/>
        <v>64169.872123052985</v>
      </c>
      <c r="F89" s="44">
        <f t="shared" si="1"/>
        <v>81670.156450296374</v>
      </c>
      <c r="G89" s="44">
        <f t="shared" si="1"/>
        <v>84322.466416656098</v>
      </c>
      <c r="H89" s="44">
        <f t="shared" si="1"/>
        <v>87741.874974560676</v>
      </c>
      <c r="I89" s="44">
        <f t="shared" si="1"/>
        <v>97259.108117070093</v>
      </c>
      <c r="J89" s="44">
        <f t="shared" si="1"/>
        <v>80482.546179204583</v>
      </c>
      <c r="K89" s="44">
        <f t="shared" si="1"/>
        <v>48590.745202565027</v>
      </c>
    </row>
    <row r="90" spans="1:11" s="31" customFormat="1" x14ac:dyDescent="0.2">
      <c r="A90" s="5"/>
      <c r="B90" s="5"/>
      <c r="C90" s="72" t="str">
        <f>+'C1 Aprop Resumen 2000-2026'!B20</f>
        <v>* Información con corte a 30 de abril</v>
      </c>
      <c r="D90" s="121">
        <f>+D89-'C5 Ejecución PGN 2019-2026'!D65</f>
        <v>0</v>
      </c>
      <c r="E90" s="121">
        <f>+E89-'C5 Ejecución PGN 2019-2026'!E65</f>
        <v>0</v>
      </c>
      <c r="F90" s="121">
        <f>+F89-'C5 Ejecución PGN 2019-2026'!F65</f>
        <v>-1.1641532182693481E-10</v>
      </c>
      <c r="G90" s="121">
        <f>+G89-'C5 Ejecución PGN 2019-2026'!G65</f>
        <v>-1.1641532182693481E-10</v>
      </c>
      <c r="H90" s="121">
        <f>+H89-'C5 Ejecución PGN 2019-2026'!H65</f>
        <v>0</v>
      </c>
      <c r="I90" s="121">
        <f>+I89-'C5 Ejecución PGN 2019-2026'!I65</f>
        <v>0</v>
      </c>
      <c r="J90" s="121">
        <f>+J89-'C5 Ejecución PGN 2019-2026'!J65</f>
        <v>0</v>
      </c>
      <c r="K90" s="121">
        <f>+K89-'C5 Ejecución PGN 2019-2026'!K65</f>
        <v>0</v>
      </c>
    </row>
    <row r="91" spans="1:11" x14ac:dyDescent="0.2">
      <c r="C91" s="1" t="s">
        <v>52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1" t="s">
        <v>204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6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10</v>
      </c>
    </row>
    <row r="99" spans="3:11" ht="12" customHeight="1" thickBot="1" x14ac:dyDescent="0.25">
      <c r="C99" s="160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95.483581548195545</v>
      </c>
      <c r="E100" s="47">
        <f t="shared" si="2"/>
        <v>94.941957705853341</v>
      </c>
      <c r="F100" s="47">
        <f t="shared" si="2"/>
        <v>93.553600424112858</v>
      </c>
      <c r="G100" s="47">
        <f t="shared" si="2"/>
        <v>88.325367013619569</v>
      </c>
      <c r="H100" s="47">
        <f t="shared" si="2"/>
        <v>92.180019142653606</v>
      </c>
      <c r="I100" s="47">
        <f t="shared" si="2"/>
        <v>97.209463942245293</v>
      </c>
      <c r="J100" s="47">
        <f t="shared" si="2"/>
        <v>95.146659147677624</v>
      </c>
      <c r="K100" s="47">
        <f t="shared" si="2"/>
        <v>44.48800123229762</v>
      </c>
    </row>
    <row r="101" spans="3:11" x14ac:dyDescent="0.2">
      <c r="C101" s="88" t="s">
        <v>124</v>
      </c>
      <c r="D101" s="116">
        <f t="shared" si="2"/>
        <v>95.062022469341443</v>
      </c>
      <c r="E101" s="116">
        <f t="shared" si="2"/>
        <v>95.048595528164967</v>
      </c>
      <c r="F101" s="116">
        <f t="shared" si="2"/>
        <v>76.618102792825979</v>
      </c>
      <c r="G101" s="116">
        <f t="shared" si="2"/>
        <v>82.716658042911817</v>
      </c>
      <c r="H101" s="116">
        <f t="shared" si="2"/>
        <v>83.019224045868626</v>
      </c>
      <c r="I101" s="116">
        <f t="shared" si="2"/>
        <v>97.536343266362977</v>
      </c>
      <c r="J101" s="116">
        <f t="shared" si="2"/>
        <v>97.214289624961012</v>
      </c>
      <c r="K101" s="116">
        <f t="shared" si="2"/>
        <v>48.392773337296255</v>
      </c>
    </row>
    <row r="102" spans="3:11" x14ac:dyDescent="0.2">
      <c r="C102" s="87" t="s">
        <v>125</v>
      </c>
      <c r="D102" s="47">
        <f t="shared" si="2"/>
        <v>99.961103391274889</v>
      </c>
      <c r="E102" s="47">
        <f t="shared" si="2"/>
        <v>99.093095305659787</v>
      </c>
      <c r="F102" s="47">
        <f t="shared" si="2"/>
        <v>99.167724312621502</v>
      </c>
      <c r="G102" s="47">
        <f t="shared" si="2"/>
        <v>99.928007965450846</v>
      </c>
      <c r="H102" s="47">
        <f t="shared" si="2"/>
        <v>98.740813549341723</v>
      </c>
      <c r="I102" s="47">
        <f t="shared" si="2"/>
        <v>98.237727232815601</v>
      </c>
      <c r="J102" s="47">
        <f t="shared" si="2"/>
        <v>97.951336453366082</v>
      </c>
      <c r="K102" s="47">
        <f t="shared" si="2"/>
        <v>61.6198291632547</v>
      </c>
    </row>
    <row r="103" spans="3:11" x14ac:dyDescent="0.2">
      <c r="C103" s="88" t="s">
        <v>126</v>
      </c>
      <c r="D103" s="116">
        <f t="shared" si="2"/>
        <v>98.013344985036042</v>
      </c>
      <c r="E103" s="116">
        <f t="shared" si="2"/>
        <v>96.183465362407219</v>
      </c>
      <c r="F103" s="116">
        <f t="shared" si="2"/>
        <v>95.097654834504567</v>
      </c>
      <c r="G103" s="116">
        <f t="shared" si="2"/>
        <v>95.325528092682177</v>
      </c>
      <c r="H103" s="116">
        <f t="shared" si="2"/>
        <v>97.57877471812975</v>
      </c>
      <c r="I103" s="116">
        <f t="shared" si="2"/>
        <v>95.017281884682987</v>
      </c>
      <c r="J103" s="116">
        <f t="shared" si="2"/>
        <v>96.730855011062744</v>
      </c>
      <c r="K103" s="116">
        <f t="shared" si="2"/>
        <v>81.980513956848071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97.760069742216089</v>
      </c>
      <c r="G104" s="47">
        <f t="shared" si="2"/>
        <v>86.127672148666491</v>
      </c>
      <c r="H104" s="47">
        <f t="shared" si="2"/>
        <v>95.586965198124602</v>
      </c>
      <c r="I104" s="47">
        <f t="shared" si="2"/>
        <v>98.936286198779484</v>
      </c>
      <c r="J104" s="47">
        <f t="shared" si="2"/>
        <v>99.35908023687999</v>
      </c>
      <c r="K104" s="47">
        <f t="shared" si="2"/>
        <v>88.004468170379994</v>
      </c>
    </row>
    <row r="105" spans="3:11" x14ac:dyDescent="0.2">
      <c r="C105" s="88" t="s">
        <v>128</v>
      </c>
      <c r="D105" s="116">
        <f t="shared" si="2"/>
        <v>98.985018816285717</v>
      </c>
      <c r="E105" s="116">
        <f t="shared" si="2"/>
        <v>99.657575309629379</v>
      </c>
      <c r="F105" s="116">
        <f t="shared" si="2"/>
        <v>98.610030414686818</v>
      </c>
      <c r="G105" s="116">
        <f t="shared" si="2"/>
        <v>97.680637174377821</v>
      </c>
      <c r="H105" s="116">
        <f t="shared" si="2"/>
        <v>98.301116049754327</v>
      </c>
      <c r="I105" s="116">
        <f t="shared" si="2"/>
        <v>98.67865600902573</v>
      </c>
      <c r="J105" s="116">
        <f t="shared" si="2"/>
        <v>99.601765033691308</v>
      </c>
      <c r="K105" s="116">
        <f t="shared" si="2"/>
        <v>57.82699599424199</v>
      </c>
    </row>
    <row r="106" spans="3:11" x14ac:dyDescent="0.2">
      <c r="C106" s="87" t="s">
        <v>129</v>
      </c>
      <c r="D106" s="47">
        <f t="shared" si="2"/>
        <v>99.582957114944747</v>
      </c>
      <c r="E106" s="47">
        <f t="shared" si="2"/>
        <v>99.227224472805602</v>
      </c>
      <c r="F106" s="47">
        <f t="shared" si="2"/>
        <v>98.852351855024764</v>
      </c>
      <c r="G106" s="47">
        <f t="shared" si="2"/>
        <v>95.85481367972632</v>
      </c>
      <c r="H106" s="47">
        <f t="shared" si="2"/>
        <v>94.337412748716503</v>
      </c>
      <c r="I106" s="47">
        <f t="shared" si="2"/>
        <v>93.085610634509834</v>
      </c>
      <c r="J106" s="47">
        <f t="shared" si="2"/>
        <v>98.497291166506045</v>
      </c>
      <c r="K106" s="47">
        <f t="shared" si="2"/>
        <v>48.137761286758284</v>
      </c>
    </row>
    <row r="107" spans="3:11" x14ac:dyDescent="0.2">
      <c r="C107" s="88" t="s">
        <v>130</v>
      </c>
      <c r="D107" s="116">
        <f t="shared" si="2"/>
        <v>96.152329087002158</v>
      </c>
      <c r="E107" s="116">
        <f t="shared" si="2"/>
        <v>95.41649255760241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72.91573030280864</v>
      </c>
      <c r="I107" s="116">
        <f t="shared" si="2"/>
        <v>93.523266220800281</v>
      </c>
      <c r="J107" s="116">
        <f t="shared" si="2"/>
        <v>99.063327792382481</v>
      </c>
      <c r="K107" s="116">
        <f t="shared" si="2"/>
        <v>85.231168059400602</v>
      </c>
    </row>
    <row r="108" spans="3:11" x14ac:dyDescent="0.2">
      <c r="C108" s="87" t="s">
        <v>131</v>
      </c>
      <c r="D108" s="47">
        <f t="shared" si="2"/>
        <v>99.920094573821032</v>
      </c>
      <c r="E108" s="47">
        <f t="shared" si="2"/>
        <v>99.8668504958829</v>
      </c>
      <c r="F108" s="47">
        <f t="shared" si="2"/>
        <v>99.888927664237883</v>
      </c>
      <c r="G108" s="47">
        <f t="shared" si="2"/>
        <v>99.888983488167</v>
      </c>
      <c r="H108" s="47">
        <f t="shared" si="2"/>
        <v>99.73183285171892</v>
      </c>
      <c r="I108" s="47">
        <f t="shared" si="2"/>
        <v>99.69573273535589</v>
      </c>
      <c r="J108" s="47">
        <f t="shared" si="2"/>
        <v>99.662330017419876</v>
      </c>
      <c r="K108" s="47">
        <f t="shared" si="2"/>
        <v>66.763473935815725</v>
      </c>
    </row>
    <row r="109" spans="3:11" x14ac:dyDescent="0.2">
      <c r="C109" s="88" t="s">
        <v>132</v>
      </c>
      <c r="D109" s="116">
        <f t="shared" si="2"/>
        <v>92.604445580113676</v>
      </c>
      <c r="E109" s="116">
        <f t="shared" si="2"/>
        <v>71.796506957029379</v>
      </c>
      <c r="F109" s="116">
        <f t="shared" si="2"/>
        <v>65.03502512501835</v>
      </c>
      <c r="G109" s="116">
        <f t="shared" si="2"/>
        <v>68.245479595647168</v>
      </c>
      <c r="H109" s="116">
        <f t="shared" si="2"/>
        <v>75.90873695535592</v>
      </c>
      <c r="I109" s="116">
        <f t="shared" si="2"/>
        <v>88.537206533929563</v>
      </c>
      <c r="J109" s="116">
        <f t="shared" si="2"/>
        <v>89.393956786595368</v>
      </c>
      <c r="K109" s="116">
        <f t="shared" si="2"/>
        <v>49.589779594565051</v>
      </c>
    </row>
    <row r="110" spans="3:11" x14ac:dyDescent="0.2">
      <c r="C110" s="87" t="s">
        <v>133</v>
      </c>
      <c r="D110" s="47">
        <f t="shared" ref="D110:K119" si="3">+IFERROR(IF(D68&gt;0,+((D68/D25)*100)," "),"")</f>
        <v>99.206959678040647</v>
      </c>
      <c r="E110" s="47">
        <f t="shared" si="3"/>
        <v>98.109144547189914</v>
      </c>
      <c r="F110" s="47">
        <f t="shared" si="3"/>
        <v>95.974846721095176</v>
      </c>
      <c r="G110" s="47">
        <f t="shared" si="3"/>
        <v>98.280478008083392</v>
      </c>
      <c r="H110" s="47">
        <f t="shared" si="3"/>
        <v>92.720826595858739</v>
      </c>
      <c r="I110" s="47">
        <f t="shared" si="3"/>
        <v>98.202683633028016</v>
      </c>
      <c r="J110" s="47">
        <f t="shared" si="3"/>
        <v>99.473296311604628</v>
      </c>
      <c r="K110" s="47">
        <f t="shared" si="3"/>
        <v>41.8893112551429</v>
      </c>
    </row>
    <row r="111" spans="3:11" x14ac:dyDescent="0.2">
      <c r="C111" s="88" t="s">
        <v>134</v>
      </c>
      <c r="D111" s="116">
        <f t="shared" si="3"/>
        <v>65.899810777035768</v>
      </c>
      <c r="E111" s="116">
        <f t="shared" si="3"/>
        <v>53.432018849215524</v>
      </c>
      <c r="F111" s="116">
        <f t="shared" si="3"/>
        <v>73.195553406598577</v>
      </c>
      <c r="G111" s="116">
        <f t="shared" si="3"/>
        <v>78.530278930310971</v>
      </c>
      <c r="H111" s="116">
        <f t="shared" si="3"/>
        <v>35.385791450190482</v>
      </c>
      <c r="I111" s="116">
        <f t="shared" si="3"/>
        <v>91.523312560437404</v>
      </c>
      <c r="J111" s="116">
        <f t="shared" si="3"/>
        <v>90.072919486634973</v>
      </c>
      <c r="K111" s="116">
        <f t="shared" si="3"/>
        <v>79.674642955997598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99.089672007502131</v>
      </c>
      <c r="J112" s="47">
        <f t="shared" si="3"/>
        <v>99.830894364243349</v>
      </c>
      <c r="K112" s="47">
        <f t="shared" si="3"/>
        <v>64.193968766752263</v>
      </c>
    </row>
    <row r="113" spans="3:11" x14ac:dyDescent="0.2">
      <c r="C113" s="88" t="s">
        <v>136</v>
      </c>
      <c r="D113" s="116">
        <f t="shared" si="3"/>
        <v>99.296727857872852</v>
      </c>
      <c r="E113" s="116">
        <f t="shared" si="3"/>
        <v>98.983557009791113</v>
      </c>
      <c r="F113" s="116">
        <f t="shared" si="3"/>
        <v>96.684393914873993</v>
      </c>
      <c r="G113" s="116">
        <f t="shared" si="3"/>
        <v>98.553225991905151</v>
      </c>
      <c r="H113" s="116">
        <f t="shared" si="3"/>
        <v>92.310614238251944</v>
      </c>
      <c r="I113" s="116">
        <f t="shared" si="3"/>
        <v>97.407612083282984</v>
      </c>
      <c r="J113" s="116">
        <f t="shared" si="3"/>
        <v>98.967311280751673</v>
      </c>
      <c r="K113" s="116">
        <f t="shared" si="3"/>
        <v>33.856619554378376</v>
      </c>
    </row>
    <row r="114" spans="3:11" x14ac:dyDescent="0.2">
      <c r="C114" s="87" t="s">
        <v>137</v>
      </c>
      <c r="D114" s="47">
        <f t="shared" si="3"/>
        <v>95.115475028829366</v>
      </c>
      <c r="E114" s="47">
        <f t="shared" si="3"/>
        <v>92.718318813859085</v>
      </c>
      <c r="F114" s="47">
        <f t="shared" si="3"/>
        <v>64.832202786723457</v>
      </c>
      <c r="G114" s="47">
        <f t="shared" si="3"/>
        <v>57.427864722007293</v>
      </c>
      <c r="H114" s="47">
        <f t="shared" si="3"/>
        <v>81.061668570414469</v>
      </c>
      <c r="I114" s="47">
        <f t="shared" si="3"/>
        <v>94.432623780217796</v>
      </c>
      <c r="J114" s="47">
        <f t="shared" si="3"/>
        <v>96.13517884906166</v>
      </c>
      <c r="K114" s="47">
        <f t="shared" si="3"/>
        <v>56.351338583210286</v>
      </c>
    </row>
    <row r="115" spans="3:11" x14ac:dyDescent="0.2">
      <c r="C115" s="88" t="s">
        <v>138</v>
      </c>
      <c r="D115" s="116">
        <f t="shared" si="3"/>
        <v>99.990654521629935</v>
      </c>
      <c r="E115" s="116">
        <f t="shared" si="3"/>
        <v>99.961007492574822</v>
      </c>
      <c r="F115" s="116">
        <f t="shared" si="3"/>
        <v>97.226082049471643</v>
      </c>
      <c r="G115" s="116">
        <f t="shared" si="3"/>
        <v>87.52738865362501</v>
      </c>
      <c r="H115" s="116">
        <f t="shared" si="3"/>
        <v>98.583139306344833</v>
      </c>
      <c r="I115" s="116">
        <f t="shared" si="3"/>
        <v>97.26277777016432</v>
      </c>
      <c r="J115" s="116">
        <f t="shared" si="3"/>
        <v>99.961076980065073</v>
      </c>
      <c r="K115" s="116">
        <f t="shared" si="3"/>
        <v>31.950306060715196</v>
      </c>
    </row>
    <row r="116" spans="3:11" x14ac:dyDescent="0.2">
      <c r="C116" s="87" t="s">
        <v>160</v>
      </c>
      <c r="D116" s="47">
        <f t="shared" si="3"/>
        <v>91.61498693669796</v>
      </c>
      <c r="E116" s="47">
        <f t="shared" si="3"/>
        <v>95.074663714325808</v>
      </c>
      <c r="F116" s="47">
        <f t="shared" si="3"/>
        <v>94.564305032470557</v>
      </c>
      <c r="G116" s="47">
        <f t="shared" si="3"/>
        <v>79.029744768169721</v>
      </c>
      <c r="H116" s="47">
        <f t="shared" si="3"/>
        <v>92.570713268672321</v>
      </c>
      <c r="I116" s="47">
        <f t="shared" si="3"/>
        <v>86.785954388436963</v>
      </c>
      <c r="J116" s="47">
        <f t="shared" si="3"/>
        <v>98.718507893612639</v>
      </c>
      <c r="K116" s="47">
        <f t="shared" si="3"/>
        <v>39.101868254943462</v>
      </c>
    </row>
    <row r="117" spans="3:11" x14ac:dyDescent="0.2">
      <c r="C117" s="88" t="s">
        <v>161</v>
      </c>
      <c r="D117" s="116">
        <f t="shared" si="3"/>
        <v>86.325163777721997</v>
      </c>
      <c r="E117" s="116">
        <f t="shared" si="3"/>
        <v>90.567013291956386</v>
      </c>
      <c r="F117" s="116">
        <f t="shared" si="3"/>
        <v>89.15800443684526</v>
      </c>
      <c r="G117" s="116">
        <f t="shared" si="3"/>
        <v>69.694523038139707</v>
      </c>
      <c r="H117" s="116">
        <f t="shared" si="3"/>
        <v>84.783463467099324</v>
      </c>
      <c r="I117" s="116">
        <f t="shared" si="3"/>
        <v>95.918888820783039</v>
      </c>
      <c r="J117" s="116">
        <f t="shared" si="3"/>
        <v>89.116948064216217</v>
      </c>
      <c r="K117" s="116">
        <f t="shared" si="3"/>
        <v>42.299735907016526</v>
      </c>
    </row>
    <row r="118" spans="3:11" x14ac:dyDescent="0.2">
      <c r="C118" s="87" t="s">
        <v>140</v>
      </c>
      <c r="D118" s="47">
        <f t="shared" si="3"/>
        <v>97.709503650105646</v>
      </c>
      <c r="E118" s="47">
        <f t="shared" si="3"/>
        <v>98.331921034320999</v>
      </c>
      <c r="F118" s="47">
        <f t="shared" si="3"/>
        <v>96.036160405972765</v>
      </c>
      <c r="G118" s="47">
        <f t="shared" si="3"/>
        <v>92.455236674600485</v>
      </c>
      <c r="H118" s="47">
        <f t="shared" si="3"/>
        <v>91.214632888222255</v>
      </c>
      <c r="I118" s="47">
        <f t="shared" si="3"/>
        <v>96.850843179577851</v>
      </c>
      <c r="J118" s="47">
        <f t="shared" si="3"/>
        <v>94.568337119076716</v>
      </c>
      <c r="K118" s="47">
        <f t="shared" si="3"/>
        <v>47.700798444952532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90.97495324328689</v>
      </c>
      <c r="F119" s="116">
        <f t="shared" si="3"/>
        <v>84.973516531592296</v>
      </c>
      <c r="G119" s="116">
        <f t="shared" si="3"/>
        <v>72.684884997754253</v>
      </c>
      <c r="H119" s="116">
        <f t="shared" si="3"/>
        <v>89.456737086477816</v>
      </c>
      <c r="I119" s="116">
        <f t="shared" si="3"/>
        <v>89.592219740791265</v>
      </c>
      <c r="J119" s="116">
        <f t="shared" si="3"/>
        <v>94.940527888462185</v>
      </c>
      <c r="K119" s="116">
        <f t="shared" si="3"/>
        <v>20.938085589052193</v>
      </c>
    </row>
    <row r="120" spans="3:11" x14ac:dyDescent="0.2">
      <c r="C120" s="87" t="s">
        <v>142</v>
      </c>
      <c r="D120" s="47">
        <f t="shared" ref="D120:K129" si="4">+IFERROR(IF(D78&gt;0,+((D78/D35)*100)," "),"")</f>
        <v>96.207738858097414</v>
      </c>
      <c r="E120" s="47">
        <f t="shared" si="4"/>
        <v>97.492230935787205</v>
      </c>
      <c r="F120" s="47">
        <f t="shared" si="4"/>
        <v>92.00726847396264</v>
      </c>
      <c r="G120" s="47">
        <f t="shared" si="4"/>
        <v>92.950095775179193</v>
      </c>
      <c r="H120" s="47">
        <f t="shared" si="4"/>
        <v>93.041414622709468</v>
      </c>
      <c r="I120" s="47">
        <f t="shared" si="4"/>
        <v>85.565515522428143</v>
      </c>
      <c r="J120" s="47">
        <f t="shared" si="4"/>
        <v>96.079648625215683</v>
      </c>
      <c r="K120" s="47">
        <f t="shared" si="4"/>
        <v>44.260128261561505</v>
      </c>
    </row>
    <row r="121" spans="3:11" x14ac:dyDescent="0.2">
      <c r="C121" s="88" t="s">
        <v>143</v>
      </c>
      <c r="D121" s="116">
        <f t="shared" si="4"/>
        <v>91.284813611710007</v>
      </c>
      <c r="E121" s="116">
        <f t="shared" si="4"/>
        <v>95.525851600405858</v>
      </c>
      <c r="F121" s="116">
        <f t="shared" si="4"/>
        <v>95.576944534275015</v>
      </c>
      <c r="G121" s="116">
        <f t="shared" si="4"/>
        <v>94.040216440098263</v>
      </c>
      <c r="H121" s="116">
        <f t="shared" si="4"/>
        <v>93.529745362105871</v>
      </c>
      <c r="I121" s="116">
        <f t="shared" si="4"/>
        <v>85.670542193476322</v>
      </c>
      <c r="J121" s="116">
        <f t="shared" si="4"/>
        <v>98.530970092719016</v>
      </c>
      <c r="K121" s="116">
        <f t="shared" si="4"/>
        <v>56.563859141027216</v>
      </c>
    </row>
    <row r="122" spans="3:11" x14ac:dyDescent="0.2">
      <c r="C122" s="87" t="s">
        <v>144</v>
      </c>
      <c r="D122" s="47">
        <f t="shared" si="4"/>
        <v>93.837051289448851</v>
      </c>
      <c r="E122" s="47">
        <f t="shared" si="4"/>
        <v>94.941729602483989</v>
      </c>
      <c r="F122" s="47">
        <f t="shared" si="4"/>
        <v>85.526863562744097</v>
      </c>
      <c r="G122" s="47">
        <f t="shared" si="4"/>
        <v>84.314765597743204</v>
      </c>
      <c r="H122" s="47">
        <f t="shared" si="4"/>
        <v>97.616435821096644</v>
      </c>
      <c r="I122" s="47">
        <f t="shared" si="4"/>
        <v>87.393747898805429</v>
      </c>
      <c r="J122" s="47">
        <f t="shared" si="4"/>
        <v>94.787758087106127</v>
      </c>
      <c r="K122" s="47">
        <f t="shared" si="4"/>
        <v>16.699253923771344</v>
      </c>
    </row>
    <row r="123" spans="3:11" x14ac:dyDescent="0.2">
      <c r="C123" s="88" t="s">
        <v>145</v>
      </c>
      <c r="D123" s="116">
        <f t="shared" si="4"/>
        <v>96.280025683094678</v>
      </c>
      <c r="E123" s="116">
        <f t="shared" si="4"/>
        <v>99.213357836211657</v>
      </c>
      <c r="F123" s="116">
        <f t="shared" si="4"/>
        <v>92.283667620047538</v>
      </c>
      <c r="G123" s="116">
        <f t="shared" si="4"/>
        <v>96.022831144513404</v>
      </c>
      <c r="H123" s="116">
        <f t="shared" si="4"/>
        <v>97.388914423773301</v>
      </c>
      <c r="I123" s="116">
        <f t="shared" si="4"/>
        <v>85.827028892212454</v>
      </c>
      <c r="J123" s="116">
        <f t="shared" si="4"/>
        <v>95.300752003717548</v>
      </c>
      <c r="K123" s="116">
        <f t="shared" si="4"/>
        <v>75.054396425597858</v>
      </c>
    </row>
    <row r="124" spans="3:11" x14ac:dyDescent="0.2">
      <c r="C124" s="87" t="s">
        <v>146</v>
      </c>
      <c r="D124" s="47">
        <f t="shared" si="4"/>
        <v>98.346350080958942</v>
      </c>
      <c r="E124" s="47">
        <f t="shared" si="4"/>
        <v>96.462483597549564</v>
      </c>
      <c r="F124" s="47">
        <f t="shared" si="4"/>
        <v>81.134854046025154</v>
      </c>
      <c r="G124" s="47">
        <f t="shared" si="4"/>
        <v>75.946298466899407</v>
      </c>
      <c r="H124" s="47">
        <f t="shared" si="4"/>
        <v>84.585241089363464</v>
      </c>
      <c r="I124" s="47">
        <f t="shared" si="4"/>
        <v>91.545024464891696</v>
      </c>
      <c r="J124" s="47">
        <f t="shared" si="4"/>
        <v>88.198161503041206</v>
      </c>
      <c r="K124" s="47">
        <f t="shared" si="4"/>
        <v>29.524204862378511</v>
      </c>
    </row>
    <row r="125" spans="3:11" x14ac:dyDescent="0.2">
      <c r="C125" s="88" t="s">
        <v>162</v>
      </c>
      <c r="D125" s="116">
        <f t="shared" si="4"/>
        <v>95.181619428698014</v>
      </c>
      <c r="E125" s="116">
        <f t="shared" si="4"/>
        <v>96.225806289245455</v>
      </c>
      <c r="F125" s="116">
        <f t="shared" si="4"/>
        <v>94.239695216864419</v>
      </c>
      <c r="G125" s="116">
        <f t="shared" si="4"/>
        <v>94.770765875363679</v>
      </c>
      <c r="H125" s="116">
        <f t="shared" si="4"/>
        <v>95.952897303624596</v>
      </c>
      <c r="I125" s="116">
        <f t="shared" si="4"/>
        <v>95.917667340256372</v>
      </c>
      <c r="J125" s="116">
        <f t="shared" si="4"/>
        <v>99.236195338897943</v>
      </c>
      <c r="K125" s="116">
        <f t="shared" si="4"/>
        <v>54.347886419927008</v>
      </c>
    </row>
    <row r="126" spans="3:11" x14ac:dyDescent="0.2">
      <c r="C126" s="87" t="s">
        <v>148</v>
      </c>
      <c r="D126" s="47">
        <f t="shared" si="4"/>
        <v>87.550332641644289</v>
      </c>
      <c r="E126" s="47">
        <f t="shared" si="4"/>
        <v>95.254788948116214</v>
      </c>
      <c r="F126" s="47">
        <f t="shared" si="4"/>
        <v>91.769189188323608</v>
      </c>
      <c r="G126" s="47">
        <f t="shared" si="4"/>
        <v>95.017400742872184</v>
      </c>
      <c r="H126" s="47">
        <f t="shared" si="4"/>
        <v>93.674105407507284</v>
      </c>
      <c r="I126" s="47">
        <f t="shared" si="4"/>
        <v>97.399255593046263</v>
      </c>
      <c r="J126" s="47">
        <f t="shared" si="4"/>
        <v>99.195341595097545</v>
      </c>
      <c r="K126" s="47">
        <f t="shared" si="4"/>
        <v>69.819767160173356</v>
      </c>
    </row>
    <row r="127" spans="3:11" x14ac:dyDescent="0.2">
      <c r="C127" s="88" t="s">
        <v>149</v>
      </c>
      <c r="D127" s="116">
        <f t="shared" si="4"/>
        <v>91.990240336751043</v>
      </c>
      <c r="E127" s="116">
        <f t="shared" si="4"/>
        <v>99.684549182663289</v>
      </c>
      <c r="F127" s="116">
        <f t="shared" si="4"/>
        <v>86.075506998077529</v>
      </c>
      <c r="G127" s="116">
        <f t="shared" si="4"/>
        <v>88.111238138584824</v>
      </c>
      <c r="H127" s="116">
        <f t="shared" si="4"/>
        <v>98.050418789558009</v>
      </c>
      <c r="I127" s="116">
        <f t="shared" si="4"/>
        <v>94.413135356881909</v>
      </c>
      <c r="J127" s="116">
        <f t="shared" si="4"/>
        <v>96.794115889755886</v>
      </c>
      <c r="K127" s="116">
        <f t="shared" si="4"/>
        <v>69.805437042259399</v>
      </c>
    </row>
    <row r="128" spans="3:11" x14ac:dyDescent="0.2">
      <c r="C128" s="87" t="s">
        <v>163</v>
      </c>
      <c r="D128" s="47">
        <f t="shared" si="4"/>
        <v>98.523262027933555</v>
      </c>
      <c r="E128" s="47">
        <f t="shared" si="4"/>
        <v>96.989320446536141</v>
      </c>
      <c r="F128" s="47">
        <f t="shared" si="4"/>
        <v>97.039860146938992</v>
      </c>
      <c r="G128" s="47">
        <f t="shared" si="4"/>
        <v>97.266282754687126</v>
      </c>
      <c r="H128" s="47">
        <f t="shared" si="4"/>
        <v>97.586113682223669</v>
      </c>
      <c r="I128" s="47">
        <f t="shared" si="4"/>
        <v>97.237080509132937</v>
      </c>
      <c r="J128" s="47">
        <f t="shared" si="4"/>
        <v>95.248401605171125</v>
      </c>
      <c r="K128" s="47">
        <f t="shared" si="4"/>
        <v>43.52971857216432</v>
      </c>
    </row>
    <row r="129" spans="1:11" x14ac:dyDescent="0.2">
      <c r="C129" s="88" t="s">
        <v>150</v>
      </c>
      <c r="D129" s="116">
        <f t="shared" si="4"/>
        <v>98.790321918934836</v>
      </c>
      <c r="E129" s="116">
        <f t="shared" si="4"/>
        <v>98.387799861079088</v>
      </c>
      <c r="F129" s="116">
        <f t="shared" si="4"/>
        <v>96.64816966960494</v>
      </c>
      <c r="G129" s="116">
        <f t="shared" si="4"/>
        <v>96.228411874356198</v>
      </c>
      <c r="H129" s="116">
        <f t="shared" si="4"/>
        <v>91.555288156092857</v>
      </c>
      <c r="I129" s="116">
        <f t="shared" si="4"/>
        <v>96.303603478011112</v>
      </c>
      <c r="J129" s="116">
        <f t="shared" si="4"/>
        <v>98.030683073012028</v>
      </c>
      <c r="K129" s="116">
        <f t="shared" si="4"/>
        <v>63.262155735552192</v>
      </c>
    </row>
    <row r="130" spans="1:11" x14ac:dyDescent="0.2">
      <c r="C130" s="87" t="s">
        <v>151</v>
      </c>
      <c r="D130" s="47">
        <f t="shared" ref="D130:K131" si="5">+IFERROR(IF(D88&gt;0,+((D88/D45)*100)," "),"")</f>
        <v>98.384956681551543</v>
      </c>
      <c r="E130" s="47">
        <f t="shared" si="5"/>
        <v>99.249450066239987</v>
      </c>
      <c r="F130" s="47">
        <f t="shared" si="5"/>
        <v>99.6213934923816</v>
      </c>
      <c r="G130" s="47">
        <f t="shared" si="5"/>
        <v>97.954064631499676</v>
      </c>
      <c r="H130" s="47">
        <f t="shared" si="5"/>
        <v>98.342139616009234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68.746542709069871</v>
      </c>
    </row>
    <row r="131" spans="1:11" x14ac:dyDescent="0.2">
      <c r="C131" s="91" t="s">
        <v>202</v>
      </c>
      <c r="D131" s="64">
        <f t="shared" si="5"/>
        <v>96.660002824946019</v>
      </c>
      <c r="E131" s="64">
        <f t="shared" si="5"/>
        <v>96.001758899529364</v>
      </c>
      <c r="F131" s="64">
        <f t="shared" si="5"/>
        <v>94.805680001135045</v>
      </c>
      <c r="G131" s="64">
        <f t="shared" si="5"/>
        <v>94.66119431705917</v>
      </c>
      <c r="H131" s="64">
        <f t="shared" si="5"/>
        <v>90.001773948783807</v>
      </c>
      <c r="I131" s="64">
        <f t="shared" si="5"/>
        <v>96.537932715839304</v>
      </c>
      <c r="J131" s="64">
        <f t="shared" si="5"/>
        <v>97.3769601538133</v>
      </c>
      <c r="K131" s="64">
        <f t="shared" si="5"/>
        <v>54.316693068414381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abril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C138" s="9"/>
      <c r="D138" s="131" t="s">
        <v>205</v>
      </c>
      <c r="E138" s="131"/>
      <c r="F138" s="131"/>
      <c r="G138" s="131"/>
      <c r="H138" s="131"/>
      <c r="I138" s="131"/>
      <c r="J138" s="131"/>
      <c r="K138" s="131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6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10</v>
      </c>
    </row>
    <row r="141" spans="1:11" ht="12" customHeight="1" thickBot="1" x14ac:dyDescent="0.25">
      <c r="C141" s="160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876.44054466025*Deflactores!$T$5</f>
        <v>1360.1709528242172</v>
      </c>
      <c r="E142" s="42">
        <f>856.31160033044*Deflactores!$U$5</f>
        <v>1307.8755229155227</v>
      </c>
      <c r="F142" s="42">
        <f>1321.29102046979*Deflactores!$V$5</f>
        <v>1910.6753686007683</v>
      </c>
      <c r="G142" s="42">
        <f>1225.81683714427*Deflactores!$W$5</f>
        <v>1567.0202447195161</v>
      </c>
      <c r="H142" s="42">
        <f>3284.72977374717*Deflactores!$X$5</f>
        <v>3842.4478834620268</v>
      </c>
      <c r="I142" s="42">
        <f>2221.73110255235*Deflactores!$Y$5</f>
        <v>2470.4956508820169</v>
      </c>
      <c r="J142" s="42">
        <f>2219.51938389735*Deflactores!$Z$5</f>
        <v>2348.2515081633965</v>
      </c>
      <c r="K142" s="42">
        <f>331.425552681159*Deflactores!$AA$5</f>
        <v>331.42555268115899</v>
      </c>
    </row>
    <row r="143" spans="1:11" x14ac:dyDescent="0.2">
      <c r="C143" s="88" t="s">
        <v>124</v>
      </c>
      <c r="D143" s="50">
        <f>249.48357825334*Deflactores!$T$5</f>
        <v>387.18007560727926</v>
      </c>
      <c r="E143" s="50">
        <f>254.48148607142*Deflactores!$U$5</f>
        <v>388.67873159670233</v>
      </c>
      <c r="F143" s="50">
        <f>405.5632179549*Deflactores!$V$5</f>
        <v>586.4715940333673</v>
      </c>
      <c r="G143" s="50">
        <f>451.286923478269*Deflactores!$W$5</f>
        <v>576.90164128852223</v>
      </c>
      <c r="H143" s="50">
        <f>508.76130293371*Deflactores!$X$5</f>
        <v>595.14447954569778</v>
      </c>
      <c r="I143" s="50">
        <f>535.80058175722*Deflactores!$Y$5</f>
        <v>595.79352580093644</v>
      </c>
      <c r="J143" s="50">
        <f>654.87992985639*Deflactores!$Z$5</f>
        <v>692.86296578806071</v>
      </c>
      <c r="K143" s="50">
        <f>98.24513301961*Deflactores!$AA$5</f>
        <v>98.245133019609995</v>
      </c>
    </row>
    <row r="144" spans="1:11" x14ac:dyDescent="0.2">
      <c r="C144" s="87" t="s">
        <v>125</v>
      </c>
      <c r="D144" s="42">
        <f>134.63888078372*Deflactores!$T$5</f>
        <v>208.94959262042042</v>
      </c>
      <c r="E144" s="42">
        <f>160.21290041796*Deflactores!$U$5</f>
        <v>244.69892832363087</v>
      </c>
      <c r="F144" s="42">
        <f>336.03032165847*Deflactores!$V$5</f>
        <v>485.92236588995388</v>
      </c>
      <c r="G144" s="42">
        <f>265.99426824601*Deflactores!$W$5</f>
        <v>340.03318496741662</v>
      </c>
      <c r="H144" s="42">
        <f>293.92692347326*Deflactores!$X$5</f>
        <v>343.83311955185036</v>
      </c>
      <c r="I144" s="42">
        <f>302.278074158079*Deflactores!$Y$5</f>
        <v>336.12378505509531</v>
      </c>
      <c r="J144" s="42">
        <f>244.244749685719*Deflactores!$Z$5</f>
        <v>258.41094516749069</v>
      </c>
      <c r="K144" s="42">
        <f>13.943797681*Deflactores!$AA$5</f>
        <v>13.943797680999999</v>
      </c>
    </row>
    <row r="145" spans="3:11" x14ac:dyDescent="0.2">
      <c r="C145" s="88" t="s">
        <v>126</v>
      </c>
      <c r="D145" s="50">
        <f>260.58220700278*Deflactores!$T$5</f>
        <v>404.40432719301577</v>
      </c>
      <c r="E145" s="50">
        <f>245.42233552992*Deflactores!$U$5</f>
        <v>374.84236496677153</v>
      </c>
      <c r="F145" s="50">
        <f>256.4965280952*Deflactores!$V$5</f>
        <v>370.91117003797029</v>
      </c>
      <c r="G145" s="50">
        <f>310.19250797631*Deflactores!$W$5</f>
        <v>396.53390704894503</v>
      </c>
      <c r="H145" s="50">
        <f>341.741679719189*Deflactores!$X$5</f>
        <v>399.76639917924297</v>
      </c>
      <c r="I145" s="50">
        <f>188.2107732291*Deflactores!$Y$5</f>
        <v>209.28450620215281</v>
      </c>
      <c r="J145" s="50">
        <f>313.52989597273*Deflactores!$Z$5</f>
        <v>331.71462993914838</v>
      </c>
      <c r="K145" s="50">
        <f>68.24467848311*Deflactores!$AA$5</f>
        <v>68.244678483109993</v>
      </c>
    </row>
    <row r="146" spans="3:11" x14ac:dyDescent="0.2">
      <c r="C146" s="87" t="s">
        <v>127</v>
      </c>
      <c r="D146" s="42">
        <f>56.1922021154799*Deflactores!$T$5</f>
        <v>87.206144853022039</v>
      </c>
      <c r="E146" s="42">
        <f>66.59964476967*Deflactores!$U$5</f>
        <v>101.720034150545</v>
      </c>
      <c r="F146" s="42">
        <f>102.568897871439*Deflactores!$V$5</f>
        <v>148.32150049563367</v>
      </c>
      <c r="G146" s="42">
        <f>137.29572419259*Deflactores!$W$5</f>
        <v>175.51168559931804</v>
      </c>
      <c r="H146" s="42">
        <f>176.44283537095*Deflactores!$X$5</f>
        <v>206.40127073519508</v>
      </c>
      <c r="I146" s="42">
        <f>148.61662962711*Deflactores!$Y$5</f>
        <v>165.25705415958075</v>
      </c>
      <c r="J146" s="42">
        <f>143.897824087*Deflactores!$Z$5</f>
        <v>152.24389788404602</v>
      </c>
      <c r="K146" s="42">
        <f>48.83580860996*Deflactores!$AA$5</f>
        <v>48.835808609959997</v>
      </c>
    </row>
    <row r="147" spans="3:11" x14ac:dyDescent="0.2">
      <c r="C147" s="88" t="s">
        <v>128</v>
      </c>
      <c r="D147" s="50">
        <f>133.13368647513*Deflactores!$T$5</f>
        <v>206.61364229341439</v>
      </c>
      <c r="E147" s="50">
        <f>130.6417643623*Deflactores!$U$5</f>
        <v>199.5338680615977</v>
      </c>
      <c r="F147" s="50">
        <f>291.254714995599*Deflactores!$V$5</f>
        <v>421.17383779166573</v>
      </c>
      <c r="G147" s="50">
        <f>267.667561567409*Deflactores!$W$5</f>
        <v>342.17223578686429</v>
      </c>
      <c r="H147" s="50">
        <f>331.4119631388*Deflactores!$X$5</f>
        <v>387.68278794025849</v>
      </c>
      <c r="I147" s="50">
        <f>540.06579798318*Deflactores!$Y$5</f>
        <v>600.53631313654171</v>
      </c>
      <c r="J147" s="50">
        <f>403.94931938139*Deflactores!$Z$5</f>
        <v>427.37837990551066</v>
      </c>
      <c r="K147" s="50">
        <f>91.6737114986*Deflactores!$AA$5</f>
        <v>91.673711498599999</v>
      </c>
    </row>
    <row r="148" spans="3:11" x14ac:dyDescent="0.2">
      <c r="C148" s="87" t="s">
        <v>129</v>
      </c>
      <c r="D148" s="42">
        <f>723.86620201947*Deflactores!$T$5</f>
        <v>1123.3868489045547</v>
      </c>
      <c r="E148" s="42">
        <f>1038.39955890579*Deflactores!$U$5</f>
        <v>1585.9850147715915</v>
      </c>
      <c r="F148" s="42">
        <f>1491.43697751225*Deflactores!$V$5</f>
        <v>2156.7178256761554</v>
      </c>
      <c r="G148" s="42">
        <f>1346.74990393745*Deflactores!$W$5</f>
        <v>1721.6147633936196</v>
      </c>
      <c r="H148" s="42">
        <f>1342.84462535506*Deflactores!$X$5</f>
        <v>1570.847784725888</v>
      </c>
      <c r="I148" s="42">
        <f>1116.37617663497*Deflactores!$Y$5</f>
        <v>1241.3754688659501</v>
      </c>
      <c r="J148" s="42">
        <f>947.69753194763*Deflactores!$Z$5</f>
        <v>1002.6639888005925</v>
      </c>
      <c r="K148" s="42">
        <f>305.55295558034*Deflactores!$AA$5</f>
        <v>305.55295558033998</v>
      </c>
    </row>
    <row r="149" spans="3:11" x14ac:dyDescent="0.2">
      <c r="C149" s="88" t="s">
        <v>130</v>
      </c>
      <c r="D149" s="50">
        <f>230.304444823769*Deflactores!$T$5</f>
        <v>357.41547793984148</v>
      </c>
      <c r="E149" s="50">
        <f>204.20464554813*Deflactores!$U$5</f>
        <v>311.88910377364834</v>
      </c>
      <c r="F149" s="50">
        <f>635.953247227649*Deflactores!$V$5</f>
        <v>919.63101711499576</v>
      </c>
      <c r="G149" s="50">
        <f>507.46248029199*Deflactores!$W$5</f>
        <v>648.71354019388207</v>
      </c>
      <c r="H149" s="50">
        <f>512.80351295235*Deflactores!$X$5</f>
        <v>599.87302113069211</v>
      </c>
      <c r="I149" s="50">
        <f>321.25338850098*Deflactores!$Y$5</f>
        <v>357.22374242815528</v>
      </c>
      <c r="J149" s="50">
        <f>258.97770164243*Deflactores!$Z$5</f>
        <v>273.99840833769099</v>
      </c>
      <c r="K149" s="50">
        <f>125.234767385*Deflactores!$AA$5</f>
        <v>125.234767385</v>
      </c>
    </row>
    <row r="150" spans="3:11" x14ac:dyDescent="0.2">
      <c r="C150" s="87" t="s">
        <v>131</v>
      </c>
      <c r="D150" s="42">
        <f>3926.7866947984*Deflactores!$T$5</f>
        <v>6094.0827449645913</v>
      </c>
      <c r="E150" s="42">
        <f>3956.51191418621*Deflactores!$U$5</f>
        <v>6042.9230278919049</v>
      </c>
      <c r="F150" s="42">
        <f>4825.31993397799*Deflactores!$V$5</f>
        <v>6977.7360177563005</v>
      </c>
      <c r="G150" s="42">
        <f>5464.84289946715*Deflactores!$W$5</f>
        <v>6985.9698432816167</v>
      </c>
      <c r="H150" s="42">
        <f>6749.93345638312*Deflactores!$X$5</f>
        <v>7896.012551863937</v>
      </c>
      <c r="I150" s="42">
        <f>5749.11710155624*Deflactores!$Y$5</f>
        <v>6392.8388001092289</v>
      </c>
      <c r="J150" s="42">
        <f>6119.97492517046*Deflactores!$Z$5</f>
        <v>6474.9334708303468</v>
      </c>
      <c r="K150" s="42">
        <f>1665.56940553137*Deflactores!$AA$5</f>
        <v>1665.56940553137</v>
      </c>
    </row>
    <row r="151" spans="3:11" x14ac:dyDescent="0.2">
      <c r="C151" s="88" t="s">
        <v>132</v>
      </c>
      <c r="D151" s="50">
        <f>274.30866882399*Deflactores!$T$5</f>
        <v>425.70678149868456</v>
      </c>
      <c r="E151" s="50">
        <f>168.78586736531*Deflactores!$U$5</f>
        <v>257.7927292541288</v>
      </c>
      <c r="F151" s="50">
        <f>204.3973059589*Deflactores!$V$5</f>
        <v>295.5722031359665</v>
      </c>
      <c r="G151" s="50">
        <f>208.70485291879*Deflactores!$W$5</f>
        <v>266.79738749294245</v>
      </c>
      <c r="H151" s="50">
        <f>246.66429178688*Deflactores!$X$5</f>
        <v>288.54571035867195</v>
      </c>
      <c r="I151" s="50">
        <f>316.58626135872*Deflactores!$Y$5</f>
        <v>352.0340426963466</v>
      </c>
      <c r="J151" s="50">
        <f>325.51171189122*Deflactores!$Z$5</f>
        <v>344.39139118091077</v>
      </c>
      <c r="K151" s="50">
        <f>53.62643512967*Deflactores!$AA$5</f>
        <v>53.62643512967</v>
      </c>
    </row>
    <row r="152" spans="3:11" x14ac:dyDescent="0.2">
      <c r="C152" s="87" t="s">
        <v>133</v>
      </c>
      <c r="D152" s="42">
        <f>119.32053043699*Deflactores!$T$5</f>
        <v>185.17664497012225</v>
      </c>
      <c r="E152" s="42">
        <f>119.43681221329*Deflactores!$U$5</f>
        <v>182.4201414164433</v>
      </c>
      <c r="F152" s="42">
        <f>172.66394969114*Deflactores!$V$5</f>
        <v>249.68364320139295</v>
      </c>
      <c r="G152" s="42">
        <f>160.86316011595*Deflactores!$W$5</f>
        <v>205.63906522813008</v>
      </c>
      <c r="H152" s="42">
        <f>176.01678715712*Deflactores!$X$5</f>
        <v>205.90288329688343</v>
      </c>
      <c r="I152" s="42">
        <f>178.7739221768*Deflactores!$Y$5</f>
        <v>198.79102233457519</v>
      </c>
      <c r="J152" s="42">
        <f>206.122094874819*Deflactores!$Z$5</f>
        <v>218.07717637755852</v>
      </c>
      <c r="K152" s="42">
        <f>8.36713318972*Deflactores!$AA$5</f>
        <v>8.3671331897200005</v>
      </c>
    </row>
    <row r="153" spans="3:11" x14ac:dyDescent="0.2">
      <c r="C153" s="88" t="s">
        <v>134</v>
      </c>
      <c r="D153" s="50">
        <f>538.77648446817*Deflactores!$T$5</f>
        <v>836.14128614101469</v>
      </c>
      <c r="E153" s="50">
        <f>587.015199654959*Deflactores!$U$5</f>
        <v>896.56943910584312</v>
      </c>
      <c r="F153" s="50">
        <f>812.470264807049*Deflactores!$V$5</f>
        <v>1174.8864547156479</v>
      </c>
      <c r="G153" s="50">
        <f>1029.38732300041*Deflactores!$W$5</f>
        <v>1315.9150094211204</v>
      </c>
      <c r="H153" s="50">
        <f>1103.4597270968*Deflactores!$X$5</f>
        <v>1290.8174446361754</v>
      </c>
      <c r="I153" s="50">
        <f>1017.4527032465*Deflactores!$Y$5</f>
        <v>1131.3756536337648</v>
      </c>
      <c r="J153" s="50">
        <f>694.34009370172*Deflactores!$Z$5</f>
        <v>734.61181913641974</v>
      </c>
      <c r="K153" s="50">
        <f>576.63610293287*Deflactores!$AA$5</f>
        <v>576.63610293287002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7908.67187627532*Deflactores!$X$5</f>
        <v>9251.4945231926449</v>
      </c>
      <c r="I154" s="42">
        <f>9039.01898899926*Deflactores!$Y$5</f>
        <v>10051.107028617773</v>
      </c>
      <c r="J154" s="42">
        <f>9397.1417120195*Deflactores!$Z$5</f>
        <v>9942.1759313166312</v>
      </c>
      <c r="K154" s="42">
        <f>2728.60333332458*Deflactores!$AA$5</f>
        <v>2728.60333332458</v>
      </c>
    </row>
    <row r="155" spans="3:11" x14ac:dyDescent="0.2">
      <c r="C155" s="88" t="s">
        <v>136</v>
      </c>
      <c r="D155" s="50">
        <f>8854.1064179274*Deflactores!$T$5</f>
        <v>13740.918806475122</v>
      </c>
      <c r="E155" s="50">
        <f>10105.4841188875*Deflactores!$U$5</f>
        <v>15434.469556647759</v>
      </c>
      <c r="F155" s="50">
        <f>12819.6143412876*Deflactores!$V$5</f>
        <v>18538.021508804628</v>
      </c>
      <c r="G155" s="50">
        <f>20924.7647968539*Deflactores!$W$5</f>
        <v>26749.126834521699</v>
      </c>
      <c r="H155" s="50">
        <f>9654.00349880239*Deflactores!$X$5</f>
        <v>11293.168043041431</v>
      </c>
      <c r="I155" s="50">
        <f>8579.61837453714*Deflactores!$Y$5</f>
        <v>9540.2678821804056</v>
      </c>
      <c r="J155" s="50">
        <f>6865.09731278762*Deflactores!$Z$5</f>
        <v>7263.2729569293015</v>
      </c>
      <c r="K155" s="50">
        <f>2673.83159167222*Deflactores!$AA$5</f>
        <v>2673.8315916722199</v>
      </c>
    </row>
    <row r="156" spans="3:11" x14ac:dyDescent="0.2">
      <c r="C156" s="87" t="s">
        <v>137</v>
      </c>
      <c r="D156" s="42">
        <f>181.83430627373*Deflactores!$T$5</f>
        <v>282.1934050487647</v>
      </c>
      <c r="E156" s="42">
        <f>174.91348781059*Deflactores!$U$5</f>
        <v>267.15166447234361</v>
      </c>
      <c r="F156" s="42">
        <f>239.405989746369*Deflactores!$V$5</f>
        <v>346.19710617668119</v>
      </c>
      <c r="G156" s="42">
        <f>228.32750576787*Deflactores!$W$5</f>
        <v>291.8819623966827</v>
      </c>
      <c r="H156" s="42">
        <f>353.442753408279*Deflactores!$X$5</f>
        <v>413.45421185419144</v>
      </c>
      <c r="I156" s="42">
        <f>574.1435656782*Deflactores!$Y$5</f>
        <v>638.42972732406315</v>
      </c>
      <c r="J156" s="42">
        <f>475.05108983672*Deflactores!$Z$5</f>
        <v>502.60405304724981</v>
      </c>
      <c r="K156" s="42">
        <f>86.2019041374099*Deflactores!$AA$5</f>
        <v>86.201904137409898</v>
      </c>
    </row>
    <row r="157" spans="3:11" x14ac:dyDescent="0.2">
      <c r="C157" s="88" t="s">
        <v>138</v>
      </c>
      <c r="D157" s="50">
        <f>4.76299823841*Deflactores!$T$5</f>
        <v>7.391821261246613</v>
      </c>
      <c r="E157" s="50">
        <f>6.86644852094*Deflactores!$U$5</f>
        <v>10.487373926070219</v>
      </c>
      <c r="F157" s="50">
        <f>7.52410469154*Deflactores!$V$5</f>
        <v>10.880359649903225</v>
      </c>
      <c r="G157" s="50">
        <f>6.92170782745*Deflactores!$W$5</f>
        <v>8.8483499043104885</v>
      </c>
      <c r="H157" s="50">
        <f>21.57742476233*Deflactores!$X$5</f>
        <v>25.241080947122605</v>
      </c>
      <c r="I157" s="50">
        <f>16.3466193832*Deflactores!$Y$5</f>
        <v>18.176930613441648</v>
      </c>
      <c r="J157" s="50">
        <f>15.28163051567*Deflactores!$Z$5</f>
        <v>16.16796508557886</v>
      </c>
      <c r="K157" s="50">
        <f>4.35180875905*Deflactores!$AA$5</f>
        <v>4.3518087590499999</v>
      </c>
    </row>
    <row r="158" spans="3:11" x14ac:dyDescent="0.2">
      <c r="C158" s="87" t="s">
        <v>160</v>
      </c>
      <c r="D158" s="42">
        <f>56.3394594717599*Deflactores!$T$5</f>
        <v>87.434677387056496</v>
      </c>
      <c r="E158" s="42">
        <f>181.41575232815*Deflactores!$U$5</f>
        <v>277.0828070643127</v>
      </c>
      <c r="F158" s="42">
        <f>302.92637915498*Deflactores!$V$5</f>
        <v>438.05184640174508</v>
      </c>
      <c r="G158" s="42">
        <f>450.22734428941*Deflactores!$W$5</f>
        <v>575.54713057410459</v>
      </c>
      <c r="H158" s="42">
        <f>242.093810540379*Deflactores!$X$5</f>
        <v>283.1992017562348</v>
      </c>
      <c r="I158" s="42">
        <f>217.12014470533*Deflactores!$Y$5</f>
        <v>241.43082508822783</v>
      </c>
      <c r="J158" s="42">
        <f>245.85399377512*Deflactores!$Z$5</f>
        <v>260.11352541407695</v>
      </c>
      <c r="K158" s="42">
        <f>20.36621616139*Deflactores!$AA$5</f>
        <v>20.36621616139</v>
      </c>
    </row>
    <row r="159" spans="3:11" x14ac:dyDescent="0.2">
      <c r="C159" s="88" t="s">
        <v>161</v>
      </c>
      <c r="D159" s="50">
        <f>91.50163802512*Deflactores!$T$5</f>
        <v>142.00377987516526</v>
      </c>
      <c r="E159" s="50">
        <f>119.05639107122*Deflactores!$U$5</f>
        <v>181.83911051610175</v>
      </c>
      <c r="F159" s="50">
        <f>111.309193730349*Deflactores!$V$5</f>
        <v>160.96055408275706</v>
      </c>
      <c r="G159" s="50">
        <f>155.21362788078*Deflactores!$W$5</f>
        <v>198.41699818071444</v>
      </c>
      <c r="H159" s="50">
        <f>254.44200935249*Deflactores!$X$5</f>
        <v>297.64401568564278</v>
      </c>
      <c r="I159" s="50">
        <f>290.42309139204*Deflactores!$Y$5</f>
        <v>322.94141418621086</v>
      </c>
      <c r="J159" s="50">
        <f>362.834099306269*Deflactores!$Z$5</f>
        <v>383.87847706603264</v>
      </c>
      <c r="K159" s="50">
        <f>49.343295736*Deflactores!$AA$5</f>
        <v>49.343295736000002</v>
      </c>
    </row>
    <row r="160" spans="3:11" x14ac:dyDescent="0.2">
      <c r="C160" s="87" t="s">
        <v>140</v>
      </c>
      <c r="D160" s="42">
        <f>2747.76253334545*Deflactores!$T$5</f>
        <v>4264.3243810268605</v>
      </c>
      <c r="E160" s="42">
        <f>2741.63488034352*Deflactores!$U$5</f>
        <v>4187.3976148273996</v>
      </c>
      <c r="F160" s="42">
        <f>4387.67798020622*Deflactores!$V$5</f>
        <v>6344.8764218129891</v>
      </c>
      <c r="G160" s="42">
        <f>3933.3189467903*Deflactores!$W$5</f>
        <v>5028.1495830309213</v>
      </c>
      <c r="H160" s="42">
        <f>6239.21574645907*Deflactores!$X$5</f>
        <v>7298.5794846970275</v>
      </c>
      <c r="I160" s="42">
        <f>4463.36849543183*Deflactores!$Y$5</f>
        <v>4963.1264753779205</v>
      </c>
      <c r="J160" s="42">
        <f>4761.07516785723*Deflactores!$Z$5</f>
        <v>5037.2175275929494</v>
      </c>
      <c r="K160" s="42">
        <f>2512.73457425729*Deflactores!$AA$5</f>
        <v>2512.7345742572902</v>
      </c>
    </row>
    <row r="161" spans="1:11" x14ac:dyDescent="0.2">
      <c r="C161" s="88" t="s">
        <v>141</v>
      </c>
      <c r="D161" s="50">
        <f>88.24914922132*Deflactores!$T$5</f>
        <v>136.95615762369849</v>
      </c>
      <c r="E161" s="50">
        <f>143.06381197834*Deflactores!$U$5</f>
        <v>218.50650841265744</v>
      </c>
      <c r="F161" s="50">
        <f>151.71518984451*Deflactores!$V$5</f>
        <v>219.3903324760561</v>
      </c>
      <c r="G161" s="50">
        <f>176.00208250859*Deflactores!$W$5</f>
        <v>224.9918732118831</v>
      </c>
      <c r="H161" s="50">
        <f>304.634226872609*Deflactores!$X$5</f>
        <v>356.35842851736686</v>
      </c>
      <c r="I161" s="50">
        <f>344.890163782379*Deflactores!$Y$5</f>
        <v>383.50709889126972</v>
      </c>
      <c r="J161" s="50">
        <f>233.286404814959*Deflactores!$Z$5</f>
        <v>246.81701629422665</v>
      </c>
      <c r="K161" s="50">
        <f>69.71409178539*Deflactores!$AA$5</f>
        <v>69.714091785389996</v>
      </c>
    </row>
    <row r="162" spans="1:11" x14ac:dyDescent="0.2">
      <c r="C162" s="87" t="s">
        <v>142</v>
      </c>
      <c r="D162" s="42">
        <f>161.86104441689*Deflactores!$T$5</f>
        <v>251.1963787514967</v>
      </c>
      <c r="E162" s="42">
        <f>138.286812571529*Deflactores!$U$5</f>
        <v>211.21042531073618</v>
      </c>
      <c r="F162" s="42">
        <f>393.79680926615*Deflactores!$V$5</f>
        <v>569.45657848403641</v>
      </c>
      <c r="G162" s="42">
        <f>271.414791479609*Deflactores!$W$5</f>
        <v>346.96249886378172</v>
      </c>
      <c r="H162" s="42">
        <f>382.60811724094*Deflactores!$X$5</f>
        <v>447.57159692035003</v>
      </c>
      <c r="I162" s="42">
        <f>387.5835279901*Deflactores!$Y$5</f>
        <v>430.98078752781407</v>
      </c>
      <c r="J162" s="42">
        <f>260.37206356954*Deflactores!$Z$5</f>
        <v>275.47364325657333</v>
      </c>
      <c r="K162" s="42">
        <f>57.9773942138099*Deflactores!$AA$5</f>
        <v>57.977394213809902</v>
      </c>
    </row>
    <row r="163" spans="1:11" x14ac:dyDescent="0.2">
      <c r="C163" s="88" t="s">
        <v>143</v>
      </c>
      <c r="D163" s="50">
        <f>118.5820815837*Deflactores!$T$5</f>
        <v>184.03062692416256</v>
      </c>
      <c r="E163" s="50">
        <f>105.961770360829*Deflactores!$U$5</f>
        <v>161.83922507443037</v>
      </c>
      <c r="F163" s="50">
        <f>383.851033678349*Deflactores!$V$5</f>
        <v>555.07432041761467</v>
      </c>
      <c r="G163" s="50">
        <f>288.502159830829*Deflactores!$W$5</f>
        <v>368.80609843263795</v>
      </c>
      <c r="H163" s="50">
        <f>155.718983788079*Deflactores!$X$5</f>
        <v>182.15869215590973</v>
      </c>
      <c r="I163" s="50">
        <f>99.74806780292*Deflactores!$Y$5</f>
        <v>110.91673848734443</v>
      </c>
      <c r="J163" s="50">
        <f>338.02714414891*Deflactores!$Z$5</f>
        <v>357.63271850954681</v>
      </c>
      <c r="K163" s="50">
        <f>26.18769253935*Deflactores!$AA$5</f>
        <v>26.18769253935</v>
      </c>
    </row>
    <row r="164" spans="1:11" x14ac:dyDescent="0.2">
      <c r="C164" s="87" t="s">
        <v>144</v>
      </c>
      <c r="D164" s="42">
        <f>158.03429547132*Deflactores!$T$5</f>
        <v>245.25754720014174</v>
      </c>
      <c r="E164" s="42">
        <f>132.65661356948*Deflactores!$U$5</f>
        <v>202.61121976326748</v>
      </c>
      <c r="F164" s="42">
        <f>141.43333782396*Deflactores!$V$5</f>
        <v>204.52208536401716</v>
      </c>
      <c r="G164" s="42">
        <f>203.804279047869*Deflactores!$W$5</f>
        <v>260.53274971527344</v>
      </c>
      <c r="H164" s="42">
        <f>317.32623169544*Deflactores!$X$5</f>
        <v>371.20542368212972</v>
      </c>
      <c r="I164" s="42">
        <f>279.35663572606*Deflactores!$Y$5</f>
        <v>310.63586084446121</v>
      </c>
      <c r="J164" s="42">
        <f>478.57676047364*Deflactores!$Z$5</f>
        <v>506.3342125811111</v>
      </c>
      <c r="K164" s="42">
        <f>24.98090330457*Deflactores!$AA$5</f>
        <v>24.980903304569999</v>
      </c>
    </row>
    <row r="165" spans="1:11" x14ac:dyDescent="0.2">
      <c r="C165" s="88" t="s">
        <v>145</v>
      </c>
      <c r="D165" s="50">
        <f>91.43345378734*Deflactores!$T$5</f>
        <v>141.89796297722069</v>
      </c>
      <c r="E165" s="50">
        <f>109.06530846508*Deflactores!$U$5</f>
        <v>166.57937050679308</v>
      </c>
      <c r="F165" s="50">
        <f>76.75770677558*Deflactores!$V$5</f>
        <v>110.99678830348505</v>
      </c>
      <c r="G165" s="50">
        <f>154.41169761599*Deflactores!$W$5</f>
        <v>197.39185239897861</v>
      </c>
      <c r="H165" s="50">
        <f>192.3977726334*Deflactores!$X$5</f>
        <v>225.06521545443857</v>
      </c>
      <c r="I165" s="50">
        <f>157.40718706185*Deflactores!$Y$5</f>
        <v>175.03187969378018</v>
      </c>
      <c r="J165" s="50">
        <f>248.75658220747*Deflactores!$Z$5</f>
        <v>263.18446397550326</v>
      </c>
      <c r="K165" s="50">
        <f>21.073717994*Deflactores!$AA$5</f>
        <v>21.073717993999999</v>
      </c>
    </row>
    <row r="166" spans="1:11" x14ac:dyDescent="0.2">
      <c r="C166" s="87" t="s">
        <v>146</v>
      </c>
      <c r="D166" s="42">
        <f>44.11790003809*Deflactores!$T$5</f>
        <v>68.467720368498419</v>
      </c>
      <c r="E166" s="42">
        <f>40.76460286757*Deflactores!$U$5</f>
        <v>62.261244938516683</v>
      </c>
      <c r="F166" s="42">
        <f>54.25965995313*Deflactores!$V$5</f>
        <v>78.463104777808766</v>
      </c>
      <c r="G166" s="42">
        <f>49.698529742*Deflactores!$W$5</f>
        <v>63.532005662395072</v>
      </c>
      <c r="H166" s="42">
        <f>84.02908787253*Deflactores!$X$5</f>
        <v>98.296484972860924</v>
      </c>
      <c r="I166" s="42">
        <f>81.76680930321*Deflactores!$Y$5</f>
        <v>90.922140189699107</v>
      </c>
      <c r="J166" s="42">
        <f>151.28051185154*Deflactores!$Z$5</f>
        <v>160.05478153892935</v>
      </c>
      <c r="K166" s="42">
        <f>23.1355376576499*Deflactores!$AA$5</f>
        <v>23.135537657649898</v>
      </c>
    </row>
    <row r="167" spans="1:11" x14ac:dyDescent="0.2">
      <c r="C167" s="88" t="s">
        <v>162</v>
      </c>
      <c r="D167" s="50">
        <f>594.55489869763*Deflactores!$T$5</f>
        <v>922.70526277552631</v>
      </c>
      <c r="E167" s="50">
        <f>649.13393205216*Deflactores!$U$5</f>
        <v>991.44561453717893</v>
      </c>
      <c r="F167" s="50">
        <f>793.61082392095*Deflactores!$V$5</f>
        <v>1147.6144392335177</v>
      </c>
      <c r="G167" s="50">
        <f>1055.40100918281*Deflactores!$W$5</f>
        <v>1349.1695476623856</v>
      </c>
      <c r="H167" s="50">
        <f>1398.57561442789*Deflactores!$X$5</f>
        <v>1636.0414036097479</v>
      </c>
      <c r="I167" s="50">
        <f>939.01725892881*Deflactores!$Y$5</f>
        <v>1044.157887343667</v>
      </c>
      <c r="J167" s="50">
        <f>926.64872607443*Deflactores!$Z$5</f>
        <v>980.39435218674703</v>
      </c>
      <c r="K167" s="50">
        <f>126.761814398509*Deflactores!$AA$5</f>
        <v>126.761814398509</v>
      </c>
    </row>
    <row r="168" spans="1:11" x14ac:dyDescent="0.2">
      <c r="C168" s="87" t="s">
        <v>148</v>
      </c>
      <c r="D168" s="42">
        <f>93.17708820442*Deflactores!$T$5</f>
        <v>144.60395473091819</v>
      </c>
      <c r="E168" s="42">
        <f>141.71222660206*Deflactores!$U$5</f>
        <v>216.44218342852196</v>
      </c>
      <c r="F168" s="42">
        <f>181.1178384926*Deflactores!$V$5</f>
        <v>261.90853298842586</v>
      </c>
      <c r="G168" s="42">
        <f>221.057681067709*Deflactores!$W$5</f>
        <v>282.58859805747721</v>
      </c>
      <c r="H168" s="42">
        <f>213.284224419449*Deflactores!$X$5</f>
        <v>249.49800231555741</v>
      </c>
      <c r="I168" s="42">
        <f>194.44227124132*Deflactores!$Y$5</f>
        <v>216.21373752091301</v>
      </c>
      <c r="J168" s="42">
        <f>207.06352164687*Deflactores!$Z$5</f>
        <v>219.07320590238845</v>
      </c>
      <c r="K168" s="42">
        <f>54.48007448422*Deflactores!$AA$5</f>
        <v>54.480074484219998</v>
      </c>
    </row>
    <row r="169" spans="1:11" x14ac:dyDescent="0.2">
      <c r="C169" s="88" t="s">
        <v>149</v>
      </c>
      <c r="D169" s="50">
        <f>1004.37031894766*Deflactores!$T$5</f>
        <v>1558.7085079923738</v>
      </c>
      <c r="E169" s="50">
        <f>1194.63780418196*Deflactores!$U$5</f>
        <v>1824.6133092628986</v>
      </c>
      <c r="F169" s="50">
        <f>1257.11616873044*Deflactores!$V$5</f>
        <v>1817.874231983352</v>
      </c>
      <c r="G169" s="50">
        <f>1234.44921388694*Deflactores!$W$5</f>
        <v>1578.0554244510356</v>
      </c>
      <c r="H169" s="50">
        <f>1328.28218429712*Deflactores!$X$5</f>
        <v>1553.8127697702166</v>
      </c>
      <c r="I169" s="50">
        <f>2137.78646300826*Deflactores!$Y$5</f>
        <v>2377.1518314295699</v>
      </c>
      <c r="J169" s="50">
        <f>1285.2454993341*Deflactores!$Z$5</f>
        <v>1359.7897382954779</v>
      </c>
      <c r="K169" s="50">
        <f>369.351840934289*Deflactores!$AA$5</f>
        <v>369.35184093428899</v>
      </c>
    </row>
    <row r="170" spans="1:11" x14ac:dyDescent="0.2">
      <c r="C170" s="87" t="s">
        <v>163</v>
      </c>
      <c r="D170" s="42">
        <f>4733.85120384429*Deflactores!$T$5</f>
        <v>7346.5872176839539</v>
      </c>
      <c r="E170" s="42">
        <f>5078.67695705625*Deflactores!$U$5</f>
        <v>7756.8460807558677</v>
      </c>
      <c r="F170" s="42">
        <f>3652.14832260009*Deflactores!$V$5</f>
        <v>5281.2512416738637</v>
      </c>
      <c r="G170" s="42">
        <f>4037.78088057951*Deflactores!$W$5</f>
        <v>5161.6882652304521</v>
      </c>
      <c r="H170" s="42">
        <f>4567.96177882892*Deflactores!$X$5</f>
        <v>5343.5613514025499</v>
      </c>
      <c r="I170" s="42">
        <f>4746.41792700456*Deflactores!$Y$5</f>
        <v>5277.86860996015</v>
      </c>
      <c r="J170" s="42">
        <f>5387.55592614467*Deflactores!$Z$5</f>
        <v>5700.0341698610609</v>
      </c>
      <c r="K170" s="42">
        <f>1069.89909803969*Deflactores!$AA$5</f>
        <v>1069.89909803969</v>
      </c>
    </row>
    <row r="171" spans="1:11" x14ac:dyDescent="0.2">
      <c r="C171" s="88" t="s">
        <v>150</v>
      </c>
      <c r="D171" s="50">
        <f>5038.49892087087*Deflactores!$T$5</f>
        <v>7819.3779598151241</v>
      </c>
      <c r="E171" s="50">
        <f>5492.93610004022*Deflactores!$U$5</f>
        <v>8389.5589776074594</v>
      </c>
      <c r="F171" s="50">
        <f>8146.35015194508*Deflactores!$V$5</f>
        <v>11780.168288576111</v>
      </c>
      <c r="G171" s="50">
        <f>8091.18699645868*Deflactores!$W$5</f>
        <v>10343.3510154746</v>
      </c>
      <c r="H171" s="50">
        <f>8649.74279177608*Deflactores!$X$5</f>
        <v>10118.392736104919</v>
      </c>
      <c r="I171" s="50">
        <f>4813.86105525573*Deflactores!$Y$5</f>
        <v>5352.8632638293702</v>
      </c>
      <c r="J171" s="50">
        <f>4523.18247778714*Deflactores!$Z$5</f>
        <v>4785.527061498794</v>
      </c>
      <c r="K171" s="50">
        <f>1420.45042391549*Deflactores!$AA$5</f>
        <v>1420.4504239154901</v>
      </c>
    </row>
    <row r="172" spans="1:11" x14ac:dyDescent="0.2">
      <c r="C172" s="87" t="s">
        <v>151</v>
      </c>
      <c r="D172" s="42">
        <f>685.84522775402*Deflactores!$T$5</f>
        <v>1064.3811067478071</v>
      </c>
      <c r="E172" s="42">
        <f>985.833941105099*Deflactores!$U$5</f>
        <v>1505.6996550474835</v>
      </c>
      <c r="F172" s="42">
        <f>1911.53779086795*Deflactores!$V$5</f>
        <v>2764.2117569695733</v>
      </c>
      <c r="G172" s="42">
        <f>2030.07812997202*Deflactores!$W$5</f>
        <v>2595.1458909958587</v>
      </c>
      <c r="H172" s="42">
        <f>2057.80987600099*Deflactores!$X$5</f>
        <v>2407.2078214175417</v>
      </c>
      <c r="I172" s="42">
        <f>1613.20015703395*Deflactores!$Y$5</f>
        <v>1793.8282303272808</v>
      </c>
      <c r="J172" s="42">
        <f>1474.83024841859*Deflactores!$Z$5</f>
        <v>1560.3704028268683</v>
      </c>
      <c r="K172" s="42">
        <f>190.89289576289*Deflactores!$AA$5</f>
        <v>190.89289576288999</v>
      </c>
    </row>
    <row r="173" spans="1:11" x14ac:dyDescent="0.2">
      <c r="C173" s="79" t="s">
        <v>202</v>
      </c>
      <c r="D173" s="44">
        <f>+SUM(D142:D172)</f>
        <v>50084.871794475323</v>
      </c>
      <c r="E173" s="44">
        <f>+SUM(E142:E172)</f>
        <v>53960.970848328128</v>
      </c>
      <c r="F173" s="44">
        <f>+SUM(F142:F172)</f>
        <v>66327.622496626384</v>
      </c>
      <c r="G173" s="44">
        <f>+SUM(G142:G172)</f>
        <v>70167.009187187097</v>
      </c>
      <c r="H173" s="44">
        <f>+SUM(H142:H172)</f>
        <v>69479.225823924397</v>
      </c>
      <c r="I173" s="44">
        <f>SUM(I142:I172)</f>
        <v>57390.687914737711</v>
      </c>
      <c r="J173" s="44">
        <f>SUM(J142:J172)</f>
        <v>53079.65478469021</v>
      </c>
      <c r="K173" s="44">
        <f>SUM(K142:K172)</f>
        <v>14917.693690800206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abril</v>
      </c>
      <c r="D174" s="121">
        <f>+D173-'C5 Ejecución PGN 2019-2026'!D97</f>
        <v>0</v>
      </c>
      <c r="E174" s="121">
        <f>+E173-'C5 Ejecución PGN 2019-2026'!E97</f>
        <v>0</v>
      </c>
      <c r="F174" s="121">
        <f>+F173-'C5 Ejecución PGN 2019-2026'!F97</f>
        <v>-1.3096723705530167E-10</v>
      </c>
      <c r="G174" s="121">
        <f>+G173-'C5 Ejecución PGN 2019-2026'!G97</f>
        <v>0</v>
      </c>
      <c r="H174" s="121">
        <f>+H173-'C5 Ejecución PGN 2019-2026'!H97</f>
        <v>0</v>
      </c>
      <c r="I174" s="121">
        <f>+I173-'C5 Ejecución PGN 2019-2026'!I97</f>
        <v>0</v>
      </c>
      <c r="J174" s="121">
        <f>+J173-'C5 Ejecución PGN 2019-2026'!J97</f>
        <v>0</v>
      </c>
      <c r="K174" s="121">
        <f>+K173-'C5 Ejecución PGN 2019-2026'!K97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C179" s="9"/>
      <c r="D179" s="131" t="s">
        <v>206</v>
      </c>
      <c r="E179" s="131"/>
      <c r="F179" s="131"/>
      <c r="G179" s="131"/>
      <c r="H179" s="131"/>
      <c r="I179" s="131"/>
      <c r="J179" s="131"/>
      <c r="K179" s="131"/>
    </row>
    <row r="180" spans="3:11" ht="1.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76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10</v>
      </c>
    </row>
    <row r="183" spans="3:11" ht="12" customHeight="1" thickBot="1" x14ac:dyDescent="0.25">
      <c r="C183" s="160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6">+IFERROR(IF(D142&gt;0,+((D142/D15)*100)," "),"")</f>
        <v>57.431372590414107</v>
      </c>
      <c r="E184" s="47">
        <f t="shared" si="6"/>
        <v>76.284398595648099</v>
      </c>
      <c r="F184" s="47">
        <f t="shared" si="6"/>
        <v>75.118107358978065</v>
      </c>
      <c r="G184" s="47">
        <f t="shared" si="6"/>
        <v>67.198148558219927</v>
      </c>
      <c r="H184" s="47">
        <f t="shared" si="6"/>
        <v>73.903841020018476</v>
      </c>
      <c r="I184" s="47">
        <f t="shared" si="6"/>
        <v>32.57163229105857</v>
      </c>
      <c r="J184" s="47">
        <f t="shared" si="6"/>
        <v>52.938396990035663</v>
      </c>
      <c r="K184" s="47">
        <f t="shared" si="6"/>
        <v>10.313341747301626</v>
      </c>
    </row>
    <row r="185" spans="3:11" x14ac:dyDescent="0.2">
      <c r="C185" s="88" t="s">
        <v>124</v>
      </c>
      <c r="D185" s="116">
        <f t="shared" si="6"/>
        <v>82.291368447703519</v>
      </c>
      <c r="E185" s="116">
        <f t="shared" si="6"/>
        <v>67.556334217683329</v>
      </c>
      <c r="F185" s="116">
        <f t="shared" si="6"/>
        <v>53.531296437456568</v>
      </c>
      <c r="G185" s="116">
        <f t="shared" si="6"/>
        <v>49.242252013167878</v>
      </c>
      <c r="H185" s="116">
        <f t="shared" si="6"/>
        <v>34.081159202682954</v>
      </c>
      <c r="I185" s="116">
        <f t="shared" si="6"/>
        <v>37.229972798243438</v>
      </c>
      <c r="J185" s="116">
        <f t="shared" si="6"/>
        <v>67.072834870995834</v>
      </c>
      <c r="K185" s="116">
        <f t="shared" si="6"/>
        <v>8.8168069578126786</v>
      </c>
    </row>
    <row r="186" spans="3:11" x14ac:dyDescent="0.2">
      <c r="C186" s="87" t="s">
        <v>125</v>
      </c>
      <c r="D186" s="47">
        <f t="shared" si="6"/>
        <v>41.111096670724471</v>
      </c>
      <c r="E186" s="47">
        <f t="shared" si="6"/>
        <v>65.160817123109382</v>
      </c>
      <c r="F186" s="47">
        <f t="shared" si="6"/>
        <v>86.94970575387724</v>
      </c>
      <c r="G186" s="47">
        <f t="shared" si="6"/>
        <v>87.815453817001895</v>
      </c>
      <c r="H186" s="47">
        <f t="shared" si="6"/>
        <v>64.230697522473037</v>
      </c>
      <c r="I186" s="47">
        <f t="shared" si="6"/>
        <v>86.898577806600315</v>
      </c>
      <c r="J186" s="47">
        <f t="shared" si="6"/>
        <v>95.998861184967183</v>
      </c>
      <c r="K186" s="47">
        <f t="shared" si="6"/>
        <v>4.0003195525722051</v>
      </c>
    </row>
    <row r="187" spans="3:11" x14ac:dyDescent="0.2">
      <c r="C187" s="88" t="s">
        <v>126</v>
      </c>
      <c r="D187" s="116">
        <f t="shared" si="6"/>
        <v>75.337082284287078</v>
      </c>
      <c r="E187" s="116">
        <f t="shared" si="6"/>
        <v>63.026149206118795</v>
      </c>
      <c r="F187" s="116">
        <f t="shared" si="6"/>
        <v>51.534518715307328</v>
      </c>
      <c r="G187" s="116">
        <f t="shared" si="6"/>
        <v>62.642658974193097</v>
      </c>
      <c r="H187" s="116">
        <f t="shared" si="6"/>
        <v>52.606876032157921</v>
      </c>
      <c r="I187" s="116">
        <f t="shared" si="6"/>
        <v>54.760166323371493</v>
      </c>
      <c r="J187" s="116">
        <f t="shared" si="6"/>
        <v>78.594816852104515</v>
      </c>
      <c r="K187" s="116">
        <f t="shared" si="6"/>
        <v>20.452834659723603</v>
      </c>
    </row>
    <row r="188" spans="3:11" x14ac:dyDescent="0.2">
      <c r="C188" s="87" t="s">
        <v>127</v>
      </c>
      <c r="D188" s="47">
        <f t="shared" si="6"/>
        <v>62.435780128311002</v>
      </c>
      <c r="E188" s="47">
        <f t="shared" si="6"/>
        <v>80.104329979314855</v>
      </c>
      <c r="F188" s="47">
        <f t="shared" si="6"/>
        <v>88.640414545997615</v>
      </c>
      <c r="G188" s="47">
        <f t="shared" si="6"/>
        <v>65.681221621759306</v>
      </c>
      <c r="H188" s="47">
        <f t="shared" si="6"/>
        <v>63.80910053912725</v>
      </c>
      <c r="I188" s="47">
        <f t="shared" si="6"/>
        <v>56.508224192817494</v>
      </c>
      <c r="J188" s="47">
        <f t="shared" si="6"/>
        <v>71.948912043500002</v>
      </c>
      <c r="K188" s="47">
        <f t="shared" si="6"/>
        <v>24.417904304979999</v>
      </c>
    </row>
    <row r="189" spans="3:11" x14ac:dyDescent="0.2">
      <c r="C189" s="88" t="s">
        <v>128</v>
      </c>
      <c r="D189" s="116">
        <f t="shared" si="6"/>
        <v>90.848894623430382</v>
      </c>
      <c r="E189" s="116">
        <f t="shared" si="6"/>
        <v>92.025774575038682</v>
      </c>
      <c r="F189" s="116">
        <f t="shared" si="6"/>
        <v>78.252098690669072</v>
      </c>
      <c r="G189" s="116">
        <f t="shared" si="6"/>
        <v>71.026731229345046</v>
      </c>
      <c r="H189" s="116">
        <f t="shared" si="6"/>
        <v>65.672370923946829</v>
      </c>
      <c r="I189" s="116">
        <f t="shared" si="6"/>
        <v>54.801893244960631</v>
      </c>
      <c r="J189" s="116">
        <f t="shared" si="6"/>
        <v>55.017391218460155</v>
      </c>
      <c r="K189" s="116">
        <f t="shared" si="6"/>
        <v>12.399344546274005</v>
      </c>
    </row>
    <row r="190" spans="3:11" x14ac:dyDescent="0.2">
      <c r="C190" s="87" t="s">
        <v>129</v>
      </c>
      <c r="D190" s="47">
        <f t="shared" si="6"/>
        <v>63.878212513751663</v>
      </c>
      <c r="E190" s="47">
        <f t="shared" si="6"/>
        <v>74.642310633267456</v>
      </c>
      <c r="F190" s="47">
        <f t="shared" si="6"/>
        <v>70.830973113947309</v>
      </c>
      <c r="G190" s="47">
        <f t="shared" si="6"/>
        <v>64.654082970108036</v>
      </c>
      <c r="H190" s="47">
        <f t="shared" si="6"/>
        <v>67.769346948802834</v>
      </c>
      <c r="I190" s="47">
        <f t="shared" si="6"/>
        <v>35.975656001795478</v>
      </c>
      <c r="J190" s="47">
        <f t="shared" si="6"/>
        <v>41.008196997553121</v>
      </c>
      <c r="K190" s="47">
        <f t="shared" si="6"/>
        <v>8.3124603096018177</v>
      </c>
    </row>
    <row r="191" spans="3:11" x14ac:dyDescent="0.2">
      <c r="C191" s="88" t="s">
        <v>130</v>
      </c>
      <c r="D191" s="116">
        <f t="shared" si="6"/>
        <v>49.849446931551725</v>
      </c>
      <c r="E191" s="116">
        <f t="shared" si="6"/>
        <v>48.345347668945422</v>
      </c>
      <c r="F191" s="116">
        <f t="shared" si="6"/>
        <v>87.375443519254887</v>
      </c>
      <c r="G191" s="116">
        <f t="shared" si="6"/>
        <v>60.033506326257047</v>
      </c>
      <c r="H191" s="116">
        <f t="shared" si="6"/>
        <v>57.507935874152295</v>
      </c>
      <c r="I191" s="116">
        <f t="shared" si="6"/>
        <v>32.31799046689293</v>
      </c>
      <c r="J191" s="116">
        <f t="shared" si="6"/>
        <v>64.744425410607505</v>
      </c>
      <c r="K191" s="116">
        <f t="shared" si="6"/>
        <v>28.340551361798472</v>
      </c>
    </row>
    <row r="192" spans="3:11" x14ac:dyDescent="0.2">
      <c r="C192" s="87" t="s">
        <v>131</v>
      </c>
      <c r="D192" s="47">
        <f t="shared" si="6"/>
        <v>96.663263337636167</v>
      </c>
      <c r="E192" s="47">
        <f t="shared" si="6"/>
        <v>99.041787861263614</v>
      </c>
      <c r="F192" s="47">
        <f t="shared" si="6"/>
        <v>99.261022389831297</v>
      </c>
      <c r="G192" s="47">
        <f t="shared" si="6"/>
        <v>98.731888657950122</v>
      </c>
      <c r="H192" s="47">
        <f t="shared" si="6"/>
        <v>91.170794347382099</v>
      </c>
      <c r="I192" s="47">
        <f t="shared" si="6"/>
        <v>71.142941183111859</v>
      </c>
      <c r="J192" s="47">
        <f t="shared" si="6"/>
        <v>90.305850988807322</v>
      </c>
      <c r="K192" s="47">
        <f t="shared" si="6"/>
        <v>24.420762946302819</v>
      </c>
    </row>
    <row r="193" spans="3:11" x14ac:dyDescent="0.2">
      <c r="C193" s="88" t="s">
        <v>132</v>
      </c>
      <c r="D193" s="116">
        <f t="shared" si="6"/>
        <v>84.496681502113475</v>
      </c>
      <c r="E193" s="116">
        <f t="shared" si="6"/>
        <v>64.730659099273907</v>
      </c>
      <c r="F193" s="116">
        <f t="shared" si="6"/>
        <v>61.079860371230566</v>
      </c>
      <c r="G193" s="116">
        <f t="shared" si="6"/>
        <v>62.039458157618689</v>
      </c>
      <c r="H193" s="116">
        <f t="shared" si="6"/>
        <v>62.767599274308672</v>
      </c>
      <c r="I193" s="116">
        <f t="shared" si="6"/>
        <v>84.386937973923864</v>
      </c>
      <c r="J193" s="116">
        <f t="shared" si="6"/>
        <v>81.879746350842481</v>
      </c>
      <c r="K193" s="116">
        <f t="shared" si="6"/>
        <v>13.018936372824996</v>
      </c>
    </row>
    <row r="194" spans="3:11" x14ac:dyDescent="0.2">
      <c r="C194" s="87" t="s">
        <v>133</v>
      </c>
      <c r="D194" s="47">
        <f t="shared" ref="D194:K203" si="7">+IFERROR(IF(D152&gt;0,+((D152/D25)*100)," "),"")</f>
        <v>69.566317122186319</v>
      </c>
      <c r="E194" s="47">
        <f t="shared" si="7"/>
        <v>68.650346066257214</v>
      </c>
      <c r="F194" s="47">
        <f t="shared" si="7"/>
        <v>84.830941038703713</v>
      </c>
      <c r="G194" s="47">
        <f t="shared" si="7"/>
        <v>80.209044176423134</v>
      </c>
      <c r="H194" s="47">
        <f t="shared" si="7"/>
        <v>72.220671800627642</v>
      </c>
      <c r="I194" s="47">
        <f t="shared" si="7"/>
        <v>69.364828294227237</v>
      </c>
      <c r="J194" s="47">
        <f t="shared" si="7"/>
        <v>60.912266365516011</v>
      </c>
      <c r="K194" s="47">
        <f t="shared" si="7"/>
        <v>2.0555514176912997</v>
      </c>
    </row>
    <row r="195" spans="3:11" x14ac:dyDescent="0.2">
      <c r="C195" s="88" t="s">
        <v>134</v>
      </c>
      <c r="D195" s="116">
        <f t="shared" si="7"/>
        <v>29.487565034724568</v>
      </c>
      <c r="E195" s="116">
        <f t="shared" si="7"/>
        <v>30.427127660737618</v>
      </c>
      <c r="F195" s="116">
        <f t="shared" si="7"/>
        <v>35.725786409005231</v>
      </c>
      <c r="G195" s="116">
        <f t="shared" si="7"/>
        <v>39.386393758129302</v>
      </c>
      <c r="H195" s="116">
        <f t="shared" si="7"/>
        <v>22.84157006096417</v>
      </c>
      <c r="I195" s="116">
        <f t="shared" si="7"/>
        <v>30.688218328781826</v>
      </c>
      <c r="J195" s="116">
        <f t="shared" si="7"/>
        <v>24.927805532937512</v>
      </c>
      <c r="K195" s="116">
        <f t="shared" si="7"/>
        <v>12.099229941285852</v>
      </c>
    </row>
    <row r="196" spans="3:11" x14ac:dyDescent="0.2">
      <c r="C196" s="87" t="s">
        <v>135</v>
      </c>
      <c r="D196" s="47" t="str">
        <f t="shared" si="7"/>
        <v xml:space="preserve"> </v>
      </c>
      <c r="E196" s="47" t="str">
        <f t="shared" si="7"/>
        <v xml:space="preserve"> </v>
      </c>
      <c r="F196" s="47" t="str">
        <f t="shared" si="7"/>
        <v xml:space="preserve"> </v>
      </c>
      <c r="G196" s="47" t="str">
        <f t="shared" si="7"/>
        <v xml:space="preserve"> </v>
      </c>
      <c r="H196" s="47" t="str">
        <f t="shared" si="7"/>
        <v/>
      </c>
      <c r="I196" s="47">
        <f t="shared" si="7"/>
        <v>90.684378150447642</v>
      </c>
      <c r="J196" s="47">
        <f t="shared" si="7"/>
        <v>94.058772324455489</v>
      </c>
      <c r="K196" s="47">
        <f t="shared" si="7"/>
        <v>28.135711492840755</v>
      </c>
    </row>
    <row r="197" spans="3:11" x14ac:dyDescent="0.2">
      <c r="C197" s="88" t="s">
        <v>136</v>
      </c>
      <c r="D197" s="116">
        <f t="shared" si="7"/>
        <v>88.464719995402291</v>
      </c>
      <c r="E197" s="116">
        <f t="shared" si="7"/>
        <v>95.50885099586111</v>
      </c>
      <c r="F197" s="116">
        <f t="shared" si="7"/>
        <v>88.811625791138283</v>
      </c>
      <c r="G197" s="116">
        <f t="shared" si="7"/>
        <v>96.305237357954653</v>
      </c>
      <c r="H197" s="116">
        <f t="shared" si="7"/>
        <v>48.70748707470775</v>
      </c>
      <c r="I197" s="116">
        <f t="shared" si="7"/>
        <v>76.931328695328872</v>
      </c>
      <c r="J197" s="116">
        <f t="shared" si="7"/>
        <v>77.34112430594125</v>
      </c>
      <c r="K197" s="116">
        <f t="shared" si="7"/>
        <v>23.813595237966251</v>
      </c>
    </row>
    <row r="198" spans="3:11" x14ac:dyDescent="0.2">
      <c r="C198" s="87" t="s">
        <v>137</v>
      </c>
      <c r="D198" s="47">
        <f t="shared" si="7"/>
        <v>80.39095214514748</v>
      </c>
      <c r="E198" s="47">
        <f t="shared" si="7"/>
        <v>82.485597231494495</v>
      </c>
      <c r="F198" s="47">
        <f t="shared" si="7"/>
        <v>56.884390956784912</v>
      </c>
      <c r="G198" s="47">
        <f t="shared" si="7"/>
        <v>47.191737196700231</v>
      </c>
      <c r="H198" s="47">
        <f t="shared" si="7"/>
        <v>44.095920212987238</v>
      </c>
      <c r="I198" s="47">
        <f t="shared" si="7"/>
        <v>54.930467780833567</v>
      </c>
      <c r="J198" s="47">
        <f t="shared" si="7"/>
        <v>62.933143343731622</v>
      </c>
      <c r="K198" s="47">
        <f t="shared" si="7"/>
        <v>16.501017933094758</v>
      </c>
    </row>
    <row r="199" spans="3:11" x14ac:dyDescent="0.2">
      <c r="C199" s="88" t="s">
        <v>138</v>
      </c>
      <c r="D199" s="116">
        <f t="shared" si="7"/>
        <v>65.780091142444832</v>
      </c>
      <c r="E199" s="116">
        <f t="shared" si="7"/>
        <v>96.787518520749074</v>
      </c>
      <c r="F199" s="116">
        <f t="shared" si="7"/>
        <v>95.896709671133408</v>
      </c>
      <c r="G199" s="116">
        <f t="shared" si="7"/>
        <v>86.521347843125</v>
      </c>
      <c r="H199" s="116">
        <f t="shared" si="7"/>
        <v>74.404912973551731</v>
      </c>
      <c r="I199" s="116">
        <f t="shared" si="7"/>
        <v>40.323998133990543</v>
      </c>
      <c r="J199" s="116">
        <f t="shared" si="7"/>
        <v>43.415105868937651</v>
      </c>
      <c r="K199" s="116">
        <f t="shared" si="7"/>
        <v>18.794365600383578</v>
      </c>
    </row>
    <row r="200" spans="3:11" x14ac:dyDescent="0.2">
      <c r="C200" s="87" t="s">
        <v>160</v>
      </c>
      <c r="D200" s="47">
        <f t="shared" si="7"/>
        <v>56.835727192817345</v>
      </c>
      <c r="E200" s="47">
        <f t="shared" si="7"/>
        <v>84.205955597966437</v>
      </c>
      <c r="F200" s="47">
        <f t="shared" si="7"/>
        <v>84.958584080910072</v>
      </c>
      <c r="G200" s="47">
        <f t="shared" si="7"/>
        <v>67.476115445292876</v>
      </c>
      <c r="H200" s="47">
        <f t="shared" si="7"/>
        <v>48.773059638985991</v>
      </c>
      <c r="I200" s="47">
        <f t="shared" si="7"/>
        <v>38.684416503186156</v>
      </c>
      <c r="J200" s="47">
        <f t="shared" si="7"/>
        <v>52.632883078099013</v>
      </c>
      <c r="K200" s="47">
        <f t="shared" si="7"/>
        <v>4.4875029934203541</v>
      </c>
    </row>
    <row r="201" spans="3:11" x14ac:dyDescent="0.2">
      <c r="C201" s="88" t="s">
        <v>161</v>
      </c>
      <c r="D201" s="116">
        <f t="shared" si="7"/>
        <v>23.95395443981274</v>
      </c>
      <c r="E201" s="116">
        <f t="shared" si="7"/>
        <v>26.964685584205881</v>
      </c>
      <c r="F201" s="116">
        <f t="shared" si="7"/>
        <v>21.557945321558662</v>
      </c>
      <c r="G201" s="116">
        <f t="shared" si="7"/>
        <v>21.769044765247195</v>
      </c>
      <c r="H201" s="116">
        <f t="shared" si="7"/>
        <v>46.936211035928935</v>
      </c>
      <c r="I201" s="116">
        <f t="shared" si="7"/>
        <v>39.732257624640965</v>
      </c>
      <c r="J201" s="116">
        <f t="shared" si="7"/>
        <v>46.016069840398622</v>
      </c>
      <c r="K201" s="116">
        <f t="shared" si="7"/>
        <v>6.9960359896827198</v>
      </c>
    </row>
    <row r="202" spans="3:11" x14ac:dyDescent="0.2">
      <c r="C202" s="87" t="s">
        <v>140</v>
      </c>
      <c r="D202" s="47">
        <f t="shared" si="7"/>
        <v>82.64311078722794</v>
      </c>
      <c r="E202" s="47">
        <f t="shared" si="7"/>
        <v>86.78658504317626</v>
      </c>
      <c r="F202" s="47">
        <f t="shared" si="7"/>
        <v>89.591003981771848</v>
      </c>
      <c r="G202" s="47">
        <f t="shared" si="7"/>
        <v>82.164023117624382</v>
      </c>
      <c r="H202" s="47">
        <f t="shared" si="7"/>
        <v>85.617913680295914</v>
      </c>
      <c r="I202" s="47">
        <f t="shared" si="7"/>
        <v>59.30832378746026</v>
      </c>
      <c r="J202" s="47">
        <f t="shared" si="7"/>
        <v>67.282376840147137</v>
      </c>
      <c r="K202" s="47">
        <f t="shared" si="7"/>
        <v>24.77597250986706</v>
      </c>
    </row>
    <row r="203" spans="3:11" x14ac:dyDescent="0.2">
      <c r="C203" s="88" t="s">
        <v>141</v>
      </c>
      <c r="D203" s="116">
        <f t="shared" si="7"/>
        <v>55.034902967913709</v>
      </c>
      <c r="E203" s="116">
        <f t="shared" si="7"/>
        <v>64.088217125479815</v>
      </c>
      <c r="F203" s="116">
        <f t="shared" si="7"/>
        <v>42.864468040514325</v>
      </c>
      <c r="G203" s="116">
        <f t="shared" si="7"/>
        <v>39.606988049768241</v>
      </c>
      <c r="H203" s="116">
        <f t="shared" si="7"/>
        <v>52.376949216519954</v>
      </c>
      <c r="I203" s="116">
        <f t="shared" si="7"/>
        <v>66.947135447977786</v>
      </c>
      <c r="J203" s="116">
        <f t="shared" si="7"/>
        <v>60.797072904315577</v>
      </c>
      <c r="K203" s="116">
        <f t="shared" si="7"/>
        <v>7.8327939016264239</v>
      </c>
    </row>
    <row r="204" spans="3:11" x14ac:dyDescent="0.2">
      <c r="C204" s="87" t="s">
        <v>142</v>
      </c>
      <c r="D204" s="47">
        <f t="shared" ref="D204:K213" si="8">+IFERROR(IF(D162&gt;0,+((D162/D35)*100)," "),"")</f>
        <v>53.622125539248785</v>
      </c>
      <c r="E204" s="47">
        <f t="shared" si="8"/>
        <v>64.487360109499164</v>
      </c>
      <c r="F204" s="47">
        <f t="shared" si="8"/>
        <v>67.297873160255207</v>
      </c>
      <c r="G204" s="47">
        <f t="shared" si="8"/>
        <v>23.864727772621404</v>
      </c>
      <c r="H204" s="47">
        <f t="shared" si="8"/>
        <v>27.178410878568194</v>
      </c>
      <c r="I204" s="47">
        <f t="shared" si="8"/>
        <v>39.450341039905481</v>
      </c>
      <c r="J204" s="47">
        <f t="shared" si="8"/>
        <v>40.345596565376098</v>
      </c>
      <c r="K204" s="47">
        <f t="shared" si="8"/>
        <v>5.6445295461893075</v>
      </c>
    </row>
    <row r="205" spans="3:11" x14ac:dyDescent="0.2">
      <c r="C205" s="88" t="s">
        <v>143</v>
      </c>
      <c r="D205" s="116">
        <f t="shared" si="8"/>
        <v>36.207993401572487</v>
      </c>
      <c r="E205" s="116">
        <f t="shared" si="8"/>
        <v>14.537634251059389</v>
      </c>
      <c r="F205" s="116">
        <f t="shared" si="8"/>
        <v>15.398422647813675</v>
      </c>
      <c r="G205" s="116">
        <f t="shared" si="8"/>
        <v>21.123524925808823</v>
      </c>
      <c r="H205" s="116">
        <f t="shared" si="8"/>
        <v>6.7167675801642073</v>
      </c>
      <c r="I205" s="116">
        <f t="shared" si="8"/>
        <v>12.103505724695998</v>
      </c>
      <c r="J205" s="116">
        <f t="shared" si="8"/>
        <v>68.649408582188343</v>
      </c>
      <c r="K205" s="116">
        <f t="shared" si="8"/>
        <v>8.0609023642385988</v>
      </c>
    </row>
    <row r="206" spans="3:11" x14ac:dyDescent="0.2">
      <c r="C206" s="87" t="s">
        <v>144</v>
      </c>
      <c r="D206" s="47">
        <f t="shared" si="8"/>
        <v>46.132177133745436</v>
      </c>
      <c r="E206" s="47">
        <f t="shared" si="8"/>
        <v>48.003168124169157</v>
      </c>
      <c r="F206" s="47">
        <f t="shared" si="8"/>
        <v>29.449286348009007</v>
      </c>
      <c r="G206" s="47">
        <f t="shared" si="8"/>
        <v>35.088937628773998</v>
      </c>
      <c r="H206" s="47">
        <f t="shared" si="8"/>
        <v>43.654138363297733</v>
      </c>
      <c r="I206" s="47">
        <f t="shared" si="8"/>
        <v>24.568764552564804</v>
      </c>
      <c r="J206" s="47">
        <f t="shared" si="8"/>
        <v>38.304058927837083</v>
      </c>
      <c r="K206" s="47">
        <f t="shared" si="8"/>
        <v>1.7232837365134233</v>
      </c>
    </row>
    <row r="207" spans="3:11" x14ac:dyDescent="0.2">
      <c r="C207" s="88" t="s">
        <v>145</v>
      </c>
      <c r="D207" s="116">
        <f t="shared" si="8"/>
        <v>84.02895560605802</v>
      </c>
      <c r="E207" s="116">
        <f t="shared" si="8"/>
        <v>73.428862847641469</v>
      </c>
      <c r="F207" s="116">
        <f t="shared" si="8"/>
        <v>63.853708539252438</v>
      </c>
      <c r="G207" s="116">
        <f t="shared" si="8"/>
        <v>71.640386846885747</v>
      </c>
      <c r="H207" s="116">
        <f t="shared" si="8"/>
        <v>57.178658497823555</v>
      </c>
      <c r="I207" s="116">
        <f t="shared" si="8"/>
        <v>50.709704078255655</v>
      </c>
      <c r="J207" s="116">
        <f t="shared" si="8"/>
        <v>73.092546249040737</v>
      </c>
      <c r="K207" s="116">
        <f t="shared" si="8"/>
        <v>5.3140957876337911</v>
      </c>
    </row>
    <row r="208" spans="3:11" x14ac:dyDescent="0.2">
      <c r="C208" s="87" t="s">
        <v>146</v>
      </c>
      <c r="D208" s="47">
        <f t="shared" si="8"/>
        <v>89.080061468378901</v>
      </c>
      <c r="E208" s="47">
        <f t="shared" si="8"/>
        <v>88.582648378395461</v>
      </c>
      <c r="F208" s="47">
        <f t="shared" si="8"/>
        <v>75.400129826099516</v>
      </c>
      <c r="G208" s="47">
        <f t="shared" si="8"/>
        <v>62.767736682593224</v>
      </c>
      <c r="H208" s="47">
        <f t="shared" si="8"/>
        <v>70.975732738840023</v>
      </c>
      <c r="I208" s="47">
        <f t="shared" si="8"/>
        <v>77.863707166309311</v>
      </c>
      <c r="J208" s="47">
        <f t="shared" si="8"/>
        <v>80.493853725790046</v>
      </c>
      <c r="K208" s="47">
        <f t="shared" si="8"/>
        <v>11.504896777623239</v>
      </c>
    </row>
    <row r="209" spans="1:11" x14ac:dyDescent="0.2">
      <c r="C209" s="88" t="s">
        <v>162</v>
      </c>
      <c r="D209" s="116">
        <f t="shared" si="8"/>
        <v>90.700976987474988</v>
      </c>
      <c r="E209" s="116">
        <f t="shared" si="8"/>
        <v>91.793899376859756</v>
      </c>
      <c r="F209" s="116">
        <f t="shared" si="8"/>
        <v>90.209008977301735</v>
      </c>
      <c r="G209" s="116">
        <f t="shared" si="8"/>
        <v>89.22057575224197</v>
      </c>
      <c r="H209" s="116">
        <f t="shared" si="8"/>
        <v>65.805723090582362</v>
      </c>
      <c r="I209" s="116">
        <f t="shared" si="8"/>
        <v>45.657613156298602</v>
      </c>
      <c r="J209" s="116">
        <f t="shared" si="8"/>
        <v>43.578769739840176</v>
      </c>
      <c r="K209" s="116">
        <f t="shared" si="8"/>
        <v>4.1774638915822848</v>
      </c>
    </row>
    <row r="210" spans="1:11" x14ac:dyDescent="0.2">
      <c r="C210" s="87" t="s">
        <v>148</v>
      </c>
      <c r="D210" s="47">
        <f t="shared" si="8"/>
        <v>61.866202437315046</v>
      </c>
      <c r="E210" s="47">
        <f t="shared" si="8"/>
        <v>79.625252443993361</v>
      </c>
      <c r="F210" s="47">
        <f t="shared" si="8"/>
        <v>84.546406859085337</v>
      </c>
      <c r="G210" s="47">
        <f t="shared" si="8"/>
        <v>86.660191564308192</v>
      </c>
      <c r="H210" s="47">
        <f t="shared" si="8"/>
        <v>85.634371030818386</v>
      </c>
      <c r="I210" s="47">
        <f t="shared" si="8"/>
        <v>76.470991278651852</v>
      </c>
      <c r="J210" s="47">
        <f t="shared" si="8"/>
        <v>78.260160187165084</v>
      </c>
      <c r="K210" s="47">
        <f t="shared" si="8"/>
        <v>20.497081496775284</v>
      </c>
    </row>
    <row r="211" spans="1:11" x14ac:dyDescent="0.2">
      <c r="C211" s="88" t="s">
        <v>149</v>
      </c>
      <c r="D211" s="116">
        <f t="shared" si="8"/>
        <v>87.997075966332787</v>
      </c>
      <c r="E211" s="116">
        <f t="shared" si="8"/>
        <v>94.15617240372427</v>
      </c>
      <c r="F211" s="116">
        <f t="shared" si="8"/>
        <v>78.243377529836678</v>
      </c>
      <c r="G211" s="116">
        <f t="shared" si="8"/>
        <v>78.848773074036174</v>
      </c>
      <c r="H211" s="116">
        <f t="shared" si="8"/>
        <v>88.830506488322229</v>
      </c>
      <c r="I211" s="116">
        <f t="shared" si="8"/>
        <v>65.575614728830246</v>
      </c>
      <c r="J211" s="116">
        <f t="shared" si="8"/>
        <v>67.665759847638242</v>
      </c>
      <c r="K211" s="116">
        <f t="shared" si="8"/>
        <v>21.6266956971442</v>
      </c>
    </row>
    <row r="212" spans="1:11" x14ac:dyDescent="0.2">
      <c r="C212" s="87" t="s">
        <v>163</v>
      </c>
      <c r="D212" s="47">
        <f t="shared" si="8"/>
        <v>91.409979350322232</v>
      </c>
      <c r="E212" s="47">
        <f t="shared" si="8"/>
        <v>87.407792009136614</v>
      </c>
      <c r="F212" s="47">
        <f t="shared" si="8"/>
        <v>88.081481723598714</v>
      </c>
      <c r="G212" s="47">
        <f t="shared" si="8"/>
        <v>93.196101665282498</v>
      </c>
      <c r="H212" s="47">
        <f t="shared" si="8"/>
        <v>89.209237439380857</v>
      </c>
      <c r="I212" s="47">
        <f t="shared" si="8"/>
        <v>83.808731329403813</v>
      </c>
      <c r="J212" s="47">
        <f t="shared" si="8"/>
        <v>81.113203569073363</v>
      </c>
      <c r="K212" s="47">
        <f t="shared" si="8"/>
        <v>15.775182789387404</v>
      </c>
    </row>
    <row r="213" spans="1:11" x14ac:dyDescent="0.2">
      <c r="C213" s="88" t="s">
        <v>150</v>
      </c>
      <c r="D213" s="116">
        <f t="shared" si="8"/>
        <v>75.696460100733006</v>
      </c>
      <c r="E213" s="116">
        <f t="shared" si="8"/>
        <v>78.262535191860053</v>
      </c>
      <c r="F213" s="116">
        <f t="shared" si="8"/>
        <v>78.649530328753983</v>
      </c>
      <c r="G213" s="116">
        <f t="shared" si="8"/>
        <v>72.033558629078016</v>
      </c>
      <c r="H213" s="116">
        <f t="shared" si="8"/>
        <v>76.520395228262856</v>
      </c>
      <c r="I213" s="116">
        <f t="shared" si="8"/>
        <v>37.6773798980986</v>
      </c>
      <c r="J213" s="116">
        <f t="shared" si="8"/>
        <v>37.284219145040154</v>
      </c>
      <c r="K213" s="116">
        <f t="shared" si="8"/>
        <v>9.1315604862269648</v>
      </c>
    </row>
    <row r="214" spans="1:11" x14ac:dyDescent="0.2">
      <c r="C214" s="87" t="s">
        <v>151</v>
      </c>
      <c r="D214" s="47">
        <f t="shared" ref="D214:K215" si="9">+IFERROR(IF(D172&gt;0,+((D172/D45)*100)," "),"")</f>
        <v>35.049078283909395</v>
      </c>
      <c r="E214" s="47">
        <f t="shared" si="9"/>
        <v>49.391158648910718</v>
      </c>
      <c r="F214" s="47">
        <f t="shared" si="9"/>
        <v>59.120324785235127</v>
      </c>
      <c r="G214" s="47">
        <f t="shared" si="9"/>
        <v>64.134454219274943</v>
      </c>
      <c r="H214" s="47">
        <f t="shared" si="9"/>
        <v>41.086929110770178</v>
      </c>
      <c r="I214" s="47">
        <f t="shared" si="9"/>
        <v>30.058288663373833</v>
      </c>
      <c r="J214" s="47">
        <f t="shared" si="9"/>
        <v>36.856670566275533</v>
      </c>
      <c r="K214" s="47">
        <f t="shared" si="9"/>
        <v>7.4039687553996174</v>
      </c>
    </row>
    <row r="215" spans="1:11" x14ac:dyDescent="0.2">
      <c r="C215" s="91" t="s">
        <v>202</v>
      </c>
      <c r="D215" s="64">
        <f t="shared" si="9"/>
        <v>77.211463425633639</v>
      </c>
      <c r="E215" s="64">
        <f t="shared" si="9"/>
        <v>80.728665056895025</v>
      </c>
      <c r="F215" s="64">
        <f t="shared" si="9"/>
        <v>76.995510073232225</v>
      </c>
      <c r="G215" s="64">
        <f t="shared" si="9"/>
        <v>78.770144821133826</v>
      </c>
      <c r="H215" s="64">
        <f t="shared" si="9"/>
        <v>71.268748001502985</v>
      </c>
      <c r="I215" s="64">
        <f t="shared" si="9"/>
        <v>56.965136486340874</v>
      </c>
      <c r="J215" s="64">
        <f t="shared" si="9"/>
        <v>64.22181795091447</v>
      </c>
      <c r="K215" s="64">
        <f t="shared" si="9"/>
        <v>16.675599151935689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abril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C221" s="9"/>
      <c r="D221" s="131" t="s">
        <v>207</v>
      </c>
      <c r="E221" s="131"/>
      <c r="F221" s="131"/>
      <c r="G221" s="131"/>
      <c r="H221" s="131"/>
      <c r="I221" s="131"/>
      <c r="J221" s="131"/>
      <c r="K221" s="131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6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10</v>
      </c>
    </row>
    <row r="224" spans="1:11" ht="12" customHeight="1" thickBot="1" x14ac:dyDescent="0.25">
      <c r="C224" s="160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870.899372097949*Deflactores!$T$5</f>
        <v>1351.5714625225105</v>
      </c>
      <c r="E225" s="42">
        <f>854.99585787813*Deflactores!$U$5</f>
        <v>1305.8659421190309</v>
      </c>
      <c r="F225" s="42">
        <f>1319.99384408719*Deflactores!$V$5</f>
        <v>1908.7995646146915</v>
      </c>
      <c r="G225" s="42">
        <f>1216.69333105053*Deflactores!$W$5</f>
        <v>1555.3572308674475</v>
      </c>
      <c r="H225" s="42">
        <f>3262.92800712956*Deflactores!$X$5</f>
        <v>3816.9443693936523</v>
      </c>
      <c r="I225" s="42">
        <f>2206.05256963647*Deflactores!$Y$5</f>
        <v>2453.0616115707812</v>
      </c>
      <c r="J225" s="42">
        <f>2212.28815895224*Deflactores!$Z$5</f>
        <v>2340.6008721714697</v>
      </c>
      <c r="K225" s="42">
        <f>310.151290726159*Deflactores!$AA$5</f>
        <v>310.151290726159</v>
      </c>
    </row>
    <row r="226" spans="3:11" x14ac:dyDescent="0.2">
      <c r="C226" s="88" t="s">
        <v>124</v>
      </c>
      <c r="D226" s="50">
        <f>245.47944673166*Deflactores!$T$5</f>
        <v>380.96595940708886</v>
      </c>
      <c r="E226" s="50">
        <f>250.91034662321*Deflactores!$U$5</f>
        <v>383.22440180433517</v>
      </c>
      <c r="F226" s="50">
        <f>398.08688807036*Deflactores!$V$5</f>
        <v>575.66031995625633</v>
      </c>
      <c r="G226" s="50">
        <f>445.319226332289*Deflactores!$W$5</f>
        <v>569.27284883051425</v>
      </c>
      <c r="H226" s="50">
        <f>500.0834862054*Deflactores!$X$5</f>
        <v>584.99324616654292</v>
      </c>
      <c r="I226" s="50">
        <f>526.08695068756*Deflactores!$Y$5</f>
        <v>584.99227119172713</v>
      </c>
      <c r="J226" s="50">
        <f>649.899812294939*Deflactores!$Z$5</f>
        <v>687.59400140804553</v>
      </c>
      <c r="K226" s="50">
        <f>98.14399953161*Deflactores!$AA$5</f>
        <v>98.143999531610007</v>
      </c>
    </row>
    <row r="227" spans="3:11" x14ac:dyDescent="0.2">
      <c r="C227" s="87" t="s">
        <v>125</v>
      </c>
      <c r="D227" s="42">
        <f>127.44265654972*Deflactores!$T$5</f>
        <v>197.78158443922561</v>
      </c>
      <c r="E227" s="42">
        <f>159.44373548996*Deflactores!$U$5</f>
        <v>243.52415504947686</v>
      </c>
      <c r="F227" s="42">
        <f>334.840820390469*Deflactores!$V$5</f>
        <v>484.20226733597991</v>
      </c>
      <c r="G227" s="42">
        <f>265.99201824601*Deflactores!$W$5</f>
        <v>340.03030868488906</v>
      </c>
      <c r="H227" s="42">
        <f>293.92692347326*Deflactores!$X$5</f>
        <v>343.83311955185036</v>
      </c>
      <c r="I227" s="42">
        <f>300.61243224908*Deflactores!$Y$5</f>
        <v>334.27164323317021</v>
      </c>
      <c r="J227" s="42">
        <f>234.79407262684*Deflactores!$Z$5</f>
        <v>248.41212883919673</v>
      </c>
      <c r="K227" s="42">
        <f>13.943797681*Deflactores!$AA$5</f>
        <v>13.943797680999999</v>
      </c>
    </row>
    <row r="228" spans="3:11" x14ac:dyDescent="0.2">
      <c r="C228" s="88" t="s">
        <v>126</v>
      </c>
      <c r="D228" s="50">
        <f>253.90118740172*Deflactores!$T$5</f>
        <v>394.03587852644506</v>
      </c>
      <c r="E228" s="50">
        <f>237.33553989448*Deflactores!$U$5</f>
        <v>362.49111097659937</v>
      </c>
      <c r="F228" s="50">
        <f>252.32579918136*Deflactores!$V$5</f>
        <v>364.88001650606196</v>
      </c>
      <c r="G228" s="50">
        <f>304.09910319849*Deflactores!$W$5</f>
        <v>388.74441651758696</v>
      </c>
      <c r="H228" s="50">
        <f>335.473007943*Deflactores!$X$5</f>
        <v>392.43336229107996</v>
      </c>
      <c r="I228" s="50">
        <f>166.97769397893*Deflactores!$Y$5</f>
        <v>185.67398471189873</v>
      </c>
      <c r="J228" s="50">
        <f>302.4773270746*Deflactores!$Z$5</f>
        <v>320.02101204492681</v>
      </c>
      <c r="K228" s="50">
        <f>68.10059886651*Deflactores!$AA$5</f>
        <v>68.100598866509998</v>
      </c>
    </row>
    <row r="229" spans="3:11" x14ac:dyDescent="0.2">
      <c r="C229" s="87" t="s">
        <v>127</v>
      </c>
      <c r="D229" s="42">
        <f>56.1706710994799*Deflactores!$T$5</f>
        <v>87.172730307418888</v>
      </c>
      <c r="E229" s="42">
        <f>63.9798286538699*Deflactores!$U$5</f>
        <v>97.718694718646205</v>
      </c>
      <c r="F229" s="42">
        <f>102.568897871439*Deflactores!$V$5</f>
        <v>148.32150049563367</v>
      </c>
      <c r="G229" s="42">
        <f>135.40986192558*Deflactores!$W$5</f>
        <v>173.10089773802395</v>
      </c>
      <c r="H229" s="42">
        <f>176.44283537095*Deflactores!$X$5</f>
        <v>206.40127073519508</v>
      </c>
      <c r="I229" s="42">
        <f>148.44162962711*Deflactores!$Y$5</f>
        <v>165.06245962093126</v>
      </c>
      <c r="J229" s="42">
        <f>143.897824087*Deflactores!$Z$5</f>
        <v>152.24389788404602</v>
      </c>
      <c r="K229" s="42">
        <f>48.83580860996*Deflactores!$AA$5</f>
        <v>48.835808609959997</v>
      </c>
    </row>
    <row r="230" spans="3:11" x14ac:dyDescent="0.2">
      <c r="C230" s="88" t="s">
        <v>128</v>
      </c>
      <c r="D230" s="50">
        <f>132.50515653713*Deflactores!$T$5</f>
        <v>205.63821028053391</v>
      </c>
      <c r="E230" s="50">
        <f>128.3827433356*Deflactores!$U$5</f>
        <v>196.0835839530649</v>
      </c>
      <c r="F230" s="50">
        <f>275.43636481924*Deflactores!$V$5</f>
        <v>398.29944328989683</v>
      </c>
      <c r="G230" s="50">
        <f>266.14110669492*Deflactores!$W$5</f>
        <v>340.22089557406906</v>
      </c>
      <c r="H230" s="50">
        <f>330.004997479369*Deflactores!$X$5</f>
        <v>386.03693193609257</v>
      </c>
      <c r="I230" s="50">
        <f>535.81786077479*Deflactores!$Y$5</f>
        <v>595.81273952923561</v>
      </c>
      <c r="J230" s="50">
        <f>402.27827056939*Deflactores!$Z$5</f>
        <v>425.61041026241463</v>
      </c>
      <c r="K230" s="50">
        <f>91.602644283*Deflactores!$AA$5</f>
        <v>91.602644283000004</v>
      </c>
    </row>
    <row r="231" spans="3:11" x14ac:dyDescent="0.2">
      <c r="C231" s="87" t="s">
        <v>129</v>
      </c>
      <c r="D231" s="42">
        <f>711.298442804919*Deflactores!$T$5</f>
        <v>1103.8826154116282</v>
      </c>
      <c r="E231" s="42">
        <f>1024.81212119999*Deflactores!$U$5</f>
        <v>1565.2324321980313</v>
      </c>
      <c r="F231" s="42">
        <f>1479.48005353321*Deflactores!$V$5</f>
        <v>2139.4273122487193</v>
      </c>
      <c r="G231" s="42">
        <f>1335.90781256922*Deflactores!$W$5</f>
        <v>1707.7547998539642</v>
      </c>
      <c r="H231" s="42">
        <f>1315.4353521251*Deflactores!$X$5</f>
        <v>1538.7846589395783</v>
      </c>
      <c r="I231" s="42">
        <f>1107.93540161164*Deflactores!$Y$5</f>
        <v>1231.9895904573279</v>
      </c>
      <c r="J231" s="42">
        <f>928.05454486514*Deflactores!$Z$5</f>
        <v>981.88170846731816</v>
      </c>
      <c r="K231" s="42">
        <f>304.17973632901*Deflactores!$AA$5</f>
        <v>304.17973632900998</v>
      </c>
    </row>
    <row r="232" spans="3:11" x14ac:dyDescent="0.2">
      <c r="C232" s="88" t="s">
        <v>130</v>
      </c>
      <c r="D232" s="50">
        <f>230.302374533769*Deflactores!$T$5</f>
        <v>357.41226500276429</v>
      </c>
      <c r="E232" s="50">
        <f>204.19736059113*Deflactores!$U$5</f>
        <v>311.8779771966615</v>
      </c>
      <c r="F232" s="50">
        <f>635.752490601649*Deflactores!$V$5</f>
        <v>919.34070957907898</v>
      </c>
      <c r="G232" s="50">
        <f>507.382871380989*Deflactores!$W$5</f>
        <v>648.61177231843885</v>
      </c>
      <c r="H232" s="50">
        <f>512.78972961935*Deflactores!$X$5</f>
        <v>599.85689750946267</v>
      </c>
      <c r="I232" s="50">
        <f>321.04538850098*Deflactores!$Y$5</f>
        <v>356.9924529193604</v>
      </c>
      <c r="J232" s="50">
        <f>258.97770164243*Deflactores!$Z$5</f>
        <v>273.99840833769099</v>
      </c>
      <c r="K232" s="50">
        <f>125.234767385*Deflactores!$AA$5</f>
        <v>125.234767385</v>
      </c>
    </row>
    <row r="233" spans="3:11" x14ac:dyDescent="0.2">
      <c r="C233" s="87" t="s">
        <v>131</v>
      </c>
      <c r="D233" s="42">
        <f>3622.8553488274*Deflactores!$T$5</f>
        <v>5622.4037577689751</v>
      </c>
      <c r="E233" s="42">
        <f>3956.23225516396*Deflactores!$U$5</f>
        <v>6042.4958946032493</v>
      </c>
      <c r="F233" s="42">
        <f>4821.58926597245*Deflactores!$V$5</f>
        <v>6972.3412217907016</v>
      </c>
      <c r="G233" s="42">
        <f>5464.59927778128*Deflactores!$W$5</f>
        <v>6985.6584100378859</v>
      </c>
      <c r="H233" s="42">
        <f>6741.82893090033*Deflactores!$X$5</f>
        <v>7886.5319495213325</v>
      </c>
      <c r="I233" s="42">
        <f>5645.24354420322*Deflactores!$Y$5</f>
        <v>6277.3346459892846</v>
      </c>
      <c r="J233" s="42">
        <f>6119.14713700715*Deflactores!$Z$5</f>
        <v>6474.0576709535653</v>
      </c>
      <c r="K233" s="42">
        <f>1665.42405726237*Deflactores!$AA$5</f>
        <v>1665.4240572623701</v>
      </c>
    </row>
    <row r="234" spans="3:11" x14ac:dyDescent="0.2">
      <c r="C234" s="88" t="s">
        <v>132</v>
      </c>
      <c r="D234" s="50">
        <f>261.8565787948*Deflactores!$T$5</f>
        <v>406.38205803301935</v>
      </c>
      <c r="E234" s="50">
        <f>155.32594950191*Deflactores!$U$5</f>
        <v>237.2349123248695</v>
      </c>
      <c r="F234" s="50">
        <f>197.47763613564*Deflactores!$V$5</f>
        <v>285.56589681485639</v>
      </c>
      <c r="G234" s="50">
        <f>203.8268573481*Deflactores!$W$5</f>
        <v>260.56161263547591</v>
      </c>
      <c r="H234" s="50">
        <f>237.728725246769*Deflactores!$X$5</f>
        <v>278.09296352573676</v>
      </c>
      <c r="I234" s="50">
        <f>302.42129296855*Deflactores!$Y$5</f>
        <v>336.28303990280688</v>
      </c>
      <c r="J234" s="50">
        <f>315.693776920289*Deflactores!$Z$5</f>
        <v>334.00401598166576</v>
      </c>
      <c r="K234" s="50">
        <f>53.35112589167*Deflactores!$AA$5</f>
        <v>53.351125891670002</v>
      </c>
    </row>
    <row r="235" spans="3:11" x14ac:dyDescent="0.2">
      <c r="C235" s="87" t="s">
        <v>133</v>
      </c>
      <c r="D235" s="42">
        <f>102.65119464308*Deflactores!$T$5</f>
        <v>159.30706774907006</v>
      </c>
      <c r="E235" s="42">
        <f>111.8464278155*Deflactores!$U$5</f>
        <v>170.82707417367956</v>
      </c>
      <c r="F235" s="42">
        <f>172.33203368914*Deflactores!$V$5</f>
        <v>249.20367041747107</v>
      </c>
      <c r="G235" s="42">
        <f>159.5055588466*Deflactores!$W$5</f>
        <v>203.90357864574275</v>
      </c>
      <c r="H235" s="42">
        <f>175.91577541669*Deflactores!$X$5</f>
        <v>205.78472065491445</v>
      </c>
      <c r="I235" s="42">
        <f>178.55302487861*Deflactores!$Y$5</f>
        <v>198.54539143268832</v>
      </c>
      <c r="J235" s="42">
        <f>206.121331868329*Deflactores!$Z$5</f>
        <v>218.07636911669209</v>
      </c>
      <c r="K235" s="42">
        <f>8.36713318972*Deflactores!$AA$5</f>
        <v>8.3671331897200005</v>
      </c>
    </row>
    <row r="236" spans="3:11" x14ac:dyDescent="0.2">
      <c r="C236" s="88" t="s">
        <v>134</v>
      </c>
      <c r="D236" s="50">
        <f>534.55895980256*Deflactores!$T$5</f>
        <v>829.59599955205829</v>
      </c>
      <c r="E236" s="50">
        <f>584.39430822141*Deflactores!$U$5</f>
        <v>892.56645730244941</v>
      </c>
      <c r="F236" s="50">
        <f>806.95337771394*Deflactores!$V$5</f>
        <v>1166.9086662369166</v>
      </c>
      <c r="G236" s="50">
        <f>1022.28960838346*Deflactores!$W$5</f>
        <v>1306.8416616264258</v>
      </c>
      <c r="H236" s="50">
        <f>1097.80541243596*Deflactores!$X$5</f>
        <v>1284.2030772764558</v>
      </c>
      <c r="I236" s="50">
        <f>1003.60990451344*Deflactores!$Y$5</f>
        <v>1115.9828934447517</v>
      </c>
      <c r="J236" s="50">
        <f>683.71826086667*Deflactores!$Z$5</f>
        <v>723.37391999693693</v>
      </c>
      <c r="K236" s="50">
        <f>576.63610293287*Deflactores!$AA$5</f>
        <v>576.63610293287002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8806.20255992043*Deflactores!$Y$5</f>
        <v>9792.2224251514181</v>
      </c>
      <c r="J237" s="42">
        <f>9374.60843165103*Deflactores!$Z$5</f>
        <v>9918.3357206867895</v>
      </c>
      <c r="K237" s="42">
        <f>2728.15243683458*Deflactores!$AA$5</f>
        <v>2728.1524368345799</v>
      </c>
    </row>
    <row r="238" spans="3:11" x14ac:dyDescent="0.2">
      <c r="C238" s="88" t="s">
        <v>136</v>
      </c>
      <c r="D238" s="50">
        <f>8798.43971438817*Deflactores!$T$5</f>
        <v>13654.528196575979</v>
      </c>
      <c r="E238" s="50">
        <f>10069.8370382365*Deflactores!$U$5</f>
        <v>15380.024487552761</v>
      </c>
      <c r="F238" s="50">
        <f>12720.2070925784*Deflactores!$V$5</f>
        <v>18394.271964891501</v>
      </c>
      <c r="G238" s="50">
        <f>20884.0907597158*Deflactores!$W$5</f>
        <v>26697.131269035457</v>
      </c>
      <c r="H238" s="50">
        <f>17482.3798851368*Deflactores!$X$5</f>
        <v>20450.73361115202</v>
      </c>
      <c r="I238" s="50">
        <f>8406.17716686667*Deflactores!$Y$5</f>
        <v>9347.406671955021</v>
      </c>
      <c r="J238" s="50">
        <f>6844.6693317788*Deflactores!$Z$5</f>
        <v>7241.6601530219714</v>
      </c>
      <c r="K238" s="50">
        <f>2671.18037532162*Deflactores!$AA$5</f>
        <v>2671.18037532162</v>
      </c>
    </row>
    <row r="239" spans="3:11" x14ac:dyDescent="0.2">
      <c r="C239" s="87" t="s">
        <v>137</v>
      </c>
      <c r="D239" s="42">
        <f>181.59155977753*Deflactores!$T$5</f>
        <v>281.81668042660669</v>
      </c>
      <c r="E239" s="42">
        <f>173.470425166409*Deflactores!$U$5</f>
        <v>264.94762296498834</v>
      </c>
      <c r="F239" s="42">
        <f>236.28350081734*Deflactores!$V$5</f>
        <v>341.68177791591467</v>
      </c>
      <c r="G239" s="42">
        <f>227.84447028166*Deflactores!$W$5</f>
        <v>291.2644750503901</v>
      </c>
      <c r="H239" s="42">
        <f>351.12540838812*Deflactores!$X$5</f>
        <v>410.74340211296777</v>
      </c>
      <c r="I239" s="42">
        <f>573.58152695417*Deflactores!$Y$5</f>
        <v>637.80475780288737</v>
      </c>
      <c r="J239" s="42">
        <f>474.8351184949*Deflactores!$Z$5</f>
        <v>502.37555536760419</v>
      </c>
      <c r="K239" s="42">
        <f>86.1833241374099*Deflactores!$AA$5</f>
        <v>86.183324137409898</v>
      </c>
    </row>
    <row r="240" spans="3:11" x14ac:dyDescent="0.2">
      <c r="C240" s="88" t="s">
        <v>138</v>
      </c>
      <c r="D240" s="50">
        <f>4.76299823841*Deflactores!$T$5</f>
        <v>7.391821261246613</v>
      </c>
      <c r="E240" s="50">
        <f>6.86644852094*Deflactores!$U$5</f>
        <v>10.487373926070219</v>
      </c>
      <c r="F240" s="50">
        <f>7.52410469154*Deflactores!$V$5</f>
        <v>10.880359649903225</v>
      </c>
      <c r="G240" s="50">
        <f>6.92170782745*Deflactores!$W$5</f>
        <v>8.8483499043104885</v>
      </c>
      <c r="H240" s="50">
        <f>19.5820033794*Deflactores!$X$5</f>
        <v>22.906854633976756</v>
      </c>
      <c r="I240" s="50">
        <f>16.3466193832*Deflactores!$Y$5</f>
        <v>18.176930613441648</v>
      </c>
      <c r="J240" s="50">
        <f>15.28163051567*Deflactores!$Z$5</f>
        <v>16.16796508557886</v>
      </c>
      <c r="K240" s="50">
        <f>4.35180875905*Deflactores!$AA$5</f>
        <v>4.3518087590499999</v>
      </c>
    </row>
    <row r="241" spans="3:11" x14ac:dyDescent="0.2">
      <c r="C241" s="87" t="s">
        <v>160</v>
      </c>
      <c r="D241" s="42">
        <f>56.33923937076*Deflactores!$T$5</f>
        <v>87.434335806570985</v>
      </c>
      <c r="E241" s="42">
        <f>180.48963312414*Deflactores!$U$5</f>
        <v>275.66831187616003</v>
      </c>
      <c r="F241" s="42">
        <f>302.87816957598*Deflactores!$V$5</f>
        <v>437.9821321195023</v>
      </c>
      <c r="G241" s="42">
        <f>448.64499702241*Deflactores!$W$5</f>
        <v>573.5243404423079</v>
      </c>
      <c r="H241" s="42">
        <f>231.05889590605*Deflactores!$X$5</f>
        <v>270.2906560610158</v>
      </c>
      <c r="I241" s="42">
        <f>216.14172170666*Deflactores!$Y$5</f>
        <v>240.34284924805513</v>
      </c>
      <c r="J241" s="42">
        <f>226.52304626985*Deflactores!$Z$5</f>
        <v>239.66138295350132</v>
      </c>
      <c r="K241" s="42">
        <f>20.3001384113899*Deflactores!$AA$5</f>
        <v>20.300138411389899</v>
      </c>
    </row>
    <row r="242" spans="3:11" x14ac:dyDescent="0.2">
      <c r="C242" s="88" t="s">
        <v>161</v>
      </c>
      <c r="D242" s="50">
        <f>84.4381848406299*Deflactores!$T$5</f>
        <v>131.04182255049417</v>
      </c>
      <c r="E242" s="50">
        <f>118.35858074122*Deflactores!$U$5</f>
        <v>180.77331968728146</v>
      </c>
      <c r="F242" s="50">
        <f>105.7393870491*Deflactores!$V$5</f>
        <v>152.90624033290155</v>
      </c>
      <c r="G242" s="50">
        <f>144.3451402207*Deflactores!$W$5</f>
        <v>184.52329099970828</v>
      </c>
      <c r="H242" s="50">
        <f>242.966443412419*Deflactores!$X$5</f>
        <v>284.2199999841464</v>
      </c>
      <c r="I242" s="50">
        <f>265.5921623199*Deflactores!$Y$5</f>
        <v>295.33019597460634</v>
      </c>
      <c r="J242" s="50">
        <f>353.732365300569*Deflactores!$Z$5</f>
        <v>374.24884248800197</v>
      </c>
      <c r="K242" s="50">
        <f>48.851756294*Deflactores!$AA$5</f>
        <v>48.851756293999998</v>
      </c>
    </row>
    <row r="243" spans="3:11" x14ac:dyDescent="0.2">
      <c r="C243" s="87" t="s">
        <v>140</v>
      </c>
      <c r="D243" s="42">
        <f>2730.44416751863*Deflactores!$T$5</f>
        <v>4237.4475571606681</v>
      </c>
      <c r="E243" s="42">
        <f>2729.89591549877*Deflactores!$U$5</f>
        <v>4169.4682713747479</v>
      </c>
      <c r="F243" s="42">
        <f>4369.80094889342*Deflactores!$V$5</f>
        <v>6319.0250364149961</v>
      </c>
      <c r="G243" s="42">
        <f>3919.59224262997*Deflactores!$W$5</f>
        <v>5010.6020811034532</v>
      </c>
      <c r="H243" s="42">
        <f>6149.8801567618*Deflactores!$X$5</f>
        <v>7194.0755007487496</v>
      </c>
      <c r="I243" s="42">
        <f>4374.33372210827*Deflactores!$Y$5</f>
        <v>4864.1225860141594</v>
      </c>
      <c r="J243" s="42">
        <f>4754.46406209129*Deflactores!$Z$5</f>
        <v>5030.2229776925851</v>
      </c>
      <c r="K243" s="42">
        <f>2511.45686659881*Deflactores!$AA$5</f>
        <v>2511.4568665988099</v>
      </c>
    </row>
    <row r="244" spans="3:11" x14ac:dyDescent="0.2">
      <c r="C244" s="88" t="s">
        <v>141</v>
      </c>
      <c r="D244" s="50">
        <f>88.0391492213199*Deflactores!$T$5</f>
        <v>136.63025314354468</v>
      </c>
      <c r="E244" s="50">
        <f>138.70427380604*Deflactores!$U$5</f>
        <v>211.84802887720934</v>
      </c>
      <c r="F244" s="50">
        <f>146.82482003572*Deflactores!$V$5</f>
        <v>212.31852997967522</v>
      </c>
      <c r="G244" s="50">
        <f>174.92951562245*Deflactores!$W$5</f>
        <v>223.62075970334891</v>
      </c>
      <c r="H244" s="50">
        <f>297.228480203929*Deflactores!$X$5</f>
        <v>347.69525146092877</v>
      </c>
      <c r="I244" s="50">
        <f>344.725257502229*Deflactores!$Y$5</f>
        <v>383.32372825409152</v>
      </c>
      <c r="J244" s="50">
        <f>230.666522926599*Deflactores!$Z$5</f>
        <v>244.04518125634175</v>
      </c>
      <c r="K244" s="50">
        <f>69.64702173839*Deflactores!$AA$5</f>
        <v>69.647021738389995</v>
      </c>
    </row>
    <row r="245" spans="3:11" x14ac:dyDescent="0.2">
      <c r="C245" s="87" t="s">
        <v>142</v>
      </c>
      <c r="D245" s="42">
        <f>160.54512041897*Deflactores!$T$5</f>
        <v>249.15416195881173</v>
      </c>
      <c r="E245" s="42">
        <f>136.69293097257*Deflactores!$U$5</f>
        <v>208.77603258628923</v>
      </c>
      <c r="F245" s="42">
        <f>385.89593333116*Deflactores!$V$5</f>
        <v>558.03138236487371</v>
      </c>
      <c r="G245" s="42">
        <f>259.33202205762*Deflactores!$W$5</f>
        <v>331.51651727599068</v>
      </c>
      <c r="H245" s="42">
        <f>370.8819956665*Deflactores!$X$5</f>
        <v>433.854483450305</v>
      </c>
      <c r="I245" s="42">
        <f>384.485154251849*Deflactores!$Y$5</f>
        <v>427.53549262405073</v>
      </c>
      <c r="J245" s="42">
        <f>254.19793248682*Deflactores!$Z$5</f>
        <v>268.94141257105559</v>
      </c>
      <c r="K245" s="42">
        <f>48.75837699481*Deflactores!$AA$5</f>
        <v>48.75837699481</v>
      </c>
    </row>
    <row r="246" spans="3:11" x14ac:dyDescent="0.2">
      <c r="C246" s="88" t="s">
        <v>143</v>
      </c>
      <c r="D246" s="50">
        <f>112.15803622659*Deflactores!$T$5</f>
        <v>174.06098329276998</v>
      </c>
      <c r="E246" s="50">
        <f>105.81953022551*Deflactores!$U$5</f>
        <v>161.62197659702085</v>
      </c>
      <c r="F246" s="50">
        <f>378.39641547953*Deflactores!$V$5</f>
        <v>547.1865769332918</v>
      </c>
      <c r="G246" s="50">
        <f>284.808375562789*Deflactores!$W$5</f>
        <v>364.08415747681806</v>
      </c>
      <c r="H246" s="50">
        <f>140.362077430749*Deflactores!$X$5</f>
        <v>164.19431870855257</v>
      </c>
      <c r="I246" s="50">
        <f>99.66116934525*Deflactores!$Y$5</f>
        <v>110.82011011431788</v>
      </c>
      <c r="J246" s="50">
        <f>337.93775238791*Deflactores!$Z$5</f>
        <v>357.53814202640882</v>
      </c>
      <c r="K246" s="50">
        <f>26.11769253935*Deflactores!$AA$5</f>
        <v>26.117692539349999</v>
      </c>
    </row>
    <row r="247" spans="3:11" x14ac:dyDescent="0.2">
      <c r="C247" s="87" t="s">
        <v>144</v>
      </c>
      <c r="D247" s="42">
        <f>85.39372257432*Deflactores!$T$5</f>
        <v>132.52474649509168</v>
      </c>
      <c r="E247" s="42">
        <f>117.47647423659*Deflactores!$U$5</f>
        <v>179.42604667875867</v>
      </c>
      <c r="F247" s="42">
        <f>134.42534392621*Deflactores!$V$5</f>
        <v>194.38805651170983</v>
      </c>
      <c r="G247" s="42">
        <f>197.41762997504*Deflactores!$W$5</f>
        <v>252.36839098745781</v>
      </c>
      <c r="H247" s="42">
        <f>316.03648607077*Deflactores!$X$5</f>
        <v>369.69669063951352</v>
      </c>
      <c r="I247" s="42">
        <f>273.69532425554*Deflactores!$Y$5</f>
        <v>304.34065916585098</v>
      </c>
      <c r="J247" s="42">
        <f>413.75541038021*Deflactores!$Z$5</f>
        <v>437.75322418226216</v>
      </c>
      <c r="K247" s="42">
        <f>24.95111676457*Deflactores!$AA$5</f>
        <v>24.951116764569999</v>
      </c>
    </row>
    <row r="248" spans="3:11" x14ac:dyDescent="0.2">
      <c r="C248" s="88" t="s">
        <v>145</v>
      </c>
      <c r="D248" s="50">
        <f>86.7914911759899*Deflactores!$T$5</f>
        <v>134.6939800641504</v>
      </c>
      <c r="E248" s="50">
        <f>106.19156752508*Deflactores!$U$5</f>
        <v>162.19020255300632</v>
      </c>
      <c r="F248" s="50">
        <f>76.70464296508*Deflactores!$V$5</f>
        <v>110.92005447716235</v>
      </c>
      <c r="G248" s="50">
        <f>152.18519158899*Deflactores!$W$5</f>
        <v>194.54560333992086</v>
      </c>
      <c r="H248" s="50">
        <f>190.8538692442*Deflactores!$X$5</f>
        <v>223.25917090322005</v>
      </c>
      <c r="I248" s="50">
        <f>138.22035972623*Deflactores!$Y$5</f>
        <v>153.69672647365437</v>
      </c>
      <c r="J248" s="50">
        <f>248.61933629653*Deflactores!$Z$5</f>
        <v>263.03925780172875</v>
      </c>
      <c r="K248" s="50">
        <f>21.073717994*Deflactores!$AA$5</f>
        <v>21.073717993999999</v>
      </c>
    </row>
    <row r="249" spans="3:11" x14ac:dyDescent="0.2">
      <c r="C249" s="87" t="s">
        <v>146</v>
      </c>
      <c r="D249" s="42">
        <f>42.54174689761*Deflactores!$T$5</f>
        <v>66.021647178542764</v>
      </c>
      <c r="E249" s="42">
        <f>40.68287753257*Deflactores!$U$5</f>
        <v>62.136422893355402</v>
      </c>
      <c r="F249" s="42">
        <f>54.25965995313*Deflactores!$V$5</f>
        <v>78.463104777808766</v>
      </c>
      <c r="G249" s="42">
        <f>49.53013560463*Deflactores!$W$5</f>
        <v>63.316739389037615</v>
      </c>
      <c r="H249" s="42">
        <f>83.99308787253*Deflactores!$X$5</f>
        <v>98.254372490759593</v>
      </c>
      <c r="I249" s="42">
        <f>79.38945510604*Deflactores!$Y$5</f>
        <v>88.278596514243816</v>
      </c>
      <c r="J249" s="42">
        <f>143.93915537752*Deflactores!$Z$5</f>
        <v>152.28762638941618</v>
      </c>
      <c r="K249" s="42">
        <f>22.5559173131499*Deflactores!$AA$5</f>
        <v>22.555917313149902</v>
      </c>
    </row>
    <row r="250" spans="3:11" x14ac:dyDescent="0.2">
      <c r="C250" s="88" t="s">
        <v>162</v>
      </c>
      <c r="D250" s="50">
        <f>586.84908370685*Deflactores!$T$5</f>
        <v>910.74640740061966</v>
      </c>
      <c r="E250" s="50">
        <f>636.67548029874*Deflactores!$U$5</f>
        <v>972.41737283703799</v>
      </c>
      <c r="F250" s="50">
        <f>788.56022172829*Deflactores!$V$5</f>
        <v>1140.3109299712771</v>
      </c>
      <c r="G250" s="50">
        <f>1043.99331411954*Deflactores!$W$5</f>
        <v>1334.5865458891549</v>
      </c>
      <c r="H250" s="50">
        <f>1384.44605197206*Deflactores!$X$5</f>
        <v>1619.5127662202824</v>
      </c>
      <c r="I250" s="50">
        <f>919.54622167962*Deflactores!$Y$5</f>
        <v>1022.5067015691941</v>
      </c>
      <c r="J250" s="50">
        <f>901.09647763355*Deflactores!$Z$5</f>
        <v>953.36007333629595</v>
      </c>
      <c r="K250" s="50">
        <f>126.074098387009*Deflactores!$AA$5</f>
        <v>126.074098387009</v>
      </c>
    </row>
    <row r="251" spans="3:11" x14ac:dyDescent="0.2">
      <c r="C251" s="87" t="s">
        <v>148</v>
      </c>
      <c r="D251" s="42">
        <f>92.6315586623199*Deflactores!$T$5</f>
        <v>143.75733319841061</v>
      </c>
      <c r="E251" s="42">
        <f>138.628278518*Deflactores!$U$5</f>
        <v>211.73195853897491</v>
      </c>
      <c r="F251" s="42">
        <f>178.78469355741*Deflactores!$V$5</f>
        <v>258.53464904463118</v>
      </c>
      <c r="G251" s="42">
        <f>218.56945861701*Deflactores!$W$5</f>
        <v>279.40778438657469</v>
      </c>
      <c r="H251" s="42">
        <f>206.08951802692*Deflactores!$X$5</f>
        <v>241.08169831056571</v>
      </c>
      <c r="I251" s="42">
        <f>193.75256609657*Deflactores!$Y$5</f>
        <v>215.44680692407422</v>
      </c>
      <c r="J251" s="42">
        <f>207.06352164687*Deflactores!$Z$5</f>
        <v>219.07320590238845</v>
      </c>
      <c r="K251" s="42">
        <f>54.36599209797*Deflactores!$AA$5</f>
        <v>54.36599209797</v>
      </c>
    </row>
    <row r="252" spans="3:11" x14ac:dyDescent="0.2">
      <c r="C252" s="88" t="s">
        <v>149</v>
      </c>
      <c r="D252" s="50">
        <f>900.88784004888*Deflactores!$T$5</f>
        <v>1398.1113485137139</v>
      </c>
      <c r="E252" s="50">
        <f>938.82415410774*Deflactores!$U$5</f>
        <v>1433.8999156446857</v>
      </c>
      <c r="F252" s="50">
        <f>1186.41208293331*Deflactores!$V$5</f>
        <v>1715.6313853287377</v>
      </c>
      <c r="G252" s="50">
        <f>1119.63767808898*Deflactores!$W$5</f>
        <v>1431.2863513961445</v>
      </c>
      <c r="H252" s="50">
        <f>1214.31160980754*Deflactores!$X$5</f>
        <v>1420.4909981515855</v>
      </c>
      <c r="I252" s="50">
        <f>1849.00688100822*Deflactores!$Y$5</f>
        <v>2056.0379483970864</v>
      </c>
      <c r="J252" s="50">
        <f>1247.02382272671*Deflactores!$Z$5</f>
        <v>1319.3512044448594</v>
      </c>
      <c r="K252" s="50">
        <f>338.557052807409*Deflactores!$AA$5</f>
        <v>338.55705280740898</v>
      </c>
    </row>
    <row r="253" spans="3:11" x14ac:dyDescent="0.2">
      <c r="C253" s="87" t="s">
        <v>163</v>
      </c>
      <c r="D253" s="42">
        <f>4719.83288206851*Deflactores!$T$5</f>
        <v>7324.8318182984203</v>
      </c>
      <c r="E253" s="42">
        <f>5074.60431216971*Deflactores!$U$5</f>
        <v>7750.6257836600716</v>
      </c>
      <c r="F253" s="42">
        <f>3647.97199372783*Deflactores!$V$5</f>
        <v>5275.2119902267705</v>
      </c>
      <c r="G253" s="42">
        <f>4022.08978073502*Deflactores!$W$5</f>
        <v>5141.629582421434</v>
      </c>
      <c r="H253" s="42">
        <f>4540.49256556645*Deflactores!$X$5</f>
        <v>5311.4281082955113</v>
      </c>
      <c r="I253" s="42">
        <f>4707.59633447779*Deflactores!$Y$5</f>
        <v>5234.700210603668</v>
      </c>
      <c r="J253" s="42">
        <f>5348.67346517219*Deflactores!$Z$5</f>
        <v>5658.8965261521771</v>
      </c>
      <c r="K253" s="42">
        <f>1068.94121234969*Deflactores!$AA$5</f>
        <v>1068.94121234969</v>
      </c>
    </row>
    <row r="254" spans="3:11" x14ac:dyDescent="0.2">
      <c r="C254" s="88" t="s">
        <v>150</v>
      </c>
      <c r="D254" s="50">
        <f>4872.89781717344*Deflactores!$T$5</f>
        <v>7562.3772854656827</v>
      </c>
      <c r="E254" s="50">
        <f>5261.84166035491*Deflactores!$U$5</f>
        <v>8036.6001235762151</v>
      </c>
      <c r="F254" s="50">
        <f>7858.11143029916*Deflactores!$V$5</f>
        <v>11363.355779300133</v>
      </c>
      <c r="G254" s="50">
        <f>7876.36269158671*Deflactores!$W$5</f>
        <v>10068.730840101241</v>
      </c>
      <c r="H254" s="50">
        <f>8519.63831453348*Deflactores!$X$5</f>
        <v>9966.1976675165351</v>
      </c>
      <c r="I254" s="50">
        <f>4735.22572993308*Deflactores!$Y$5</f>
        <v>5265.4232360995875</v>
      </c>
      <c r="J254" s="50">
        <f>4359.55658780405*Deflactores!$Z$5</f>
        <v>4612.4108698966847</v>
      </c>
      <c r="K254" s="50">
        <f>1338.22714439023*Deflactores!$AA$5</f>
        <v>1338.22714439023</v>
      </c>
    </row>
    <row r="255" spans="3:11" x14ac:dyDescent="0.2">
      <c r="C255" s="87" t="s">
        <v>151</v>
      </c>
      <c r="D255" s="42">
        <f>685.72883814402*Deflactores!$T$5</f>
        <v>1064.2004786747482</v>
      </c>
      <c r="E255" s="42">
        <f>985.788235944099*Deflactores!$U$5</f>
        <v>1505.6298479103154</v>
      </c>
      <c r="F255" s="42">
        <f>1911.31594845107*Deflactores!$V$5</f>
        <v>2763.890957966873</v>
      </c>
      <c r="G255" s="42">
        <f>2029.19921821926*Deflactores!$W$5</f>
        <v>2594.0223360991049</v>
      </c>
      <c r="H255" s="42">
        <f>2048.35031908934*Deflactores!$X$5</f>
        <v>2396.1421152750868</v>
      </c>
      <c r="I255" s="42">
        <f>1612.91081893585*Deflactores!$Y$5</f>
        <v>1793.5064953917752</v>
      </c>
      <c r="J255" s="42">
        <f>1474.55170074259*Deflactores!$Z$5</f>
        <v>1560.0756993856603</v>
      </c>
      <c r="K255" s="42">
        <f>190.817546404889*Deflactores!$AA$5</f>
        <v>190.81754640488899</v>
      </c>
    </row>
    <row r="256" spans="3:11" x14ac:dyDescent="0.2">
      <c r="C256" s="79" t="s">
        <v>202</v>
      </c>
      <c r="D256" s="44">
        <f t="shared" ref="D256:K256" si="10">+SUM(D225:D255)</f>
        <v>48792.920446466822</v>
      </c>
      <c r="E256" s="44">
        <f t="shared" si="10"/>
        <v>52987.415736155046</v>
      </c>
      <c r="F256" s="44">
        <f t="shared" si="10"/>
        <v>65487.941497493935</v>
      </c>
      <c r="G256" s="44">
        <f t="shared" si="10"/>
        <v>69525.067848332328</v>
      </c>
      <c r="H256" s="44">
        <f t="shared" si="10"/>
        <v>68748.67423361761</v>
      </c>
      <c r="I256" s="44">
        <f t="shared" si="10"/>
        <v>56087.02585289516</v>
      </c>
      <c r="J256" s="44">
        <f t="shared" si="10"/>
        <v>52549.319436105288</v>
      </c>
      <c r="K256" s="44">
        <f t="shared" si="10"/>
        <v>14764.534658827206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abril</v>
      </c>
      <c r="D257" s="121">
        <f>+D256-'C5 Ejecución PGN 2019-2026'!D130</f>
        <v>0</v>
      </c>
      <c r="E257" s="121">
        <f>+E256-'C5 Ejecución PGN 2019-2026'!E130</f>
        <v>0</v>
      </c>
      <c r="F257" s="121">
        <f>+F256-'C5 Ejecución PGN 2019-2026'!F130</f>
        <v>1.2369127944111824E-10</v>
      </c>
      <c r="G257" s="121">
        <f>+G256-'C5 Ejecución PGN 2019-2026'!G130</f>
        <v>0</v>
      </c>
      <c r="H257" s="121">
        <f>+H256-'C5 Ejecución PGN 2019-2026'!H130</f>
        <v>0</v>
      </c>
      <c r="I257" s="121">
        <f>+I256-'C5 Ejecución PGN 2019-2026'!I130</f>
        <v>0</v>
      </c>
      <c r="J257" s="121">
        <f>+J256-'C5 Ejecución PGN 2019-2026'!J130</f>
        <v>8.7311491370201111E-11</v>
      </c>
      <c r="K257" s="121">
        <f>+K256-'C5 Ejecución PGN 2019-2026'!K130</f>
        <v>0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C262" s="9"/>
      <c r="D262" s="131" t="s">
        <v>208</v>
      </c>
      <c r="E262" s="131"/>
      <c r="F262" s="131"/>
      <c r="G262" s="131"/>
      <c r="H262" s="131"/>
      <c r="I262" s="131"/>
      <c r="J262" s="131"/>
      <c r="K262" s="131"/>
    </row>
    <row r="263" spans="1:11" ht="5.2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76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10</v>
      </c>
    </row>
    <row r="266" spans="1:11" ht="12" customHeight="1" thickBot="1" x14ac:dyDescent="0.25">
      <c r="C266" s="160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1">+IFERROR(IF(D225&gt;0,+((D225/D15)*100)," "),"")</f>
        <v>57.068270782821841</v>
      </c>
      <c r="E267" s="47">
        <f t="shared" si="11"/>
        <v>76.167185864158185</v>
      </c>
      <c r="F267" s="47">
        <f t="shared" si="11"/>
        <v>75.044360218293605</v>
      </c>
      <c r="G267" s="47">
        <f t="shared" si="11"/>
        <v>66.698006367901158</v>
      </c>
      <c r="H267" s="47">
        <f t="shared" si="11"/>
        <v>73.413318388007468</v>
      </c>
      <c r="I267" s="47">
        <f t="shared" si="11"/>
        <v>32.341777558227655</v>
      </c>
      <c r="J267" s="47">
        <f t="shared" si="11"/>
        <v>52.765922958204371</v>
      </c>
      <c r="K267" s="47">
        <f t="shared" si="11"/>
        <v>9.6513266063791363</v>
      </c>
    </row>
    <row r="268" spans="1:11" x14ac:dyDescent="0.2">
      <c r="C268" s="88" t="s">
        <v>124</v>
      </c>
      <c r="D268" s="116">
        <f t="shared" si="11"/>
        <v>80.97061834194291</v>
      </c>
      <c r="E268" s="116">
        <f t="shared" si="11"/>
        <v>66.608315979399691</v>
      </c>
      <c r="F268" s="116">
        <f t="shared" si="11"/>
        <v>52.544477086994576</v>
      </c>
      <c r="G268" s="116">
        <f t="shared" si="11"/>
        <v>48.591085689677548</v>
      </c>
      <c r="H268" s="116">
        <f t="shared" si="11"/>
        <v>33.49984523138869</v>
      </c>
      <c r="I268" s="116">
        <f t="shared" si="11"/>
        <v>36.555023511496536</v>
      </c>
      <c r="J268" s="116">
        <f t="shared" si="11"/>
        <v>66.562770983543061</v>
      </c>
      <c r="K268" s="116">
        <f t="shared" si="11"/>
        <v>8.807730941390691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86.641915716549391</v>
      </c>
      <c r="G269" s="47">
        <f t="shared" si="11"/>
        <v>87.814711001104428</v>
      </c>
      <c r="H269" s="47">
        <f t="shared" si="11"/>
        <v>64.230697522473037</v>
      </c>
      <c r="I269" s="47">
        <f t="shared" si="11"/>
        <v>86.419740850164658</v>
      </c>
      <c r="J269" s="47">
        <f t="shared" si="11"/>
        <v>92.284332065112267</v>
      </c>
      <c r="K269" s="47">
        <f t="shared" si="11"/>
        <v>4.0003195525722051</v>
      </c>
    </row>
    <row r="270" spans="1:11" x14ac:dyDescent="0.2">
      <c r="C270" s="88" t="s">
        <v>126</v>
      </c>
      <c r="D270" s="116">
        <f t="shared" si="11"/>
        <v>73.405528594504176</v>
      </c>
      <c r="E270" s="116">
        <f t="shared" si="11"/>
        <v>60.94940428712794</v>
      </c>
      <c r="F270" s="116">
        <f t="shared" si="11"/>
        <v>50.69654828014032</v>
      </c>
      <c r="G270" s="116">
        <f t="shared" si="11"/>
        <v>61.412109983893657</v>
      </c>
      <c r="H270" s="116">
        <f t="shared" si="11"/>
        <v>51.641892073258802</v>
      </c>
      <c r="I270" s="116">
        <f t="shared" si="11"/>
        <v>48.582374630856087</v>
      </c>
      <c r="J270" s="116">
        <f t="shared" si="11"/>
        <v>75.824189108301255</v>
      </c>
      <c r="K270" s="116">
        <f t="shared" si="11"/>
        <v>20.409654200211506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76.953282922668251</v>
      </c>
      <c r="F271" s="47">
        <f t="shared" si="11"/>
        <v>88.640414545997615</v>
      </c>
      <c r="G271" s="47">
        <f t="shared" si="11"/>
        <v>64.779039574677881</v>
      </c>
      <c r="H271" s="47">
        <f t="shared" si="11"/>
        <v>63.80910053912725</v>
      </c>
      <c r="I271" s="47">
        <f t="shared" si="11"/>
        <v>56.441684268863114</v>
      </c>
      <c r="J271" s="47">
        <f t="shared" si="11"/>
        <v>71.948912043500002</v>
      </c>
      <c r="K271" s="47">
        <f t="shared" si="11"/>
        <v>24.417904304979999</v>
      </c>
    </row>
    <row r="272" spans="1:11" x14ac:dyDescent="0.2">
      <c r="C272" s="88" t="s">
        <v>128</v>
      </c>
      <c r="D272" s="116">
        <f t="shared" si="11"/>
        <v>90.41999303122742</v>
      </c>
      <c r="E272" s="116">
        <f t="shared" si="11"/>
        <v>90.434490495417378</v>
      </c>
      <c r="F272" s="116">
        <f t="shared" si="11"/>
        <v>74.002144834496434</v>
      </c>
      <c r="G272" s="116">
        <f t="shared" si="11"/>
        <v>70.62167990625187</v>
      </c>
      <c r="H272" s="116">
        <f t="shared" si="11"/>
        <v>65.393567558527252</v>
      </c>
      <c r="I272" s="116">
        <f t="shared" si="11"/>
        <v>54.370843913055452</v>
      </c>
      <c r="J272" s="116">
        <f t="shared" si="11"/>
        <v>54.789796463811868</v>
      </c>
      <c r="K272" s="116">
        <f t="shared" si="11"/>
        <v>12.389732337083782</v>
      </c>
    </row>
    <row r="273" spans="3:11" x14ac:dyDescent="0.2">
      <c r="C273" s="87" t="s">
        <v>129</v>
      </c>
      <c r="D273" s="47">
        <f t="shared" si="11"/>
        <v>62.769159498582496</v>
      </c>
      <c r="E273" s="47">
        <f t="shared" si="11"/>
        <v>73.665617473829684</v>
      </c>
      <c r="F273" s="47">
        <f t="shared" si="11"/>
        <v>70.263117700909632</v>
      </c>
      <c r="G273" s="47">
        <f t="shared" si="11"/>
        <v>64.133581373752534</v>
      </c>
      <c r="H273" s="47">
        <f t="shared" si="11"/>
        <v>66.386083008907676</v>
      </c>
      <c r="I273" s="47">
        <f t="shared" si="11"/>
        <v>35.703648747445797</v>
      </c>
      <c r="J273" s="47">
        <f t="shared" si="11"/>
        <v>40.158217487483391</v>
      </c>
      <c r="K273" s="47">
        <f t="shared" si="11"/>
        <v>8.2751023645563144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48.343622959020365</v>
      </c>
      <c r="F274" s="116">
        <f t="shared" si="11"/>
        <v>87.347860989701573</v>
      </c>
      <c r="G274" s="116">
        <f t="shared" si="11"/>
        <v>60.024088483070983</v>
      </c>
      <c r="H274" s="116">
        <f t="shared" si="11"/>
        <v>57.506390153402961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28.340551361798472</v>
      </c>
    </row>
    <row r="275" spans="3:11" x14ac:dyDescent="0.2">
      <c r="C275" s="87" t="s">
        <v>131</v>
      </c>
      <c r="D275" s="47">
        <f t="shared" si="11"/>
        <v>89.181574614621567</v>
      </c>
      <c r="E275" s="47">
        <f t="shared" si="11"/>
        <v>99.034787268277697</v>
      </c>
      <c r="F275" s="47">
        <f t="shared" si="11"/>
        <v>99.18427930844112</v>
      </c>
      <c r="G275" s="47">
        <f t="shared" si="11"/>
        <v>98.727487208611777</v>
      </c>
      <c r="H275" s="47">
        <f t="shared" si="11"/>
        <v>91.061327190283563</v>
      </c>
      <c r="I275" s="47">
        <f t="shared" si="11"/>
        <v>69.857548965366604</v>
      </c>
      <c r="J275" s="47">
        <f t="shared" si="11"/>
        <v>90.293636214165247</v>
      </c>
      <c r="K275" s="47">
        <f t="shared" si="11"/>
        <v>24.418631833897585</v>
      </c>
    </row>
    <row r="276" spans="3:11" x14ac:dyDescent="0.2">
      <c r="C276" s="88" t="s">
        <v>132</v>
      </c>
      <c r="D276" s="116">
        <f t="shared" si="11"/>
        <v>80.661001464209775</v>
      </c>
      <c r="E276" s="116">
        <f t="shared" si="11"/>
        <v>59.568678606948389</v>
      </c>
      <c r="F276" s="116">
        <f t="shared" si="11"/>
        <v>59.012061754037802</v>
      </c>
      <c r="G276" s="116">
        <f t="shared" si="11"/>
        <v>60.589428616529716</v>
      </c>
      <c r="H276" s="116">
        <f t="shared" si="11"/>
        <v>60.493804166733071</v>
      </c>
      <c r="I276" s="116">
        <f t="shared" si="11"/>
        <v>80.611226722861574</v>
      </c>
      <c r="J276" s="116">
        <f t="shared" si="11"/>
        <v>79.410126992330603</v>
      </c>
      <c r="K276" s="116">
        <f t="shared" si="11"/>
        <v>12.9520993092815</v>
      </c>
    </row>
    <row r="277" spans="3:11" x14ac:dyDescent="0.2">
      <c r="C277" s="87" t="s">
        <v>133</v>
      </c>
      <c r="D277" s="47">
        <f t="shared" ref="D277:K286" si="12">+IFERROR(IF(D235&gt;0,+((D235/D25)*100)," "),"")</f>
        <v>59.84775238057447</v>
      </c>
      <c r="E277" s="47">
        <f t="shared" si="12"/>
        <v>64.287515997135358</v>
      </c>
      <c r="F277" s="47">
        <f t="shared" si="12"/>
        <v>84.6678685105597</v>
      </c>
      <c r="G277" s="47">
        <f t="shared" si="12"/>
        <v>79.532121628657862</v>
      </c>
      <c r="H277" s="47">
        <f t="shared" si="12"/>
        <v>72.179226118818363</v>
      </c>
      <c r="I277" s="47">
        <f t="shared" si="12"/>
        <v>69.279119467273958</v>
      </c>
      <c r="J277" s="47">
        <f t="shared" si="12"/>
        <v>60.912040885299611</v>
      </c>
      <c r="K277" s="47">
        <f t="shared" si="12"/>
        <v>2.0555514176912997</v>
      </c>
    </row>
    <row r="278" spans="3:11" x14ac:dyDescent="0.2">
      <c r="C278" s="88" t="s">
        <v>134</v>
      </c>
      <c r="D278" s="116">
        <f t="shared" si="12"/>
        <v>29.256737341891071</v>
      </c>
      <c r="E278" s="116">
        <f t="shared" si="12"/>
        <v>30.291277348377044</v>
      </c>
      <c r="F278" s="116">
        <f t="shared" si="12"/>
        <v>35.483198909538004</v>
      </c>
      <c r="G278" s="116">
        <f t="shared" si="12"/>
        <v>39.114821166899787</v>
      </c>
      <c r="H278" s="116">
        <f t="shared" si="12"/>
        <v>22.72452598468228</v>
      </c>
      <c r="I278" s="116">
        <f t="shared" si="12"/>
        <v>30.270694419861005</v>
      </c>
      <c r="J278" s="116">
        <f t="shared" si="12"/>
        <v>24.546466495026152</v>
      </c>
      <c r="K278" s="116">
        <f t="shared" si="12"/>
        <v>12.099229941285852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88.348636504156559</v>
      </c>
      <c r="J279" s="47">
        <f t="shared" si="12"/>
        <v>93.833230052895388</v>
      </c>
      <c r="K279" s="47">
        <f t="shared" si="12"/>
        <v>28.131062120247513</v>
      </c>
    </row>
    <row r="280" spans="3:11" x14ac:dyDescent="0.2">
      <c r="C280" s="88" t="s">
        <v>136</v>
      </c>
      <c r="D280" s="116">
        <f t="shared" si="12"/>
        <v>87.908532943968851</v>
      </c>
      <c r="E280" s="116">
        <f t="shared" si="12"/>
        <v>95.171943661756202</v>
      </c>
      <c r="F280" s="116">
        <f t="shared" si="12"/>
        <v>88.122953016883713</v>
      </c>
      <c r="G280" s="116">
        <f t="shared" si="12"/>
        <v>96.118037031503206</v>
      </c>
      <c r="H280" s="116">
        <f t="shared" si="12"/>
        <v>88.204110594746069</v>
      </c>
      <c r="I280" s="116">
        <f t="shared" si="12"/>
        <v>75.376124026061547</v>
      </c>
      <c r="J280" s="116">
        <f t="shared" si="12"/>
        <v>77.110985832072927</v>
      </c>
      <c r="K280" s="116">
        <f t="shared" si="12"/>
        <v>23.789983057880526</v>
      </c>
    </row>
    <row r="281" spans="3:11" x14ac:dyDescent="0.2">
      <c r="C281" s="87" t="s">
        <v>137</v>
      </c>
      <c r="D281" s="47">
        <f t="shared" si="12"/>
        <v>80.28363124207192</v>
      </c>
      <c r="E281" s="47">
        <f t="shared" si="12"/>
        <v>81.805078618906833</v>
      </c>
      <c r="F281" s="47">
        <f t="shared" si="12"/>
        <v>56.142467660775111</v>
      </c>
      <c r="G281" s="47">
        <f t="shared" si="12"/>
        <v>47.091901289303784</v>
      </c>
      <c r="H281" s="47">
        <f t="shared" si="12"/>
        <v>43.806805610609594</v>
      </c>
      <c r="I281" s="47">
        <f t="shared" si="12"/>
        <v>54.876695428642449</v>
      </c>
      <c r="J281" s="47">
        <f t="shared" si="12"/>
        <v>62.904532199154374</v>
      </c>
      <c r="K281" s="47">
        <f t="shared" si="12"/>
        <v>16.497461295729671</v>
      </c>
    </row>
    <row r="282" spans="3:11" x14ac:dyDescent="0.2">
      <c r="C282" s="88" t="s">
        <v>138</v>
      </c>
      <c r="D282" s="116">
        <f t="shared" si="12"/>
        <v>65.780091142444832</v>
      </c>
      <c r="E282" s="116">
        <f t="shared" si="12"/>
        <v>96.787518520749074</v>
      </c>
      <c r="F282" s="116">
        <f t="shared" si="12"/>
        <v>95.896709671133408</v>
      </c>
      <c r="G282" s="116">
        <f t="shared" si="12"/>
        <v>86.521347843125</v>
      </c>
      <c r="H282" s="116">
        <f t="shared" si="12"/>
        <v>67.52414958413793</v>
      </c>
      <c r="I282" s="116">
        <f t="shared" si="12"/>
        <v>40.323998133990543</v>
      </c>
      <c r="J282" s="116">
        <f t="shared" si="12"/>
        <v>43.415105868937651</v>
      </c>
      <c r="K282" s="116">
        <f t="shared" si="12"/>
        <v>18.794365600383578</v>
      </c>
    </row>
    <row r="283" spans="3:11" x14ac:dyDescent="0.2">
      <c r="C283" s="87" t="s">
        <v>160</v>
      </c>
      <c r="D283" s="47">
        <f t="shared" si="12"/>
        <v>56.83550515305155</v>
      </c>
      <c r="E283" s="47">
        <f t="shared" si="12"/>
        <v>83.77608800614766</v>
      </c>
      <c r="F283" s="47">
        <f t="shared" si="12"/>
        <v>84.94506324597188</v>
      </c>
      <c r="G283" s="47">
        <f t="shared" si="12"/>
        <v>67.238967150732591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48.494477660270455</v>
      </c>
      <c r="K283" s="47">
        <f t="shared" si="12"/>
        <v>4.4729433865412878</v>
      </c>
    </row>
    <row r="284" spans="3:11" x14ac:dyDescent="0.2">
      <c r="C284" s="88" t="s">
        <v>161</v>
      </c>
      <c r="D284" s="116">
        <f t="shared" si="12"/>
        <v>22.104833053345583</v>
      </c>
      <c r="E284" s="116">
        <f t="shared" si="12"/>
        <v>26.806640846106898</v>
      </c>
      <c r="F284" s="116">
        <f t="shared" si="12"/>
        <v>20.479206145916972</v>
      </c>
      <c r="G284" s="116">
        <f t="shared" si="12"/>
        <v>20.244716021481544</v>
      </c>
      <c r="H284" s="116">
        <f t="shared" si="12"/>
        <v>44.819345247568826</v>
      </c>
      <c r="I284" s="116">
        <f t="shared" si="12"/>
        <v>36.335183148831938</v>
      </c>
      <c r="J284" s="116">
        <f t="shared" si="12"/>
        <v>44.861751576277882</v>
      </c>
      <c r="K284" s="116">
        <f t="shared" si="12"/>
        <v>6.9263440979011239</v>
      </c>
    </row>
    <row r="285" spans="3:11" x14ac:dyDescent="0.2">
      <c r="C285" s="87" t="s">
        <v>140</v>
      </c>
      <c r="D285" s="47">
        <f t="shared" si="12"/>
        <v>82.122234762349251</v>
      </c>
      <c r="E285" s="47">
        <f t="shared" si="12"/>
        <v>86.414987541947312</v>
      </c>
      <c r="F285" s="47">
        <f t="shared" si="12"/>
        <v>89.225976924008577</v>
      </c>
      <c r="G285" s="47">
        <f t="shared" si="12"/>
        <v>81.877282771058162</v>
      </c>
      <c r="H285" s="47">
        <f t="shared" si="12"/>
        <v>84.392002104530974</v>
      </c>
      <c r="I285" s="47">
        <f t="shared" si="12"/>
        <v>58.125248007358024</v>
      </c>
      <c r="J285" s="47">
        <f t="shared" si="12"/>
        <v>67.188950272871523</v>
      </c>
      <c r="K285" s="47">
        <f t="shared" si="12"/>
        <v>24.763374104071847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62.135277209440943</v>
      </c>
      <c r="F286" s="116">
        <f t="shared" si="12"/>
        <v>41.482779756104485</v>
      </c>
      <c r="G286" s="116">
        <f t="shared" si="12"/>
        <v>39.365620770265444</v>
      </c>
      <c r="H286" s="116">
        <f t="shared" si="12"/>
        <v>51.103650345418139</v>
      </c>
      <c r="I286" s="116">
        <f t="shared" si="12"/>
        <v>66.91512524811489</v>
      </c>
      <c r="J286" s="116">
        <f t="shared" si="12"/>
        <v>60.114302083214099</v>
      </c>
      <c r="K286" s="116">
        <f t="shared" si="12"/>
        <v>7.8252581819222842</v>
      </c>
    </row>
    <row r="287" spans="3:11" x14ac:dyDescent="0.2">
      <c r="C287" s="87" t="s">
        <v>142</v>
      </c>
      <c r="D287" s="47">
        <f t="shared" ref="D287:K296" si="13">+IFERROR(IF(D245&gt;0,+((D245/D35)*100)," "),"")</f>
        <v>53.186179743453501</v>
      </c>
      <c r="E287" s="47">
        <f t="shared" si="13"/>
        <v>63.744084487387276</v>
      </c>
      <c r="F287" s="47">
        <f t="shared" si="13"/>
        <v>65.947653620592789</v>
      </c>
      <c r="G287" s="47">
        <f t="shared" si="13"/>
        <v>22.802324351558095</v>
      </c>
      <c r="H287" s="47">
        <f t="shared" si="13"/>
        <v>26.345450635956613</v>
      </c>
      <c r="I287" s="47">
        <f t="shared" si="13"/>
        <v>39.134971856707864</v>
      </c>
      <c r="J287" s="47">
        <f t="shared" si="13"/>
        <v>39.388892538107676</v>
      </c>
      <c r="K287" s="47">
        <f t="shared" si="13"/>
        <v>4.7469898104852488</v>
      </c>
    </row>
    <row r="288" spans="3:11" x14ac:dyDescent="0.2">
      <c r="C288" s="88" t="s">
        <v>143</v>
      </c>
      <c r="D288" s="116">
        <f t="shared" si="13"/>
        <v>34.246467774806845</v>
      </c>
      <c r="E288" s="116">
        <f t="shared" si="13"/>
        <v>14.518119334915133</v>
      </c>
      <c r="F288" s="116">
        <f t="shared" si="13"/>
        <v>15.179607250593063</v>
      </c>
      <c r="G288" s="116">
        <f t="shared" si="13"/>
        <v>20.853073764880754</v>
      </c>
      <c r="H288" s="116">
        <f t="shared" si="13"/>
        <v>6.0543642672007163</v>
      </c>
      <c r="I288" s="116">
        <f t="shared" si="13"/>
        <v>12.092961400349242</v>
      </c>
      <c r="J288" s="116">
        <f t="shared" si="13"/>
        <v>68.631254148051937</v>
      </c>
      <c r="K288" s="116">
        <f t="shared" si="13"/>
        <v>8.0393554805393652</v>
      </c>
    </row>
    <row r="289" spans="1:11" x14ac:dyDescent="0.2">
      <c r="C289" s="87" t="s">
        <v>144</v>
      </c>
      <c r="D289" s="47">
        <f t="shared" si="13"/>
        <v>24.927490100548255</v>
      </c>
      <c r="E289" s="47">
        <f t="shared" si="13"/>
        <v>42.510077648409563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43.476709810820424</v>
      </c>
      <c r="I289" s="47">
        <f t="shared" si="13"/>
        <v>24.07086541293479</v>
      </c>
      <c r="J289" s="47">
        <f t="shared" si="13"/>
        <v>33.115923985172103</v>
      </c>
      <c r="K289" s="47">
        <f t="shared" si="13"/>
        <v>1.7212289405229353</v>
      </c>
    </row>
    <row r="290" spans="1:11" x14ac:dyDescent="0.2">
      <c r="C290" s="88" t="s">
        <v>145</v>
      </c>
      <c r="D290" s="116">
        <f t="shared" si="13"/>
        <v>79.76291014854597</v>
      </c>
      <c r="E290" s="116">
        <f t="shared" si="13"/>
        <v>71.494099793168715</v>
      </c>
      <c r="F290" s="116">
        <f t="shared" si="13"/>
        <v>63.809565465781567</v>
      </c>
      <c r="G290" s="116">
        <f t="shared" si="13"/>
        <v>70.607383806611651</v>
      </c>
      <c r="H290" s="116">
        <f t="shared" si="13"/>
        <v>56.71982613486837</v>
      </c>
      <c r="I290" s="116">
        <f t="shared" si="13"/>
        <v>44.528548347370432</v>
      </c>
      <c r="J290" s="116">
        <f t="shared" si="13"/>
        <v>73.052219062504193</v>
      </c>
      <c r="K290" s="116">
        <f t="shared" si="13"/>
        <v>5.3140957876337911</v>
      </c>
    </row>
    <row r="291" spans="1:11" x14ac:dyDescent="0.2">
      <c r="C291" s="87" t="s">
        <v>146</v>
      </c>
      <c r="D291" s="47">
        <f t="shared" si="13"/>
        <v>85.897593161494015</v>
      </c>
      <c r="E291" s="47">
        <f t="shared" si="13"/>
        <v>88.405056887134521</v>
      </c>
      <c r="F291" s="47">
        <f t="shared" si="13"/>
        <v>75.400129826099516</v>
      </c>
      <c r="G291" s="47">
        <f t="shared" si="13"/>
        <v>62.555059991185978</v>
      </c>
      <c r="H291" s="47">
        <f t="shared" si="13"/>
        <v>70.945325097351954</v>
      </c>
      <c r="I291" s="47">
        <f t="shared" si="13"/>
        <v>75.599834910359945</v>
      </c>
      <c r="J291" s="47">
        <f t="shared" si="13"/>
        <v>76.587639587986459</v>
      </c>
      <c r="K291" s="47">
        <f t="shared" si="13"/>
        <v>11.216661754415211</v>
      </c>
    </row>
    <row r="292" spans="1:11" x14ac:dyDescent="0.2">
      <c r="C292" s="88" t="s">
        <v>162</v>
      </c>
      <c r="D292" s="116">
        <f t="shared" si="13"/>
        <v>89.525433821184592</v>
      </c>
      <c r="E292" s="116">
        <f t="shared" si="13"/>
        <v>90.032152208552716</v>
      </c>
      <c r="F292" s="116">
        <f t="shared" si="13"/>
        <v>89.634911693336477</v>
      </c>
      <c r="G292" s="116">
        <f t="shared" si="13"/>
        <v>88.256201914529768</v>
      </c>
      <c r="H292" s="116">
        <f t="shared" si="13"/>
        <v>65.140899490937528</v>
      </c>
      <c r="I292" s="116">
        <f t="shared" si="13"/>
        <v>44.710877536668427</v>
      </c>
      <c r="J292" s="116">
        <f t="shared" si="13"/>
        <v>42.377089405310841</v>
      </c>
      <c r="K292" s="116">
        <f t="shared" si="13"/>
        <v>4.1548000568988162</v>
      </c>
    </row>
    <row r="293" spans="1:11" x14ac:dyDescent="0.2">
      <c r="C293" s="87" t="s">
        <v>148</v>
      </c>
      <c r="D293" s="47">
        <f t="shared" si="13"/>
        <v>61.503990634633929</v>
      </c>
      <c r="E293" s="47">
        <f t="shared" si="13"/>
        <v>77.892443986985612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78.260160187165084</v>
      </c>
      <c r="K293" s="47">
        <f t="shared" si="13"/>
        <v>20.454160190399502</v>
      </c>
    </row>
    <row r="294" spans="1:11" x14ac:dyDescent="0.2">
      <c r="C294" s="88" t="s">
        <v>149</v>
      </c>
      <c r="D294" s="116">
        <f t="shared" si="13"/>
        <v>78.93054404573455</v>
      </c>
      <c r="E294" s="116">
        <f t="shared" si="13"/>
        <v>73.994049578465393</v>
      </c>
      <c r="F294" s="116">
        <f t="shared" si="13"/>
        <v>73.842728953728013</v>
      </c>
      <c r="G294" s="116">
        <f t="shared" si="13"/>
        <v>71.515341588499126</v>
      </c>
      <c r="H294" s="116">
        <f t="shared" si="13"/>
        <v>81.208583995977918</v>
      </c>
      <c r="I294" s="116">
        <f t="shared" si="13"/>
        <v>56.717434111417433</v>
      </c>
      <c r="J294" s="116">
        <f t="shared" si="13"/>
        <v>65.653460414082758</v>
      </c>
      <c r="K294" s="116">
        <f t="shared" si="13"/>
        <v>19.823565353476713</v>
      </c>
    </row>
    <row r="295" spans="1:11" x14ac:dyDescent="0.2">
      <c r="C295" s="87" t="s">
        <v>163</v>
      </c>
      <c r="D295" s="47">
        <f t="shared" si="13"/>
        <v>91.139287592412828</v>
      </c>
      <c r="E295" s="47">
        <f t="shared" si="13"/>
        <v>87.337698774189832</v>
      </c>
      <c r="F295" s="47">
        <f t="shared" si="13"/>
        <v>87.980758203429147</v>
      </c>
      <c r="G295" s="47">
        <f t="shared" si="13"/>
        <v>92.83393507437593</v>
      </c>
      <c r="H295" s="47">
        <f t="shared" si="13"/>
        <v>88.672782082078612</v>
      </c>
      <c r="I295" s="47">
        <f t="shared" si="13"/>
        <v>83.123248409885818</v>
      </c>
      <c r="J295" s="47">
        <f t="shared" si="13"/>
        <v>80.527802504961485</v>
      </c>
      <c r="K295" s="47">
        <f t="shared" si="13"/>
        <v>15.761059194107464</v>
      </c>
    </row>
    <row r="296" spans="1:11" x14ac:dyDescent="0.2">
      <c r="C296" s="88" t="s">
        <v>150</v>
      </c>
      <c r="D296" s="116">
        <f t="shared" si="13"/>
        <v>73.208533133686402</v>
      </c>
      <c r="E296" s="116">
        <f t="shared" si="13"/>
        <v>74.969936044678605</v>
      </c>
      <c r="F296" s="116">
        <f t="shared" si="13"/>
        <v>75.866708616309026</v>
      </c>
      <c r="G296" s="116">
        <f t="shared" si="13"/>
        <v>70.121038356500094</v>
      </c>
      <c r="H296" s="116">
        <f t="shared" si="13"/>
        <v>75.369419267563103</v>
      </c>
      <c r="I296" s="116">
        <f t="shared" si="13"/>
        <v>37.061912814278777</v>
      </c>
      <c r="J296" s="116">
        <f t="shared" si="13"/>
        <v>35.935464464040336</v>
      </c>
      <c r="K296" s="116">
        <f t="shared" si="13"/>
        <v>8.6029768498539365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35.043130369733944</v>
      </c>
      <c r="E297" s="47">
        <f t="shared" si="14"/>
        <v>49.38886877962959</v>
      </c>
      <c r="F297" s="47">
        <f t="shared" si="14"/>
        <v>59.113463610007642</v>
      </c>
      <c r="G297" s="47">
        <f t="shared" si="14"/>
        <v>64.106687541363399</v>
      </c>
      <c r="H297" s="47">
        <f t="shared" si="14"/>
        <v>40.898056392847579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7.4010462564236903</v>
      </c>
    </row>
    <row r="298" spans="1:11" x14ac:dyDescent="0.2">
      <c r="C298" s="91" t="s">
        <v>202</v>
      </c>
      <c r="D298" s="64">
        <f t="shared" si="14"/>
        <v>75.219775103782723</v>
      </c>
      <c r="E298" s="64">
        <f t="shared" si="14"/>
        <v>79.272171533345244</v>
      </c>
      <c r="F298" s="64">
        <f t="shared" si="14"/>
        <v>76.020777911977817</v>
      </c>
      <c r="G298" s="64">
        <f t="shared" si="14"/>
        <v>78.049495433137722</v>
      </c>
      <c r="H298" s="64">
        <f t="shared" si="14"/>
        <v>70.519380164221417</v>
      </c>
      <c r="I298" s="64">
        <f t="shared" si="14"/>
        <v>55.671141066818194</v>
      </c>
      <c r="J298" s="64">
        <f t="shared" si="14"/>
        <v>63.580157782853632</v>
      </c>
      <c r="K298" s="64">
        <f t="shared" si="14"/>
        <v>16.504391814084574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abril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5">
    <mergeCell ref="C98:C99"/>
    <mergeCell ref="E223:E224"/>
    <mergeCell ref="H8:H9"/>
    <mergeCell ref="I140:I141"/>
    <mergeCell ref="J8:J9"/>
    <mergeCell ref="H182:H183"/>
    <mergeCell ref="J182:J183"/>
    <mergeCell ref="J98:J99"/>
    <mergeCell ref="F223:F224"/>
    <mergeCell ref="H223:H224"/>
    <mergeCell ref="I56:I57"/>
    <mergeCell ref="K265:K266"/>
    <mergeCell ref="D98:D99"/>
    <mergeCell ref="F98:F99"/>
    <mergeCell ref="J140:J141"/>
    <mergeCell ref="H265:H266"/>
    <mergeCell ref="K182:K183"/>
    <mergeCell ref="K140:K141"/>
    <mergeCell ref="H98:H99"/>
    <mergeCell ref="F140:F141"/>
    <mergeCell ref="I98:I99"/>
    <mergeCell ref="G140:G141"/>
    <mergeCell ref="K223:K224"/>
    <mergeCell ref="F265:F266"/>
    <mergeCell ref="E140:E141"/>
    <mergeCell ref="E98:E99"/>
    <mergeCell ref="G98:G99"/>
    <mergeCell ref="D2:K4"/>
    <mergeCell ref="E182:E183"/>
    <mergeCell ref="A7:C8"/>
    <mergeCell ref="C223:C224"/>
    <mergeCell ref="F13:F14"/>
    <mergeCell ref="K98:K99"/>
    <mergeCell ref="H13:H14"/>
    <mergeCell ref="H140:H141"/>
    <mergeCell ref="J56:J57"/>
    <mergeCell ref="I8:I9"/>
    <mergeCell ref="G182:G183"/>
    <mergeCell ref="K8:K9"/>
    <mergeCell ref="I13:I14"/>
    <mergeCell ref="I182:I183"/>
    <mergeCell ref="C140:C141"/>
    <mergeCell ref="A9:C9"/>
    <mergeCell ref="K56:K57"/>
    <mergeCell ref="D6:K6"/>
    <mergeCell ref="C56:C57"/>
    <mergeCell ref="D13:D14"/>
    <mergeCell ref="F8:F9"/>
    <mergeCell ref="D56:D57"/>
    <mergeCell ref="F56:F57"/>
    <mergeCell ref="K13:K14"/>
    <mergeCell ref="D8:D9"/>
    <mergeCell ref="C13:C14"/>
    <mergeCell ref="E56:E57"/>
    <mergeCell ref="E8:E9"/>
    <mergeCell ref="G8:G9"/>
    <mergeCell ref="E13:E14"/>
    <mergeCell ref="H56:H57"/>
    <mergeCell ref="G13:G14"/>
    <mergeCell ref="C265:C266"/>
    <mergeCell ref="G223:G224"/>
    <mergeCell ref="J13:J14"/>
    <mergeCell ref="E265:E266"/>
    <mergeCell ref="D140:D141"/>
    <mergeCell ref="I223:I224"/>
    <mergeCell ref="C182:C183"/>
    <mergeCell ref="G265:G266"/>
    <mergeCell ref="I265:I266"/>
    <mergeCell ref="J265:J266"/>
    <mergeCell ref="D182:D183"/>
    <mergeCell ref="F182:F183"/>
    <mergeCell ref="D265:D266"/>
    <mergeCell ref="D223:D224"/>
    <mergeCell ref="J223:J224"/>
    <mergeCell ref="G56:G57"/>
  </mergeCells>
  <pageMargins left="0.7" right="0.7" top="0.75" bottom="0.75" header="0.3" footer="0.3"/>
  <pageSetup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2" ht="21" customHeight="1" x14ac:dyDescent="0.2">
      <c r="A5" s="165" t="s">
        <v>33</v>
      </c>
      <c r="B5" s="156"/>
      <c r="C5" s="15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1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9" spans="1:22" ht="18" customHeight="1" x14ac:dyDescent="0.2">
      <c r="D9" s="155" t="s">
        <v>210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229.59071*Deflactores!$A$5</f>
        <v>854.9299056020825</v>
      </c>
      <c r="E13" s="56">
        <f>459.331971*Deflactores!$B$5</f>
        <v>1588.896764932849</v>
      </c>
      <c r="F13" s="56">
        <f>487.711700528*Deflactores!$C$5</f>
        <v>1576.8178321118639</v>
      </c>
      <c r="G13" s="56">
        <f>230.740085283*Deflactores!$D$5</f>
        <v>700.53044755552219</v>
      </c>
      <c r="H13" s="56">
        <f>328.22322*Deflactores!$E$5</f>
        <v>944.56800288847057</v>
      </c>
      <c r="I13" s="56">
        <f>354.447373817*Deflactores!$F$5</f>
        <v>972.80515039831334</v>
      </c>
      <c r="J13" s="56">
        <f>569.476647364*Deflactores!$G$5</f>
        <v>1495.978604192921</v>
      </c>
      <c r="K13" s="56">
        <f>926.0728*Deflactores!$H$5</f>
        <v>2301.6663152912765</v>
      </c>
      <c r="L13" s="56">
        <f>1084.672855*Deflactores!$I$5</f>
        <v>2503.7079018617319</v>
      </c>
      <c r="M13" s="56">
        <f>1231.5633562*Deflactores!$J$5</f>
        <v>2786.9795181789304</v>
      </c>
      <c r="N13" s="56">
        <f>1203.420920914*Deflactores!$K$5</f>
        <v>2639.5871189012046</v>
      </c>
      <c r="O13" s="56">
        <f>1403.200092593*Deflactores!$L$5</f>
        <v>2967.2049753248457</v>
      </c>
      <c r="P13" s="56">
        <f>1771.965427896*Deflactores!$M$5</f>
        <v>3657.7466257266983</v>
      </c>
      <c r="Q13" s="56">
        <f>2274.689352841*Deflactores!$N$5</f>
        <v>4606.126273173245</v>
      </c>
      <c r="R13" s="56">
        <f>2955.571862701*Deflactores!$O$5</f>
        <v>5773.5650549205311</v>
      </c>
      <c r="S13" s="56">
        <f>3221.328635005*Deflactores!$P$5</f>
        <v>5893.7041392603942</v>
      </c>
      <c r="T13" s="56">
        <f>2022.923061735*Deflactores!$Q$5</f>
        <v>3499.8730130717454</v>
      </c>
      <c r="U13" s="56">
        <f>2204.269531189*Deflactores!$R$5</f>
        <v>3663.7734452241657</v>
      </c>
      <c r="V13" s="56">
        <f>1688.096824764*Deflactores!$S$5</f>
        <v>2719.3539724402431</v>
      </c>
    </row>
    <row r="14" spans="1:22" x14ac:dyDescent="0.2">
      <c r="C14" s="88" t="s">
        <v>124</v>
      </c>
      <c r="D14" s="57">
        <f>47.978288797*Deflactores!$A$5</f>
        <v>178.65737647733508</v>
      </c>
      <c r="E14" s="57">
        <f>61.531096275*Deflactores!$B$5</f>
        <v>212.8451011177691</v>
      </c>
      <c r="F14" s="57">
        <f>65.804059586*Deflactores!$C$5</f>
        <v>212.75071823830359</v>
      </c>
      <c r="G14" s="57">
        <f>91.710622727*Deflactores!$D$5</f>
        <v>278.4348610504494</v>
      </c>
      <c r="H14" s="57">
        <f>217.596500478*Deflactores!$E$5</f>
        <v>626.20399584168536</v>
      </c>
      <c r="I14" s="57">
        <f>185.568144775*Deflactores!$F$5</f>
        <v>509.30451266422017</v>
      </c>
      <c r="J14" s="57">
        <f>303.409095*Deflactores!$G$5</f>
        <v>797.03622007772367</v>
      </c>
      <c r="K14" s="57">
        <f>373.502738097*Deflactores!$H$5</f>
        <v>928.30571305725073</v>
      </c>
      <c r="L14" s="57">
        <f>399.58485*Deflactores!$I$5</f>
        <v>922.34607125780326</v>
      </c>
      <c r="M14" s="57">
        <f>432.790001344*Deflactores!$J$5</f>
        <v>979.38677969441187</v>
      </c>
      <c r="N14" s="57">
        <f>490.95898*Deflactores!$K$5</f>
        <v>1076.8709243750011</v>
      </c>
      <c r="O14" s="57">
        <f>259.985760927*Deflactores!$L$5</f>
        <v>549.7655305243519</v>
      </c>
      <c r="P14" s="57">
        <f>140.855635091*Deflactores!$M$5</f>
        <v>290.75862082729941</v>
      </c>
      <c r="Q14" s="57">
        <f>250.271*Deflactores!$N$5</f>
        <v>506.78560880129112</v>
      </c>
      <c r="R14" s="57">
        <f>267.629175799*Deflactores!$O$5</f>
        <v>522.80050320218083</v>
      </c>
      <c r="S14" s="57">
        <f>389.363420612*Deflactores!$P$5</f>
        <v>712.37463287689945</v>
      </c>
      <c r="T14" s="57">
        <f>350.08898539*Deflactores!$Q$5</f>
        <v>605.69134601157555</v>
      </c>
      <c r="U14" s="57">
        <f>360.121033791*Deflactores!$R$5</f>
        <v>598.56649198360265</v>
      </c>
      <c r="V14" s="57">
        <f>299.448237621*Deflactores!$S$5</f>
        <v>482.38095266172775</v>
      </c>
    </row>
    <row r="15" spans="1:22" x14ac:dyDescent="0.2">
      <c r="C15" s="87" t="s">
        <v>125</v>
      </c>
      <c r="D15" s="56">
        <f>32.050006*Deflactores!$A$5</f>
        <v>119.34502316808106</v>
      </c>
      <c r="E15" s="56">
        <f>63.89527*Deflactores!$B$5</f>
        <v>221.02312533675328</v>
      </c>
      <c r="F15" s="56">
        <f>61.663702*Deflactores!$C$5</f>
        <v>199.36455246484249</v>
      </c>
      <c r="G15" s="56">
        <f>40.978811588*Deflactores!$D$5</f>
        <v>124.41230220932948</v>
      </c>
      <c r="H15" s="56">
        <f>60.86346663*Deflactores!$E$5</f>
        <v>175.15422316424829</v>
      </c>
      <c r="I15" s="56">
        <f>52.564930851*Deflactores!$F$5</f>
        <v>144.26806132462713</v>
      </c>
      <c r="J15" s="56">
        <f>77.775174253*Deflactores!$G$5</f>
        <v>204.31039123101246</v>
      </c>
      <c r="K15" s="56">
        <f>74.414494159*Deflactores!$H$5</f>
        <v>184.95018380327093</v>
      </c>
      <c r="L15" s="56">
        <f>129.433*Deflactores!$I$5</f>
        <v>298.76512846047905</v>
      </c>
      <c r="M15" s="56">
        <f>161.168313684*Deflactores!$J$5</f>
        <v>364.71756564978665</v>
      </c>
      <c r="N15" s="56">
        <f>330.373713918*Deflactores!$K$5</f>
        <v>724.64271189433964</v>
      </c>
      <c r="O15" s="56">
        <f>369.096924049*Deflactores!$L$5</f>
        <v>780.4918451733239</v>
      </c>
      <c r="P15" s="56">
        <f>408.25358631*Deflactores!$M$5</f>
        <v>842.7298604461655</v>
      </c>
      <c r="Q15" s="56">
        <f>412.522279571*Deflactores!$N$5</f>
        <v>835.33591425489044</v>
      </c>
      <c r="R15" s="56">
        <f>353.983072066*Deflactores!$O$5</f>
        <v>691.48861535241531</v>
      </c>
      <c r="S15" s="56">
        <f>333.381822119*Deflactores!$P$5</f>
        <v>609.95137336364098</v>
      </c>
      <c r="T15" s="56">
        <f>284.643625037*Deflactores!$Q$5</f>
        <v>492.46388083365093</v>
      </c>
      <c r="U15" s="56">
        <f>356.899597891*Deflactores!$R$5</f>
        <v>593.21205998746404</v>
      </c>
      <c r="V15" s="56">
        <f>311.078*Deflactores!$S$5</f>
        <v>501.11532859320971</v>
      </c>
    </row>
    <row r="16" spans="1:22" x14ac:dyDescent="0.2">
      <c r="C16" s="88" t="s">
        <v>126</v>
      </c>
      <c r="D16" s="57">
        <f>95.333257*Deflactores!$A$5</f>
        <v>354.99368597165392</v>
      </c>
      <c r="E16" s="57">
        <f>138.101733277*Deflactores!$B$5</f>
        <v>477.71418296386008</v>
      </c>
      <c r="F16" s="57">
        <f>128.942898647*Deflactores!$C$5</f>
        <v>416.88452766391964</v>
      </c>
      <c r="G16" s="57">
        <f>51.137240104*Deflactores!$D$5</f>
        <v>155.25344741410055</v>
      </c>
      <c r="H16" s="57">
        <f>38.726016188*Deflactores!$E$5</f>
        <v>111.44658129466204</v>
      </c>
      <c r="I16" s="57">
        <f>42.792052*Deflactores!$F$5</f>
        <v>117.44572440591705</v>
      </c>
      <c r="J16" s="57">
        <f>53.2814*Deflactores!$G$5</f>
        <v>139.966818253913</v>
      </c>
      <c r="K16" s="57">
        <f>84.75470447*Deflactores!$H$5</f>
        <v>210.64979809477828</v>
      </c>
      <c r="L16" s="57">
        <f>62.263170329*Deflactores!$I$5</f>
        <v>143.71963936322555</v>
      </c>
      <c r="M16" s="57">
        <f>167.918695247*Deflactores!$J$5</f>
        <v>379.99341407549969</v>
      </c>
      <c r="N16" s="57">
        <f>202.692101417*Deflactores!$K$5</f>
        <v>444.58547354900458</v>
      </c>
      <c r="O16" s="57">
        <f>190.375558736*Deflactores!$L$5</f>
        <v>402.56789323456218</v>
      </c>
      <c r="P16" s="57">
        <f>267.966216727*Deflactores!$M$5</f>
        <v>553.14427110790143</v>
      </c>
      <c r="Q16" s="57">
        <f>324.059911486*Deflactores!$N$5</f>
        <v>656.20427269050356</v>
      </c>
      <c r="R16" s="57">
        <f>226.149835266*Deflactores!$O$5</f>
        <v>441.77264053210479</v>
      </c>
      <c r="S16" s="57">
        <f>227.031080113*Deflactores!$P$5</f>
        <v>415.37333448770261</v>
      </c>
      <c r="T16" s="57">
        <f>208.389456536*Deflactores!$Q$5</f>
        <v>360.53602281517516</v>
      </c>
      <c r="U16" s="57">
        <f>242.24551449*Deflactores!$R$5</f>
        <v>402.64254014997243</v>
      </c>
      <c r="V16" s="57">
        <f>133.054675674*Deflactores!$S$5</f>
        <v>214.33768225730995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84.1973651924351</v>
      </c>
      <c r="F17" s="56">
        <f>2*Deflactores!$C$5</f>
        <v>6.4661882436069922</v>
      </c>
      <c r="G17" s="56">
        <f>17*Deflactores!$D$5</f>
        <v>51.612261449230225</v>
      </c>
      <c r="H17" s="56">
        <f>0*Deflactores!$E$5</f>
        <v>0</v>
      </c>
      <c r="I17" s="56">
        <f>8.75*Deflactores!$F$5</f>
        <v>24.014975691088015</v>
      </c>
      <c r="J17" s="56">
        <f>42.5*Deflactores!$G$5</f>
        <v>111.64477239320482</v>
      </c>
      <c r="K17" s="56">
        <f>13.9*Deflactores!$H$5</f>
        <v>34.54713472045475</v>
      </c>
      <c r="L17" s="56">
        <f>19.1*Deflactores!$I$5</f>
        <v>44.0877825098325</v>
      </c>
      <c r="M17" s="56">
        <f>21.35*Deflactores!$J$5</f>
        <v>48.314211699765231</v>
      </c>
      <c r="N17" s="56">
        <f>40*Deflactores!$K$5</f>
        <v>87.736122017770285</v>
      </c>
      <c r="O17" s="56">
        <f>50*Deflactores!$L$5</f>
        <v>105.72993085546665</v>
      </c>
      <c r="P17" s="56">
        <f>44.306053303*Deflactores!$M$5</f>
        <v>91.457945181663618</v>
      </c>
      <c r="Q17" s="56">
        <f>62.49231726*Deflactores!$N$5</f>
        <v>126.54365487017088</v>
      </c>
      <c r="R17" s="56">
        <f>60.205094278*Deflactores!$O$5</f>
        <v>117.60770659590675</v>
      </c>
      <c r="S17" s="56">
        <f>55.263618437*Deflactores!$P$5</f>
        <v>101.10965183536712</v>
      </c>
      <c r="T17" s="56">
        <f>65.953428391*Deflactores!$Q$5</f>
        <v>114.1064771624315</v>
      </c>
      <c r="U17" s="56">
        <f>69.270503705*Deflactores!$R$5</f>
        <v>115.13629727249557</v>
      </c>
      <c r="V17" s="56">
        <f>71.915*Deflactores!$S$5</f>
        <v>115.84782226895081</v>
      </c>
    </row>
    <row r="18" spans="3:22" x14ac:dyDescent="0.2">
      <c r="C18" s="88" t="s">
        <v>128</v>
      </c>
      <c r="D18" s="57">
        <f>24.545407*Deflactores!$A$5</f>
        <v>91.400050504982076</v>
      </c>
      <c r="E18" s="57">
        <f>24.88674*Deflactores!$B$5</f>
        <v>86.086889596729009</v>
      </c>
      <c r="F18" s="57">
        <f>17.027*Deflactores!$C$5</f>
        <v>55.049893611948129</v>
      </c>
      <c r="G18" s="57">
        <f>12.167795508*Deflactores!$D$5</f>
        <v>36.94161429527442</v>
      </c>
      <c r="H18" s="57">
        <f>36.078619019*Deflactores!$E$5</f>
        <v>103.82784348331852</v>
      </c>
      <c r="I18" s="57">
        <f>33.4189275*Deflactores!$F$5</f>
        <v>91.7205407468266</v>
      </c>
      <c r="J18" s="57">
        <f>48.3094278*Deflactores!$G$5</f>
        <v>126.90576638063439</v>
      </c>
      <c r="K18" s="57">
        <f>57.973823482*Deflactores!$H$5</f>
        <v>144.0884525246415</v>
      </c>
      <c r="L18" s="57">
        <f>72.195176238*Deflactores!$I$5</f>
        <v>166.64529990785189</v>
      </c>
      <c r="M18" s="57">
        <f>85.353958947*Deflactores!$J$5</f>
        <v>193.15265770390764</v>
      </c>
      <c r="N18" s="57">
        <f>96.130306905*Deflactores!$K$5</f>
        <v>210.85250840556964</v>
      </c>
      <c r="O18" s="57">
        <f>111.256*Deflactores!$L$5</f>
        <v>235.26178374511593</v>
      </c>
      <c r="P18" s="57">
        <f>185.083860208*Deflactores!$M$5</f>
        <v>382.05591062582391</v>
      </c>
      <c r="Q18" s="57">
        <f>190.714*Deflactores!$N$5</f>
        <v>386.18581696213084</v>
      </c>
      <c r="R18" s="57">
        <f>183.49963*Deflactores!$O$5</f>
        <v>358.45755088176173</v>
      </c>
      <c r="S18" s="57">
        <f>205.738413485*Deflactores!$P$5</f>
        <v>376.41652763550746</v>
      </c>
      <c r="T18" s="57">
        <f>155.49282274*Deflactores!$Q$5</f>
        <v>269.01919520721981</v>
      </c>
      <c r="U18" s="57">
        <f>177.608659235*Deflactores!$R$5</f>
        <v>295.20794990803984</v>
      </c>
      <c r="V18" s="57">
        <f>132.58775454*Deflactores!$S$5</f>
        <v>213.58551933517617</v>
      </c>
    </row>
    <row r="19" spans="3:22" x14ac:dyDescent="0.2">
      <c r="C19" s="87" t="s">
        <v>129</v>
      </c>
      <c r="D19" s="56">
        <f>469.826062939*Deflactores!$A$5</f>
        <v>1749.49740622274</v>
      </c>
      <c r="E19" s="56">
        <f>864.096495*Deflactores!$B$5</f>
        <v>2989.036714571113</v>
      </c>
      <c r="F19" s="56">
        <f>997.426742*Deflactores!$C$5</f>
        <v>3224.7745364898124</v>
      </c>
      <c r="G19" s="56">
        <f>915.049566741*Deflactores!$D$5</f>
        <v>2778.104557508314</v>
      </c>
      <c r="H19" s="56">
        <f>866.3419813335*Deflactores!$E$5</f>
        <v>2493.1780119841146</v>
      </c>
      <c r="I19" s="56">
        <f>769.109281662*Deflactores!$F$5</f>
        <v>2110.8732231889248</v>
      </c>
      <c r="J19" s="56">
        <f>1121.08325730662*Deflactores!$G$5</f>
        <v>2945.013766960712</v>
      </c>
      <c r="K19" s="56">
        <f>1114.244201*Deflactores!$H$5</f>
        <v>2769.3485268656445</v>
      </c>
      <c r="L19" s="56">
        <f>3376.98035509242*Deflactores!$I$5</f>
        <v>7794.9515934707606</v>
      </c>
      <c r="M19" s="56">
        <f>3110.191878499*Deflactores!$J$5</f>
        <v>7038.2421004539183</v>
      </c>
      <c r="N19" s="56">
        <f>2076.590855899*Deflactores!$K$5</f>
        <v>4554.8007178535172</v>
      </c>
      <c r="O19" s="56">
        <f>1454.279*Deflactores!$L$5</f>
        <v>3075.2163622911435</v>
      </c>
      <c r="P19" s="56">
        <f>1869.107636383*Deflactores!$M$5</f>
        <v>3858.2706199960821</v>
      </c>
      <c r="Q19" s="56">
        <f>2864.188578691*Deflactores!$N$5</f>
        <v>5799.8311932809765</v>
      </c>
      <c r="R19" s="56">
        <f>2329.961368703*Deflactores!$O$5</f>
        <v>4551.4655581288907</v>
      </c>
      <c r="S19" s="56">
        <f>1375.317438871*Deflactores!$P$5</f>
        <v>2516.2642501572759</v>
      </c>
      <c r="T19" s="56">
        <f>976.5937619664*Deflactores!$Q$5</f>
        <v>1689.6115412856777</v>
      </c>
      <c r="U19" s="56">
        <f>923.911836825*Deflactores!$R$5</f>
        <v>1535.6577794104064</v>
      </c>
      <c r="V19" s="56">
        <f>775.229311092*Deflactores!$S$5</f>
        <v>1248.8163449776428</v>
      </c>
    </row>
    <row r="20" spans="3:22" x14ac:dyDescent="0.2">
      <c r="C20" s="88" t="s">
        <v>130</v>
      </c>
      <c r="D20" s="57">
        <f>25.04995*Deflactores!$A$5</f>
        <v>93.278823820166267</v>
      </c>
      <c r="E20" s="57">
        <f>59.2*Deflactores!$B$5</f>
        <v>204.7814966575115</v>
      </c>
      <c r="F20" s="57">
        <f>16.792*Deflactores!$C$5</f>
        <v>54.290116493324312</v>
      </c>
      <c r="G20" s="57">
        <f>20.243244393*Deflactores!$D$5</f>
        <v>61.458801305422348</v>
      </c>
      <c r="H20" s="57">
        <f>67.794*Deflactores!$E$5</f>
        <v>195.09906455680061</v>
      </c>
      <c r="I20" s="57">
        <f>52.25*Deflactores!$F$5</f>
        <v>143.40371198392558</v>
      </c>
      <c r="J20" s="57">
        <f>73.8295*Deflactores!$G$5</f>
        <v>193.94535819774387</v>
      </c>
      <c r="K20" s="57">
        <f>61.548284903*Deflactores!$H$5</f>
        <v>152.97243815517066</v>
      </c>
      <c r="L20" s="57">
        <f>130.388*Deflactores!$I$5</f>
        <v>300.96951758597066</v>
      </c>
      <c r="M20" s="57">
        <f>120.519815558*Deflactores!$J$5</f>
        <v>272.73161043961926</v>
      </c>
      <c r="N20" s="57">
        <f>128.384527177*Deflactores!$K$5</f>
        <v>281.59901353987544</v>
      </c>
      <c r="O20" s="57">
        <f>160.026*Deflactores!$L$5</f>
        <v>338.39075830153814</v>
      </c>
      <c r="P20" s="57">
        <f>311.496829077*Deflactores!$M$5</f>
        <v>643.0015267475269</v>
      </c>
      <c r="Q20" s="57">
        <f>364.064*Deflactores!$N$5</f>
        <v>737.21044740554544</v>
      </c>
      <c r="R20" s="57">
        <f>327.703656*Deflactores!$O$5</f>
        <v>640.15306158796818</v>
      </c>
      <c r="S20" s="57">
        <f>407.679743203*Deflactores!$P$5</f>
        <v>745.88595646479462</v>
      </c>
      <c r="T20" s="57">
        <f>345.24351458*Deflactores!$Q$5</f>
        <v>597.30816385090498</v>
      </c>
      <c r="U20" s="57">
        <f>534.058554407*Deflactores!$R$5</f>
        <v>887.67254736571579</v>
      </c>
      <c r="V20" s="57">
        <f>531.119*Deflactores!$S$5</f>
        <v>855.57921873966325</v>
      </c>
    </row>
    <row r="21" spans="3:22" x14ac:dyDescent="0.2">
      <c r="C21" s="87" t="s">
        <v>131</v>
      </c>
      <c r="D21" s="56">
        <f>117.263982*Deflactores!$A$5</f>
        <v>436.65741118960909</v>
      </c>
      <c r="E21" s="56">
        <f>134.4054*Deflactores!$B$5</f>
        <v>464.92802315627523</v>
      </c>
      <c r="F21" s="56">
        <f>136.591040087*Deflactores!$C$5</f>
        <v>441.61168879630543</v>
      </c>
      <c r="G21" s="56">
        <f>121.20778498*Deflactores!$D$5</f>
        <v>367.98869929822592</v>
      </c>
      <c r="H21" s="56">
        <f>267.450469733*Deflactores!$E$5</f>
        <v>769.67484526927478</v>
      </c>
      <c r="I21" s="56">
        <f>475.125582192*Deflactores!$F$5</f>
        <v>1304.0147778919909</v>
      </c>
      <c r="J21" s="56">
        <f>509.019370411*Deflactores!$G$5</f>
        <v>1337.1612177239651</v>
      </c>
      <c r="K21" s="56">
        <f>626.544187651*Deflactores!$H$5</f>
        <v>1557.2162920213652</v>
      </c>
      <c r="L21" s="56">
        <f>833.699304869*Deflactores!$I$5</f>
        <v>1924.3954780975398</v>
      </c>
      <c r="M21" s="56">
        <f>960.083320319*Deflactores!$J$5</f>
        <v>2172.630856548275</v>
      </c>
      <c r="N21" s="56">
        <f>1032.313906607*Deflactores!$K$5</f>
        <v>2264.2804717678218</v>
      </c>
      <c r="O21" s="56">
        <f>941.693842924*Deflactores!$L$5</f>
        <v>1991.3044979874639</v>
      </c>
      <c r="P21" s="56">
        <f>1208.110642949*Deflactores!$M$5</f>
        <v>2493.8198895890505</v>
      </c>
      <c r="Q21" s="56">
        <f>1555.672191764*Deflactores!$N$5</f>
        <v>3150.1543478803287</v>
      </c>
      <c r="R21" s="56">
        <f>1898.48780494*Deflactores!$O$5</f>
        <v>3708.6030578791042</v>
      </c>
      <c r="S21" s="56">
        <f>2454.364663344*Deflactores!$P$5</f>
        <v>4490.4760782292942</v>
      </c>
      <c r="T21" s="56">
        <f>2586.101939876*Deflactores!$Q$5</f>
        <v>4474.2326387152407</v>
      </c>
      <c r="U21" s="56">
        <f>3260.121065948*Deflactores!$R$5</f>
        <v>5418.7316118248527</v>
      </c>
      <c r="V21" s="56">
        <f>3416.373771847*Deflactores!$S$5</f>
        <v>5503.4340753005126</v>
      </c>
    </row>
    <row r="22" spans="3:22" x14ac:dyDescent="0.2">
      <c r="C22" s="88" t="s">
        <v>132</v>
      </c>
      <c r="D22" s="57">
        <f>0*Deflactores!$A$5</f>
        <v>0</v>
      </c>
      <c r="E22" s="57">
        <f>0*Deflactores!$B$5</f>
        <v>0</v>
      </c>
      <c r="F22" s="57">
        <f>0*Deflactores!$C$5</f>
        <v>0</v>
      </c>
      <c r="G22" s="57">
        <f>0*Deflactores!$D$5</f>
        <v>0</v>
      </c>
      <c r="H22" s="57">
        <f>2*Deflactores!$E$5</f>
        <v>5.7556439967194919</v>
      </c>
      <c r="I22" s="57">
        <f>7.114266017*Deflactores!$F$5</f>
        <v>19.525591480935834</v>
      </c>
      <c r="J22" s="57">
        <f>1.1967085*Deflactores!$G$5</f>
        <v>3.1436764259650247</v>
      </c>
      <c r="K22" s="57">
        <f>3.124195057*Deflactores!$H$5</f>
        <v>7.7648911890041585</v>
      </c>
      <c r="L22" s="57">
        <f>2.758*Deflactores!$I$5</f>
        <v>6.3661834639852373</v>
      </c>
      <c r="M22" s="57">
        <f>0.558412*Deflactores!$J$5</f>
        <v>1.2636644301493818</v>
      </c>
      <c r="N22" s="57">
        <f>3.433067729*Deflactores!$K$5</f>
        <v>7.530101229170338</v>
      </c>
      <c r="O22" s="57">
        <f>4*Deflactores!$L$5</f>
        <v>8.4583944684373318</v>
      </c>
      <c r="P22" s="57">
        <f>9.812141434*Deflactores!$M$5</f>
        <v>20.254530171044117</v>
      </c>
      <c r="Q22" s="57">
        <f>6.9682*Deflactores!$N$5</f>
        <v>14.110238418550919</v>
      </c>
      <c r="R22" s="57">
        <f>9.079490093*Deflactores!$O$5</f>
        <v>17.736339751704129</v>
      </c>
      <c r="S22" s="57">
        <f>9.00615728*Deflactores!$P$5</f>
        <v>16.47755707479493</v>
      </c>
      <c r="T22" s="57">
        <f>15.19512*Deflactores!$Q$5</f>
        <v>26.289180950250778</v>
      </c>
      <c r="U22" s="57">
        <f>20.500561481*Deflactores!$R$5</f>
        <v>34.074513893842457</v>
      </c>
      <c r="V22" s="57">
        <f>21.5006786*Deflactores!$S$5</f>
        <v>34.63542784001438</v>
      </c>
    </row>
    <row r="23" spans="3:22" x14ac:dyDescent="0.2">
      <c r="C23" s="87" t="s">
        <v>133</v>
      </c>
      <c r="D23" s="56">
        <f>28.41036*Deflactores!$A$5</f>
        <v>105.79202613608007</v>
      </c>
      <c r="E23" s="56">
        <f>38.21*Deflactores!$B$5</f>
        <v>132.17400316357288</v>
      </c>
      <c r="F23" s="56">
        <f>28.859662*Deflactores!$C$5</f>
        <v>93.306003569435731</v>
      </c>
      <c r="G23" s="56">
        <f>29.399156606*Deflactores!$D$5</f>
        <v>89.256291596219754</v>
      </c>
      <c r="H23" s="56">
        <f>39.28227*Deflactores!$E$5</f>
        <v>113.04738075150709</v>
      </c>
      <c r="I23" s="56">
        <f>44.352426552*Deflactores!$F$5</f>
        <v>121.72827948423389</v>
      </c>
      <c r="J23" s="56">
        <f>49.517468*Deflactores!$G$5</f>
        <v>130.07921045524242</v>
      </c>
      <c r="K23" s="56">
        <f>72.4534*Deflactores!$H$5</f>
        <v>180.07606983848893</v>
      </c>
      <c r="L23" s="56">
        <f>93.521*Deflactores!$I$5</f>
        <v>215.87086429853639</v>
      </c>
      <c r="M23" s="56">
        <f>97.849253622*Deflactores!$J$5</f>
        <v>221.42901893008559</v>
      </c>
      <c r="N23" s="56">
        <f>113.877152127*Deflactores!$K$5</f>
        <v>249.77849285126655</v>
      </c>
      <c r="O23" s="56">
        <f>122.988*Deflactores!$L$5</f>
        <v>260.07025472104266</v>
      </c>
      <c r="P23" s="56">
        <f>133.778*Deflactores!$M$5</f>
        <v>276.14874443542794</v>
      </c>
      <c r="Q23" s="56">
        <f>149.145867265*Deflactores!$N$5</f>
        <v>302.01253498043951</v>
      </c>
      <c r="R23" s="56">
        <f>149.783953417*Deflactores!$O$5</f>
        <v>292.59562595982186</v>
      </c>
      <c r="S23" s="56">
        <f>156.964*Deflactores!$P$5</f>
        <v>287.1794471579683</v>
      </c>
      <c r="T23" s="56">
        <f>173.994350885*Deflactores!$Q$5</f>
        <v>301.02881548399694</v>
      </c>
      <c r="U23" s="56">
        <f>162.883383878*Deflactores!$R$5</f>
        <v>270.73268857396454</v>
      </c>
      <c r="V23" s="56">
        <f>116.702603119*Deflactores!$S$5</f>
        <v>187.99614022740479</v>
      </c>
    </row>
    <row r="24" spans="3:22" x14ac:dyDescent="0.2">
      <c r="C24" s="88" t="s">
        <v>134</v>
      </c>
      <c r="D24" s="57">
        <f>872.539599578*Deflactores!$A$5</f>
        <v>3249.0870275251918</v>
      </c>
      <c r="E24" s="57">
        <f>1784.720426*Deflactores!$B$5</f>
        <v>6173.6101343160726</v>
      </c>
      <c r="F24" s="57">
        <f>1132.24577*Deflactores!$C$5</f>
        <v>3660.6571434238731</v>
      </c>
      <c r="G24" s="57">
        <f>1295.677946821*Deflactores!$D$5</f>
        <v>3933.6981732545451</v>
      </c>
      <c r="H24" s="57">
        <f>1494.711437*Deflactores!$E$5</f>
        <v>4301.5134545985075</v>
      </c>
      <c r="I24" s="57">
        <f>1926.347467021*Deflactores!$F$5</f>
        <v>5286.9928677826611</v>
      </c>
      <c r="J24" s="57">
        <f>854.185933062*Deflactores!$G$5</f>
        <v>2243.8916253690418</v>
      </c>
      <c r="K24" s="57">
        <f>937.649251359*Deflactores!$H$5</f>
        <v>2330.4384897289865</v>
      </c>
      <c r="L24" s="57">
        <f>969.128928036*Deflactores!$I$5</f>
        <v>2237.0023771328943</v>
      </c>
      <c r="M24" s="57">
        <f>1006.402117932*Deflactores!$J$5</f>
        <v>2277.4484768552102</v>
      </c>
      <c r="N24" s="57">
        <f>817.308*Deflactores!$K$5</f>
        <v>1792.685860352495</v>
      </c>
      <c r="O24" s="57">
        <f>1418.578964307*Deflactores!$L$5</f>
        <v>2999.7251161839717</v>
      </c>
      <c r="P24" s="57">
        <f>2464.76273402*Deflactores!$M$5</f>
        <v>5087.8405592164318</v>
      </c>
      <c r="Q24" s="57">
        <f>2578.89869377*Deflactores!$N$5</f>
        <v>5222.134184780035</v>
      </c>
      <c r="R24" s="57">
        <f>2892.482027615*Deflactores!$O$5</f>
        <v>5650.3221482701911</v>
      </c>
      <c r="S24" s="57">
        <f>3099.490326584*Deflactores!$P$5</f>
        <v>5670.7902350848835</v>
      </c>
      <c r="T24" s="57">
        <f>2019.093119931*Deflactores!$Q$5</f>
        <v>3493.2468045841333</v>
      </c>
      <c r="U24" s="57">
        <f>1505.60948357244*Deflactores!$R$5</f>
        <v>2502.5124952913029</v>
      </c>
      <c r="V24" s="57">
        <f>1510.480047697*Deflactores!$S$5</f>
        <v>2433.2312327942486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68.377086275*Deflactores!$A$5</f>
        <v>254.61664330595605</v>
      </c>
      <c r="E26" s="57">
        <f>144.036191308*Deflactores!$B$5</f>
        <v>498.2423450827684</v>
      </c>
      <c r="F26" s="57">
        <f>107.609*Deflactores!$C$5</f>
        <v>347.91002535315238</v>
      </c>
      <c r="G26" s="57">
        <f>86.075913592*Deflactores!$D$5</f>
        <v>261.32779745833261</v>
      </c>
      <c r="H26" s="57">
        <f>215.341*Deflactores!$E$5</f>
        <v>619.71306694878604</v>
      </c>
      <c r="I26" s="57">
        <f>436.51196154492*Deflactores!$F$5</f>
        <v>1198.0370451851886</v>
      </c>
      <c r="J26" s="57">
        <f>1100.338036282*Deflactores!$G$5</f>
        <v>2890.5174027362318</v>
      </c>
      <c r="K26" s="57">
        <f>1492.502359342*Deflactores!$H$5</f>
        <v>3709.4733869629235</v>
      </c>
      <c r="L26" s="57">
        <f>2079.745027916*Deflactores!$I$5</f>
        <v>4800.5940558463935</v>
      </c>
      <c r="M26" s="57">
        <f>2008.936570261*Deflactores!$J$5</f>
        <v>4546.1445783133595</v>
      </c>
      <c r="N26" s="57">
        <f>2924.565314314*Deflactores!$K$5</f>
        <v>6414.750481639795</v>
      </c>
      <c r="O26" s="57">
        <f>2896.64486*Deflactores!$L$5</f>
        <v>6125.2412152128572</v>
      </c>
      <c r="P26" s="57">
        <f>4429.952800968*Deflactores!$M$5</f>
        <v>9144.4475466483309</v>
      </c>
      <c r="Q26" s="57">
        <f>4962.958039526*Deflactores!$N$5</f>
        <v>10049.72893989494</v>
      </c>
      <c r="R26" s="57">
        <f>7480.534453324*Deflactores!$O$5</f>
        <v>14612.858126336057</v>
      </c>
      <c r="S26" s="57">
        <f>8493.415886682*Deflactores!$P$5</f>
        <v>15539.451586478695</v>
      </c>
      <c r="T26" s="57">
        <f>7312.805863734*Deflactores!$Q$5</f>
        <v>12651.93539805925</v>
      </c>
      <c r="U26" s="57">
        <f>7720.884731568*Deflactores!$R$5</f>
        <v>12833.082367153625</v>
      </c>
      <c r="V26" s="57">
        <f>7453.468800327*Deflactores!$S$5</f>
        <v>12006.787580719631</v>
      </c>
    </row>
    <row r="27" spans="3:22" x14ac:dyDescent="0.2">
      <c r="C27" s="87" t="s">
        <v>137</v>
      </c>
      <c r="D27" s="56">
        <f>38.63*Deflactores!$A$5</f>
        <v>143.84703219659212</v>
      </c>
      <c r="E27" s="56">
        <f>23.29*Deflactores!$B$5</f>
        <v>80.563531370835179</v>
      </c>
      <c r="F27" s="56">
        <f>36.00359*Deflactores!$C$5</f>
        <v>116.40299519282314</v>
      </c>
      <c r="G27" s="56">
        <f>18.829*Deflactores!$D$5</f>
        <v>57.165133578091528</v>
      </c>
      <c r="H27" s="56">
        <f>49.321212*Deflactores!$E$5</f>
        <v>141.93766887936468</v>
      </c>
      <c r="I27" s="56">
        <f>139.414558155*Deflactores!$F$5</f>
        <v>382.63282572298306</v>
      </c>
      <c r="J27" s="56">
        <f>40.057*Deflactores!$G$5</f>
        <v>105.22716818246131</v>
      </c>
      <c r="K27" s="56">
        <f>82.899906386*Deflactores!$H$5</f>
        <v>206.03987296620352</v>
      </c>
      <c r="L27" s="56">
        <f>89.0376*Deflactores!$I$5</f>
        <v>205.52200753913414</v>
      </c>
      <c r="M27" s="56">
        <f>83.5417707*Deflactores!$J$5</f>
        <v>189.05174685588025</v>
      </c>
      <c r="N27" s="56">
        <f>122.052182866*Deflactores!$K$5</f>
        <v>267.70963021166472</v>
      </c>
      <c r="O27" s="56">
        <f>137.280566095*Deflactores!$L$5</f>
        <v>290.2932952204734</v>
      </c>
      <c r="P27" s="56">
        <f>169.037542364*Deflactores!$M$5</f>
        <v>348.93259793291173</v>
      </c>
      <c r="Q27" s="56">
        <f>220.153063749*Deflactores!$N$5</f>
        <v>445.79837233041957</v>
      </c>
      <c r="R27" s="56">
        <f>402.030507676*Deflactores!$O$5</f>
        <v>785.3469304613327</v>
      </c>
      <c r="S27" s="56">
        <f>213.804315149*Deflactores!$P$5</f>
        <v>391.17380434034459</v>
      </c>
      <c r="T27" s="56">
        <f>163.089896377*Deflactores!$Q$5</f>
        <v>282.1629442223952</v>
      </c>
      <c r="U27" s="56">
        <f>184.325336221*Deflactores!$R$5</f>
        <v>306.37191258740467</v>
      </c>
      <c r="V27" s="56">
        <f>414.479073103*Deflactores!$S$5</f>
        <v>667.68404359362876</v>
      </c>
    </row>
    <row r="28" spans="3:22" x14ac:dyDescent="0.2">
      <c r="C28" s="88" t="s">
        <v>138</v>
      </c>
      <c r="D28" s="57">
        <f>7*Deflactores!$A$5</f>
        <v>26.065990819988219</v>
      </c>
      <c r="E28" s="57">
        <f>18*Deflactores!$B$5</f>
        <v>62.264644253973088</v>
      </c>
      <c r="F28" s="57">
        <f>6*Deflactores!$C$5</f>
        <v>19.398564730820976</v>
      </c>
      <c r="G28" s="57">
        <f>23.845630165*Deflactores!$D$5</f>
        <v>72.395699911625343</v>
      </c>
      <c r="H28" s="57">
        <f>0*Deflactores!$E$5</f>
        <v>0</v>
      </c>
      <c r="I28" s="57">
        <f>0*Deflactores!$F$5</f>
        <v>0</v>
      </c>
      <c r="J28" s="57">
        <f>0*Deflactores!$G$5</f>
        <v>0</v>
      </c>
      <c r="K28" s="57">
        <f>0*Deflactores!$H$5</f>
        <v>0</v>
      </c>
      <c r="L28" s="57">
        <f>45*Deflactores!$I$5</f>
        <v>103.87173889751112</v>
      </c>
      <c r="M28" s="57">
        <f>18.5*Deflactores!$J$5</f>
        <v>41.864773604012022</v>
      </c>
      <c r="N28" s="57">
        <f>15.5*Deflactores!$K$5</f>
        <v>33.997747281885985</v>
      </c>
      <c r="O28" s="57">
        <f>0*Deflactores!$L$5</f>
        <v>0</v>
      </c>
      <c r="P28" s="57">
        <f>65.45*Deflactores!$M$5</f>
        <v>135.10394327392217</v>
      </c>
      <c r="Q28" s="57">
        <f>34.58654082*Deflactores!$N$5</f>
        <v>70.035925639784111</v>
      </c>
      <c r="R28" s="57">
        <f>20.2136*Deflactores!$O$5</f>
        <v>39.486278803415459</v>
      </c>
      <c r="S28" s="57">
        <f>16.871*Deflactores!$P$5</f>
        <v>30.866978753103151</v>
      </c>
      <c r="T28" s="57">
        <f>10.642*Deflactores!$Q$5</f>
        <v>18.411796923786635</v>
      </c>
      <c r="U28" s="57">
        <f>8.630885526*Deflactores!$R$5</f>
        <v>14.345618242915812</v>
      </c>
      <c r="V28" s="57">
        <f>7.0382*Deflactores!$S$5</f>
        <v>11.337831366103449</v>
      </c>
    </row>
    <row r="29" spans="3:22" x14ac:dyDescent="0.2">
      <c r="C29" s="87" t="s">
        <v>139</v>
      </c>
      <c r="D29" s="56">
        <f>62.829603*Deflactores!$A$5</f>
        <v>233.95940786021487</v>
      </c>
      <c r="E29" s="56">
        <f>135.464*Deflactores!$B$5</f>
        <v>468.58987606778948</v>
      </c>
      <c r="F29" s="56">
        <f>111.081184*Deflactores!$C$5</f>
        <v>359.13592303337253</v>
      </c>
      <c r="G29" s="56">
        <f>43.6291969890999*Deflactores!$D$5</f>
        <v>132.45891304831719</v>
      </c>
      <c r="H29" s="56">
        <f>105.788638576*Deflactores!$E$5</f>
        <v>304.44087127054121</v>
      </c>
      <c r="I29" s="56">
        <f>77.35820685992*Deflactores!$F$5</f>
        <v>212.31490939967279</v>
      </c>
      <c r="J29" s="56">
        <f>156.86602319662*Deflactores!$G$5</f>
        <v>412.07697543561949</v>
      </c>
      <c r="K29" s="56">
        <f>382.43698995*Deflactores!$H$5</f>
        <v>950.51095063941352</v>
      </c>
      <c r="L29" s="56">
        <f>491.063164271*Deflactores!$I$5</f>
        <v>1133.5018840298428</v>
      </c>
      <c r="M29" s="56">
        <f>420.146037371*Deflactores!$J$5</f>
        <v>950.77398568430749</v>
      </c>
      <c r="N29" s="56">
        <f>214.54927933444*Deflactores!$K$5</f>
        <v>470.59304376277771</v>
      </c>
      <c r="O29" s="56">
        <f>3786.032538026*Deflactores!$L$5</f>
        <v>8005.939169240718</v>
      </c>
      <c r="P29" s="56">
        <f>224.177842033*Deflactores!$M$5</f>
        <v>462.75493435136315</v>
      </c>
      <c r="Q29" s="56">
        <f>403.509697248*Deflactores!$N$5</f>
        <v>817.08590918265543</v>
      </c>
      <c r="R29" s="56">
        <f>366.333806039*Deflactores!$O$5</f>
        <v>715.61517000298204</v>
      </c>
      <c r="S29" s="56">
        <f>369.157160991*Deflactores!$P$5</f>
        <v>675.40550322239801</v>
      </c>
      <c r="T29" s="56">
        <f>418.955793696*Deflactores!$Q$5</f>
        <v>724.83828167398997</v>
      </c>
      <c r="U29" s="56">
        <f>565.949349763*Deflactores!$R$5</f>
        <v>940.67906381897649</v>
      </c>
      <c r="V29" s="56">
        <f>467.877953018*Deflactores!$S$5</f>
        <v>753.7042612082289</v>
      </c>
    </row>
    <row r="30" spans="3:22" x14ac:dyDescent="0.2">
      <c r="C30" s="88" t="s">
        <v>140</v>
      </c>
      <c r="D30" s="57">
        <f>253.450981*Deflactores!$A$5</f>
        <v>943.77870629471556</v>
      </c>
      <c r="E30" s="57">
        <f>491.525325087*Deflactores!$B$5</f>
        <v>1700.2583060200293</v>
      </c>
      <c r="F30" s="57">
        <f>297.3839574*Deflactores!$C$5</f>
        <v>961.47032458860122</v>
      </c>
      <c r="G30" s="57">
        <f>335.296588*Deflactores!$D$5</f>
        <v>1017.9655978171077</v>
      </c>
      <c r="H30" s="57">
        <f>630.026*Deflactores!$E$5</f>
        <v>1813.1026823385971</v>
      </c>
      <c r="I30" s="57">
        <f>639.47819*Deflactores!$F$5</f>
        <v>1755.0917928949673</v>
      </c>
      <c r="J30" s="57">
        <f>714.5003*Deflactores!$G$5</f>
        <v>1876.9464321970956</v>
      </c>
      <c r="K30" s="57">
        <f>3804.539*Deflactores!$H$5</f>
        <v>9455.8216821744027</v>
      </c>
      <c r="L30" s="57">
        <f>1471.441203472*Deflactores!$I$5</f>
        <v>3396.4701442240694</v>
      </c>
      <c r="M30" s="57">
        <f>6862.096479655*Deflactores!$J$5</f>
        <v>15528.654895656457</v>
      </c>
      <c r="N30" s="57">
        <f>1093.52613373*Deflactores!$K$5</f>
        <v>2398.5435574638968</v>
      </c>
      <c r="O30" s="57">
        <f>1674.393*Deflactores!$L$5</f>
        <v>3540.6691222975473</v>
      </c>
      <c r="P30" s="57">
        <f>2043.800368294*Deflactores!$M$5</f>
        <v>4218.8768376044891</v>
      </c>
      <c r="Q30" s="57">
        <f>2665.363384229*Deflactores!$N$5</f>
        <v>5397.2206342451327</v>
      </c>
      <c r="R30" s="57">
        <f>2264.070316214*Deflactores!$O$5</f>
        <v>4422.7506103100386</v>
      </c>
      <c r="S30" s="57">
        <f>2478.076190319*Deflactores!$P$5</f>
        <v>4533.8584028894184</v>
      </c>
      <c r="T30" s="57">
        <f>2467.358875997*Deflactores!$Q$5</f>
        <v>4268.7944524487139</v>
      </c>
      <c r="U30" s="57">
        <f>3022.515815001*Deflactores!$R$5</f>
        <v>5023.8017738227509</v>
      </c>
      <c r="V30" s="57">
        <f>3293.8765126739*Deflactores!$S$5</f>
        <v>5306.1033277635743</v>
      </c>
    </row>
    <row r="31" spans="3:22" x14ac:dyDescent="0.2">
      <c r="C31" s="87" t="s">
        <v>141</v>
      </c>
      <c r="D31" s="56">
        <f>7.965*Deflactores!$A$5</f>
        <v>29.659373840172307</v>
      </c>
      <c r="E31" s="56">
        <f>20.772*Deflactores!$B$5</f>
        <v>71.853399469084934</v>
      </c>
      <c r="F31" s="56">
        <f>21*Deflactores!$C$5</f>
        <v>67.89497655787342</v>
      </c>
      <c r="G31" s="56">
        <f>18.588984708*Deflactores!$D$5</f>
        <v>56.436443460296395</v>
      </c>
      <c r="H31" s="56">
        <f>24.279327303*Deflactores!$E$5</f>
        <v>69.871582217949793</v>
      </c>
      <c r="I31" s="56">
        <f>31.09759956255*Deflactores!$F$5</f>
        <v>85.349496862380278</v>
      </c>
      <c r="J31" s="56">
        <f>35.4240541*Deflactores!$G$5</f>
        <v>93.05671664091939</v>
      </c>
      <c r="K31" s="56">
        <f>46.1247*Deflactores!$H$5</f>
        <v>114.63857732665892</v>
      </c>
      <c r="L31" s="56">
        <f>52.39423125*Deflactores!$I$5</f>
        <v>120.93955351412927</v>
      </c>
      <c r="M31" s="56">
        <f>67.12711006*Deflactores!$J$5</f>
        <v>151.90601434343233</v>
      </c>
      <c r="N31" s="56">
        <f>100.2800729*Deflactores!$K$5</f>
        <v>219.95461779763247</v>
      </c>
      <c r="O31" s="56">
        <f>87.342329204*Deflactores!$L$5</f>
        <v>184.69396854988651</v>
      </c>
      <c r="P31" s="56">
        <f>84.205509705*Deflactores!$M$5</f>
        <v>173.81965479810577</v>
      </c>
      <c r="Q31" s="56">
        <f>111.465*Deflactores!$N$5</f>
        <v>225.71076107513824</v>
      </c>
      <c r="R31" s="56">
        <f>78.538677102*Deflactores!$O$5</f>
        <v>153.4214638115424</v>
      </c>
      <c r="S31" s="56">
        <f>162.32579725032*Deflactores!$P$5</f>
        <v>296.98932694008403</v>
      </c>
      <c r="T31" s="56">
        <f>93.786762993*Deflactores!$Q$5</f>
        <v>162.26111956083665</v>
      </c>
      <c r="U31" s="56">
        <f>230.662058359*Deflactores!$R$5</f>
        <v>383.38937787730572</v>
      </c>
      <c r="V31" s="56">
        <f>225.030057713*Deflactores!$S$5</f>
        <v>362.50075966220351</v>
      </c>
    </row>
    <row r="32" spans="3:22" x14ac:dyDescent="0.2">
      <c r="C32" s="88" t="s">
        <v>142</v>
      </c>
      <c r="D32" s="57">
        <f>465.738917783*Deflactores!$A$5</f>
        <v>1734.2780507775608</v>
      </c>
      <c r="E32" s="57">
        <f>1052.066674*Deflactores!$B$5</f>
        <v>3639.2531771150375</v>
      </c>
      <c r="F32" s="57">
        <f>849.501593829*Deflactores!$C$5</f>
        <v>2746.5186094712408</v>
      </c>
      <c r="G32" s="57">
        <f>384.106108506*Deflactores!$D$5</f>
        <v>1166.1520527328273</v>
      </c>
      <c r="H32" s="57">
        <f>283.430120755*Deflactores!$E$5</f>
        <v>815.66143650649826</v>
      </c>
      <c r="I32" s="57">
        <f>250.104447196*Deflactores!$F$5</f>
        <v>686.42882510227957</v>
      </c>
      <c r="J32" s="57">
        <f>329.13975945*Deflactores!$G$5</f>
        <v>864.62902421998672</v>
      </c>
      <c r="K32" s="57">
        <f>359.921261215*Deflactores!$H$5</f>
        <v>894.55023740651723</v>
      </c>
      <c r="L32" s="57">
        <f>572.116698195*Deflactores!$I$5</f>
        <v>1320.5945843070492</v>
      </c>
      <c r="M32" s="57">
        <f>1089.551599412*Deflactores!$J$5</f>
        <v>2465.6124886093289</v>
      </c>
      <c r="N32" s="57">
        <f>854.537142788*Deflactores!$K$5</f>
        <v>1874.344375709119</v>
      </c>
      <c r="O32" s="57">
        <f>839.308874474*Deflactores!$L$5</f>
        <v>1774.8013852903111</v>
      </c>
      <c r="P32" s="57">
        <f>926.15332568*Deflactores!$M$5</f>
        <v>1911.7947498185652</v>
      </c>
      <c r="Q32" s="57">
        <f>498.57342583*Deflactores!$N$5</f>
        <v>1009.5849584706256</v>
      </c>
      <c r="R32" s="57">
        <f>295.028622986*Deflactores!$O$5</f>
        <v>576.32398297250086</v>
      </c>
      <c r="S32" s="57">
        <f>232.206690663*Deflactores!$P$5</f>
        <v>424.84256932151129</v>
      </c>
      <c r="T32" s="57">
        <f>377.870444209*Deflactores!$Q$5</f>
        <v>653.75623776331111</v>
      </c>
      <c r="U32" s="57">
        <f>347.965795564*Deflactores!$R$5</f>
        <v>578.36295588861606</v>
      </c>
      <c r="V32" s="57">
        <f>302.012874721*Deflactores!$S$5</f>
        <v>486.51232473911301</v>
      </c>
    </row>
    <row r="33" spans="3:22" x14ac:dyDescent="0.2">
      <c r="C33" s="87" t="s">
        <v>143</v>
      </c>
      <c r="D33" s="56">
        <f>740.963730109*Deflactores!$A$5</f>
        <v>2759.1362552807745</v>
      </c>
      <c r="E33" s="56">
        <f>771.67087*Deflactores!$B$5</f>
        <v>2669.3229000946621</v>
      </c>
      <c r="F33" s="56">
        <f>1115.46146151117*Deflactores!$C$5</f>
        <v>3606.3918943101003</v>
      </c>
      <c r="G33" s="56">
        <f>759.492901155*Deflactores!$D$5</f>
        <v>2305.8321284262488</v>
      </c>
      <c r="H33" s="56">
        <f>695.501*Deflactores!$E$5</f>
        <v>2001.5280776812017</v>
      </c>
      <c r="I33" s="56">
        <f>584.40788099108*Deflactores!$F$5</f>
        <v>1603.9475492206907</v>
      </c>
      <c r="J33" s="56">
        <f>48.0321587*Deflactores!$G$5</f>
        <v>126.17739824978335</v>
      </c>
      <c r="K33" s="56">
        <f>137.336993113*Deflactores!$H$5</f>
        <v>341.33810094798395</v>
      </c>
      <c r="L33" s="56">
        <f>117.114709903*Deflactores!$I$5</f>
        <v>270.33130151338167</v>
      </c>
      <c r="M33" s="56">
        <f>58.489158295*Deflactores!$J$5</f>
        <v>132.35866866537282</v>
      </c>
      <c r="N33" s="56">
        <f>78.109975922*Deflactores!$K$5</f>
        <v>171.3266594574423</v>
      </c>
      <c r="O33" s="56">
        <f>85.521490061*Deflactores!$L$5</f>
        <v>180.84362461612014</v>
      </c>
      <c r="P33" s="56">
        <f>391.489530938*Deflactores!$M$5</f>
        <v>808.12497143135136</v>
      </c>
      <c r="Q33" s="56">
        <f>135.415239569*Deflactores!$N$5</f>
        <v>274.20873623371608</v>
      </c>
      <c r="R33" s="56">
        <f>129.548946725*Deflactores!$O$5</f>
        <v>253.06753023074398</v>
      </c>
      <c r="S33" s="56">
        <f>139.695944487*Deflactores!$P$5</f>
        <v>255.58602041224032</v>
      </c>
      <c r="T33" s="56">
        <f>83.326729762*Deflactores!$Q$5</f>
        <v>144.16414458759556</v>
      </c>
      <c r="U33" s="56">
        <f>63.413974727*Deflactores!$R$5</f>
        <v>105.40200886212675</v>
      </c>
      <c r="V33" s="56">
        <f>727.853555875*Deflactores!$S$5</f>
        <v>1172.498774648277</v>
      </c>
    </row>
    <row r="34" spans="3:22" x14ac:dyDescent="0.2">
      <c r="C34" s="88" t="s">
        <v>144</v>
      </c>
      <c r="D34" s="57">
        <f>23.667013131*Deflactores!$A$5</f>
        <v>88.129163858455229</v>
      </c>
      <c r="E34" s="57">
        <f>47.35*Deflactores!$B$5</f>
        <v>163.79060585697923</v>
      </c>
      <c r="F34" s="57">
        <f>41.728323*Deflactores!$C$5</f>
        <v>134.91159580401765</v>
      </c>
      <c r="G34" s="57">
        <f>37.58558644*Deflactores!$D$5</f>
        <v>114.11041847434838</v>
      </c>
      <c r="H34" s="57">
        <f>67.580101871*Deflactores!$E$5</f>
        <v>194.48350381575642</v>
      </c>
      <c r="I34" s="57">
        <f>70.046061931*Deflactores!$F$5</f>
        <v>192.24622566050405</v>
      </c>
      <c r="J34" s="57">
        <f>83.134218673*Deflactores!$G$5</f>
        <v>218.3882569843295</v>
      </c>
      <c r="K34" s="57">
        <f>92.944505*Deflactores!$H$5</f>
        <v>231.00477235690505</v>
      </c>
      <c r="L34" s="57">
        <f>103.973509666*Deflactores!$I$5</f>
        <v>239.99798329521334</v>
      </c>
      <c r="M34" s="57">
        <f>87.61814*Deflactores!$J$5</f>
        <v>198.27641052457457</v>
      </c>
      <c r="N34" s="57">
        <f>151.999710278*Deflactores!$K$5</f>
        <v>333.39662819040853</v>
      </c>
      <c r="O34" s="57">
        <f>230.441737145*Deflactores!$L$5</f>
        <v>487.29177869108941</v>
      </c>
      <c r="P34" s="57">
        <f>201.068989259*Deflactores!$M$5</f>
        <v>415.05291549263262</v>
      </c>
      <c r="Q34" s="57">
        <f>331.910058937*Deflactores!$N$5</f>
        <v>672.10040830004255</v>
      </c>
      <c r="R34" s="57">
        <f>268.378864469*Deflactores!$O$5</f>
        <v>524.26498334621169</v>
      </c>
      <c r="S34" s="57">
        <f>249.892939291*Deflactores!$P$5</f>
        <v>457.20111716233737</v>
      </c>
      <c r="T34" s="57">
        <f>165.546554066*Deflactores!$Q$5</f>
        <v>286.41322447809216</v>
      </c>
      <c r="U34" s="57">
        <f>235.972024956*Deflactores!$R$5</f>
        <v>392.2152108064675</v>
      </c>
      <c r="V34" s="57">
        <f>223.185517411*Deflactores!$S$5</f>
        <v>359.52939100373152</v>
      </c>
    </row>
    <row r="35" spans="3:22" x14ac:dyDescent="0.2">
      <c r="C35" s="87" t="s">
        <v>145</v>
      </c>
      <c r="D35" s="56">
        <f>29.860910294*Deflactores!$A$5</f>
        <v>111.19345908569939</v>
      </c>
      <c r="E35" s="56">
        <f>0*Deflactores!$B$5</f>
        <v>0</v>
      </c>
      <c r="F35" s="56">
        <f>10.4926*Deflactores!$C$5</f>
        <v>33.923563382435361</v>
      </c>
      <c r="G35" s="56">
        <f>5.5556524*Deflactores!$D$5</f>
        <v>16.867046128814316</v>
      </c>
      <c r="H35" s="56">
        <f>10*Deflactores!$E$5</f>
        <v>28.778219983597459</v>
      </c>
      <c r="I35" s="56">
        <f>57*Deflactores!$F$5</f>
        <v>156.44041307337335</v>
      </c>
      <c r="J35" s="56">
        <f>77.991531558*Deflactores!$G$5</f>
        <v>204.87874798565556</v>
      </c>
      <c r="K35" s="56">
        <f>82.639810092*Deflactores!$H$5</f>
        <v>205.39342823892949</v>
      </c>
      <c r="L35" s="56">
        <f>99.635072312*Deflactores!$I$5</f>
        <v>229.98373813837119</v>
      </c>
      <c r="M35" s="56">
        <f>105.288*Deflactores!$J$5</f>
        <v>238.26260990374149</v>
      </c>
      <c r="N35" s="56">
        <f>70.48*Deflactores!$K$5</f>
        <v>154.59104699531125</v>
      </c>
      <c r="O35" s="56">
        <f>44.568103*Deflactores!$L$5</f>
        <v>94.243648970986314</v>
      </c>
      <c r="P35" s="56">
        <f>45.90514609*Deflactores!$M$5</f>
        <v>94.758842678754334</v>
      </c>
      <c r="Q35" s="56">
        <f>46.489944685*Deflactores!$N$5</f>
        <v>94.139692254899984</v>
      </c>
      <c r="R35" s="56">
        <f>48.132*Deflactores!$O$5</f>
        <v>94.023507508112999</v>
      </c>
      <c r="S35" s="56">
        <f>50.257864278*Deflactores!$P$5</f>
        <v>91.951184212279529</v>
      </c>
      <c r="T35" s="56">
        <f>35.2*Deflactores!$Q$5</f>
        <v>60.899760544755651</v>
      </c>
      <c r="U35" s="56">
        <f>50.30385533*Deflactores!$R$5</f>
        <v>83.611340057419483</v>
      </c>
      <c r="V35" s="56">
        <f>50*Deflactores!$S$5</f>
        <v>80.544964380832099</v>
      </c>
    </row>
    <row r="36" spans="3:22" x14ac:dyDescent="0.2">
      <c r="C36" s="88" t="s">
        <v>146</v>
      </c>
      <c r="D36" s="57">
        <f>0.3277*Deflactores!$A$5</f>
        <v>1.220260741672877</v>
      </c>
      <c r="E36" s="57">
        <f>0*Deflactores!$B$5</f>
        <v>0</v>
      </c>
      <c r="F36" s="57">
        <f>0*Deflactores!$C$5</f>
        <v>0</v>
      </c>
      <c r="G36" s="57">
        <f>0*Deflactores!$D$5</f>
        <v>0</v>
      </c>
      <c r="H36" s="57">
        <f>2*Deflactores!$E$5</f>
        <v>5.7556439967194919</v>
      </c>
      <c r="I36" s="57">
        <f>1.035*Deflactores!$F$5</f>
        <v>2.8406285531744109</v>
      </c>
      <c r="J36" s="57">
        <f>1.96605*Deflactores!$G$5</f>
        <v>5.1646871709096551</v>
      </c>
      <c r="K36" s="57">
        <f>3.007107125*Deflactores!$H$5</f>
        <v>7.4738802133967166</v>
      </c>
      <c r="L36" s="57">
        <f>7.557*Deflactores!$I$5</f>
        <v>17.443527352188703</v>
      </c>
      <c r="M36" s="57">
        <f>10.1032*Deflactores!$J$5</f>
        <v>22.863144901408337</v>
      </c>
      <c r="N36" s="57">
        <f>5.826*Deflactores!$K$5</f>
        <v>12.778766171888241</v>
      </c>
      <c r="O36" s="57">
        <f>3.883*Deflactores!$L$5</f>
        <v>8.2109864302355398</v>
      </c>
      <c r="P36" s="57">
        <f>14.920711*Deflactores!$M$5</f>
        <v>30.799799733393229</v>
      </c>
      <c r="Q36" s="57">
        <f>15.73*Deflactores!$N$5</f>
        <v>31.852422479809128</v>
      </c>
      <c r="R36" s="57">
        <f>44.435897154*Deflactores!$O$5</f>
        <v>86.803351402161894</v>
      </c>
      <c r="S36" s="57">
        <f>32.538696706*Deflactores!$P$5</f>
        <v>59.532408267308973</v>
      </c>
      <c r="T36" s="57">
        <f>61.7*Deflactores!$Q$5</f>
        <v>106.74759163668817</v>
      </c>
      <c r="U36" s="57">
        <f>49.260336345*Deflactores!$R$5</f>
        <v>81.876880141000825</v>
      </c>
      <c r="V36" s="57">
        <f>58.995235087*Deflactores!$S$5</f>
        <v>95.035382174424612</v>
      </c>
    </row>
    <row r="37" spans="3:22" x14ac:dyDescent="0.2">
      <c r="C37" s="90" t="s">
        <v>147</v>
      </c>
      <c r="D37" s="58">
        <f>897.77381*Deflactores!$A$5</f>
        <v>3343.0519842694066</v>
      </c>
      <c r="E37" s="58">
        <f>1235.800430618*Deflactores!$B$5</f>
        <v>4274.8152322964734</v>
      </c>
      <c r="F37" s="58">
        <f>1156.4231411*Deflactores!$C$5</f>
        <v>3738.8248598079454</v>
      </c>
      <c r="G37" s="58">
        <f>1194.702896944*Deflactores!$D$5</f>
        <v>3627.1363688956758</v>
      </c>
      <c r="H37" s="58">
        <f>1631.554467787*Deflactores!$E$5</f>
        <v>4695.3233389195566</v>
      </c>
      <c r="I37" s="58">
        <f>1689.3461041*Deflactores!$F$5</f>
        <v>4636.5263570052275</v>
      </c>
      <c r="J37" s="58">
        <f>2313.319938528*Deflactores!$G$5</f>
        <v>6076.9430119910858</v>
      </c>
      <c r="K37" s="58">
        <f>2667.663215726*Deflactores!$H$5</f>
        <v>6630.2244965818463</v>
      </c>
      <c r="L37" s="58">
        <f>1756.224974127*Deflactores!$I$5</f>
        <v>4053.8253768401769</v>
      </c>
      <c r="M37" s="58">
        <f>2026.276829969*Deflactores!$J$5</f>
        <v>4585.3849051733696</v>
      </c>
      <c r="N37" s="58">
        <f>2549.136939872*Deflactores!$K$5</f>
        <v>5591.2847399153834</v>
      </c>
      <c r="O37" s="58">
        <f>3589.097850593*Deflactores!$L$5</f>
        <v>7589.5013515340379</v>
      </c>
      <c r="P37" s="58">
        <f>3898.879749674*Deflactores!$M$5</f>
        <v>8048.189893533995</v>
      </c>
      <c r="Q37" s="58">
        <f>4968.382167894*Deflactores!$N$5</f>
        <v>10060.712514488852</v>
      </c>
      <c r="R37" s="58">
        <f>7355.350441971*Deflactores!$O$5</f>
        <v>14368.317283833261</v>
      </c>
      <c r="S37" s="58">
        <f>7614.870078471*Deflactores!$P$5</f>
        <v>13932.074738889532</v>
      </c>
      <c r="T37" s="58">
        <f>7459.182847125*Deflactores!$Q$5</f>
        <v>12905.183217314237</v>
      </c>
      <c r="U37" s="58">
        <f>3556.50412033556*Deflactores!$R$5</f>
        <v>5911.3575583867687</v>
      </c>
      <c r="V37" s="58">
        <f>3712.739427675*Deflactores!$S$5</f>
        <v>5980.8492991478761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35.254356294451028</v>
      </c>
    </row>
    <row r="39" spans="3:22" x14ac:dyDescent="0.2">
      <c r="C39" s="87" t="s">
        <v>149</v>
      </c>
      <c r="D39" s="56">
        <f>1.75*Deflactores!$A$5</f>
        <v>6.5164977049970547</v>
      </c>
      <c r="E39" s="56">
        <f>9*Deflactores!$B$5</f>
        <v>31.132322126986544</v>
      </c>
      <c r="F39" s="56">
        <f>2*Deflactores!$C$5</f>
        <v>6.4661882436069922</v>
      </c>
      <c r="G39" s="56">
        <f>0.381433517*Deflactores!$D$5</f>
        <v>1.1580380238178472</v>
      </c>
      <c r="H39" s="56">
        <f>1.222*Deflactores!$E$5</f>
        <v>3.5166984819956095</v>
      </c>
      <c r="I39" s="56">
        <f>3.980475166*Deflactores!$F$5</f>
        <v>10.924687354339376</v>
      </c>
      <c r="J39" s="56">
        <f>2.48464386*Deflactores!$G$5</f>
        <v>6.5269999583029144</v>
      </c>
      <c r="K39" s="56">
        <f>2.2*Deflactores!$H$5</f>
        <v>5.4678918262590255</v>
      </c>
      <c r="L39" s="56">
        <f>2.19*Deflactores!$I$5</f>
        <v>5.0550912930122074</v>
      </c>
      <c r="M39" s="56">
        <f>13.069*Deflactores!$J$5</f>
        <v>29.574633850315305</v>
      </c>
      <c r="N39" s="56">
        <f>15.70730339*Deflactores!$K$5</f>
        <v>34.45244716987942</v>
      </c>
      <c r="O39" s="56">
        <f>31.3681*Deflactores!$L$5</f>
        <v>66.33094088134726</v>
      </c>
      <c r="P39" s="56">
        <f>17.941*Deflactores!$M$5</f>
        <v>37.034375038616311</v>
      </c>
      <c r="Q39" s="56">
        <f>18.157*Deflactores!$N$5</f>
        <v>36.766969800756158</v>
      </c>
      <c r="R39" s="56">
        <f>9.3*Deflactores!$O$5</f>
        <v>18.167095068259183</v>
      </c>
      <c r="S39" s="56">
        <f>11.669*Deflactores!$P$5</f>
        <v>21.349462098865551</v>
      </c>
      <c r="T39" s="56">
        <f>13.849*Deflactores!$Q$5</f>
        <v>23.9602495393273</v>
      </c>
      <c r="U39" s="56">
        <f>16.358*Deflactores!$R$5</f>
        <v>27.189055226222319</v>
      </c>
      <c r="V39" s="56">
        <f>15.636*Deflactores!$S$5</f>
        <v>25.188021261173812</v>
      </c>
    </row>
    <row r="40" spans="3:22" x14ac:dyDescent="0.2">
      <c r="C40" s="88" t="s">
        <v>150</v>
      </c>
      <c r="D40" s="57">
        <f>598.869604296*Deflactores!$A$5</f>
        <v>2230.0185154213591</v>
      </c>
      <c r="E40" s="57">
        <f>931.247477287*Deflactores!$B$5</f>
        <v>3221.3218269824965</v>
      </c>
      <c r="F40" s="57">
        <f>713.148174383*Deflactores!$C$5</f>
        <v>2305.6751705725719</v>
      </c>
      <c r="G40" s="57">
        <f>342.411369758*Deflactores!$D$5</f>
        <v>1039.5661846552316</v>
      </c>
      <c r="H40" s="57">
        <f>605.84213264*Deflactores!$E$5</f>
        <v>1743.5058168445753</v>
      </c>
      <c r="I40" s="57">
        <f>1055.593564524*Deflactores!$F$5</f>
        <v>2897.1490047671778</v>
      </c>
      <c r="J40" s="57">
        <f>1944.915453699*Deflactores!$G$5</f>
        <v>5109.1680741706241</v>
      </c>
      <c r="K40" s="57">
        <f>2255.937110128*Deflactores!$H$5</f>
        <v>5606.9182204651343</v>
      </c>
      <c r="L40" s="57">
        <f>1724.497968756*Deflactores!$I$5</f>
        <v>3980.591171998034</v>
      </c>
      <c r="M40" s="57">
        <f>2738.022564808*Deflactores!$J$5</f>
        <v>6196.0375566682842</v>
      </c>
      <c r="N40" s="57">
        <f>2848.056610452*Deflactores!$K$5</f>
        <v>6246.9360572033484</v>
      </c>
      <c r="O40" s="57">
        <f>4329.184*Deflactores!$L$5</f>
        <v>9154.4864996118504</v>
      </c>
      <c r="P40" s="57">
        <f>6803.875696052*Deflactores!$M$5</f>
        <v>14044.773660538231</v>
      </c>
      <c r="Q40" s="57">
        <f>7147.64278583815*Deflactores!$N$5</f>
        <v>14473.600619788724</v>
      </c>
      <c r="R40" s="57">
        <f>5966.430650399*Deflactores!$O$5</f>
        <v>11655.130413330548</v>
      </c>
      <c r="S40" s="57">
        <f>5443.0497*Deflactores!$P$5</f>
        <v>9958.5382871189904</v>
      </c>
      <c r="T40" s="57">
        <f>4047.248755053*Deflactores!$Q$5</f>
        <v>7002.172728630344</v>
      </c>
      <c r="U40" s="57">
        <f>3931.12555255*Deflactores!$R$5</f>
        <v>6534.0255379322462</v>
      </c>
      <c r="V40" s="57">
        <f>3130.041138985*Deflactores!$S$5</f>
        <v>5042.1810410017188</v>
      </c>
    </row>
    <row r="41" spans="3:22" x14ac:dyDescent="0.2">
      <c r="C41" s="87" t="s">
        <v>151</v>
      </c>
      <c r="D41" s="56">
        <f>142.66996*Deflactores!$A$5</f>
        <v>531.26198109258371</v>
      </c>
      <c r="E41" s="56">
        <f>149.768*Deflactores!$B$5</f>
        <v>518.06951336828013</v>
      </c>
      <c r="F41" s="56">
        <f>148.44*Deflactores!$C$5</f>
        <v>479.92049144051094</v>
      </c>
      <c r="G41" s="56">
        <f>195.059687178*Deflactores!$D$5</f>
        <v>592.20421016682337</v>
      </c>
      <c r="H41" s="56">
        <f>223.0216262*Deflactores!$E$5</f>
        <v>641.81654198832427</v>
      </c>
      <c r="I41" s="56">
        <f>176.525*Deflactores!$F$5</f>
        <v>484.48498101363566</v>
      </c>
      <c r="J41" s="56">
        <f>197.4*Deflactores!$G$5</f>
        <v>518.5571310686737</v>
      </c>
      <c r="K41" s="56">
        <f>369.5*Deflactores!$H$5</f>
        <v>918.35728627395895</v>
      </c>
      <c r="L41" s="56">
        <f>433.30015*Deflactores!$I$5</f>
        <v>1000.1697787789423</v>
      </c>
      <c r="M41" s="56">
        <f>714.228*Deflactores!$J$5</f>
        <v>1616.269920088989</v>
      </c>
      <c r="N41" s="56">
        <f>623.1806148*Deflactores!$K$5</f>
        <v>1366.8862614800476</v>
      </c>
      <c r="O41" s="56">
        <f>817.044239073*Deflactores!$L$5</f>
        <v>1727.720618060913</v>
      </c>
      <c r="P41" s="56">
        <f>1715.897983146*Deflactores!$M$5</f>
        <v>3542.0104473459837</v>
      </c>
      <c r="Q41" s="56">
        <f>2129.81033*Deflactores!$N$5</f>
        <v>4312.7538736822435</v>
      </c>
      <c r="R41" s="56">
        <f>2196.074667687*Deflactores!$O$5</f>
        <v>4289.9244370823026</v>
      </c>
      <c r="S41" s="56">
        <f>2285.997895576*Deflactores!$P$5</f>
        <v>4182.4342642631091</v>
      </c>
      <c r="T41" s="56">
        <f>1493.759169527*Deflactores!$Q$5</f>
        <v>2584.3629470377091</v>
      </c>
      <c r="U41" s="56">
        <f>1900.775902648*Deflactores!$R$5</f>
        <v>3159.328829304869</v>
      </c>
      <c r="V41" s="56">
        <f>1839.399503537*Deflactores!$S$5</f>
        <v>2963.0873498901583</v>
      </c>
    </row>
    <row r="42" spans="3:22" ht="21" customHeight="1" x14ac:dyDescent="0.2">
      <c r="C42" s="79" t="s">
        <v>202</v>
      </c>
      <c r="D42" s="44">
        <f t="shared" ref="D42:V42" si="0">+SUM(D13:D41)</f>
        <v>19670.372059168069</v>
      </c>
      <c r="E42" s="44">
        <f t="shared" si="0"/>
        <v>30034.771481110336</v>
      </c>
      <c r="F42" s="44">
        <f t="shared" si="0"/>
        <v>24866.818383596314</v>
      </c>
      <c r="G42" s="44">
        <f t="shared" si="0"/>
        <v>19038.467489714192</v>
      </c>
      <c r="H42" s="44">
        <f t="shared" si="0"/>
        <v>22918.90419770277</v>
      </c>
      <c r="I42" s="44">
        <f t="shared" si="0"/>
        <v>25150.512158859259</v>
      </c>
      <c r="J42" s="44">
        <f t="shared" si="0"/>
        <v>28237.335454653759</v>
      </c>
      <c r="K42" s="44">
        <f t="shared" si="0"/>
        <v>40079.237089670874</v>
      </c>
      <c r="L42" s="44">
        <f t="shared" si="0"/>
        <v>37437.719774978068</v>
      </c>
      <c r="M42" s="44">
        <f t="shared" si="0"/>
        <v>53629.326207502396</v>
      </c>
      <c r="N42" s="44">
        <f t="shared" si="0"/>
        <v>39926.495577187517</v>
      </c>
      <c r="O42" s="44">
        <f t="shared" si="0"/>
        <v>52944.454947419639</v>
      </c>
      <c r="P42" s="44">
        <f t="shared" si="0"/>
        <v>61613.704274291769</v>
      </c>
      <c r="Q42" s="44">
        <f t="shared" si="0"/>
        <v>70313.935225365873</v>
      </c>
      <c r="R42" s="44">
        <f t="shared" si="0"/>
        <v>75362.069027562044</v>
      </c>
      <c r="S42" s="44">
        <f t="shared" si="0"/>
        <v>72687.258837998743</v>
      </c>
      <c r="T42" s="44">
        <f t="shared" si="0"/>
        <v>57799.471174393038</v>
      </c>
      <c r="U42" s="44">
        <f t="shared" si="0"/>
        <v>52692.959910994548</v>
      </c>
      <c r="V42" s="44">
        <f t="shared" si="0"/>
        <v>49859.112426291227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55" t="s">
        <v>211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76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191.707275233*Deflactores!$A$5</f>
        <v>713.8628680497618</v>
      </c>
      <c r="E53" s="56">
        <f>440.82459281919*Deflactores!$B$5</f>
        <v>1524.8770250160781</v>
      </c>
      <c r="F53" s="56">
        <f>415.86312054002*Deflactores!$C$5</f>
        <v>1344.5246104927974</v>
      </c>
      <c r="G53" s="56">
        <f>229.32429410695*Deflactores!$D$5</f>
        <v>696.23208377106289</v>
      </c>
      <c r="H53" s="56">
        <f>321.69932212067*Deflactores!$E$5</f>
        <v>925.79338605628209</v>
      </c>
      <c r="I53" s="56">
        <f>350.507542143*Deflactores!$F$5</f>
        <v>961.99201189796042</v>
      </c>
      <c r="J53" s="56">
        <f>563.96566850137*Deflactores!$G$5</f>
        <v>1481.5016164098131</v>
      </c>
      <c r="K53" s="56">
        <f>921.561909184*Deflactores!$H$5</f>
        <v>2290.4549230085704</v>
      </c>
      <c r="L53" s="56">
        <f>1081.25630115642*Deflactores!$I$5</f>
        <v>2495.8216043335183</v>
      </c>
      <c r="M53" s="56">
        <f>1136.97274765136*Deflactores!$J$5</f>
        <v>2572.9246851003068</v>
      </c>
      <c r="N53" s="56">
        <f>1103.37375722998*Deflactores!$K$5</f>
        <v>2420.1433648883794</v>
      </c>
      <c r="O53" s="56">
        <f>1352.48047791286*Deflactores!$L$5</f>
        <v>2859.9533482619031</v>
      </c>
      <c r="P53" s="56">
        <f>1675.36142684568*Deflactores!$M$5</f>
        <v>3458.3336161325601</v>
      </c>
      <c r="Q53" s="56">
        <f>2139.70403113845*Deflactores!$N$5</f>
        <v>4332.78809800207</v>
      </c>
      <c r="R53" s="56">
        <f>2820.73345589256*Deflactores!$O$5</f>
        <v>5510.1648231633762</v>
      </c>
      <c r="S53" s="56">
        <f>3106.59630030355*Deflactores!$P$5</f>
        <v>5683.7912391641594</v>
      </c>
      <c r="T53" s="56">
        <f>1889.57333516677*Deflactores!$Q$5</f>
        <v>3269.1637398696475</v>
      </c>
      <c r="U53" s="56">
        <f>2133.90044819943*Deflactores!$R$5</f>
        <v>3546.8111708861015</v>
      </c>
      <c r="V53" s="56">
        <f>1512.38288981327*Deflactores!$S$5</f>
        <v>2436.2965198037946</v>
      </c>
    </row>
    <row r="54" spans="3:22" x14ac:dyDescent="0.2">
      <c r="C54" s="88" t="s">
        <v>124</v>
      </c>
      <c r="D54" s="57">
        <f>27.16185983841*Deflactores!$A$5</f>
        <v>101.14296988597167</v>
      </c>
      <c r="E54" s="57">
        <f>56.6910035441*Deflactores!$B$5</f>
        <v>196.10250933745078</v>
      </c>
      <c r="F54" s="57">
        <f>52.44195235293*Deflactores!$C$5</f>
        <v>169.54976788815702</v>
      </c>
      <c r="G54" s="57">
        <f>91.05221337022*Deflactores!$D$5</f>
        <v>276.43592011734654</v>
      </c>
      <c r="H54" s="57">
        <f>214.967727395979*Deflactores!$E$5</f>
        <v>618.63885483754939</v>
      </c>
      <c r="I54" s="57">
        <f>183.468562566279*Deflactores!$F$5</f>
        <v>503.54206515520576</v>
      </c>
      <c r="J54" s="57">
        <f>300.858789266599*Deflactores!$G$5</f>
        <v>790.33673059210867</v>
      </c>
      <c r="K54" s="57">
        <f>369.17402329909*Deflactores!$H$5</f>
        <v>917.54710202920592</v>
      </c>
      <c r="L54" s="57">
        <f>385.05520974357*Deflactores!$I$5</f>
        <v>888.80787128023292</v>
      </c>
      <c r="M54" s="57">
        <f>413.025580983789*Deflactores!$J$5</f>
        <v>934.6606724622626</v>
      </c>
      <c r="N54" s="57">
        <f>442.70411733104*Deflactores!$K$5</f>
        <v>971.02856139813548</v>
      </c>
      <c r="O54" s="57">
        <f>249.91843376607*Deflactores!$L$5</f>
        <v>528.47717443186207</v>
      </c>
      <c r="P54" s="57">
        <f>127.73794835965*Deflactores!$M$5</f>
        <v>263.68068035308409</v>
      </c>
      <c r="Q54" s="57">
        <f>223.2597506611*Deflactores!$N$5</f>
        <v>452.08924989155764</v>
      </c>
      <c r="R54" s="57">
        <f>248.187511756361*Deflactores!$O$5</f>
        <v>484.82216353037671</v>
      </c>
      <c r="S54" s="57">
        <f>248.01483407794*Deflactores!$P$5</f>
        <v>453.76495844574583</v>
      </c>
      <c r="T54" s="57">
        <f>333.07761807791*Deflactores!$Q$5</f>
        <v>576.25986317506522</v>
      </c>
      <c r="U54" s="57">
        <f>343.403348279539*Deflactores!$R$5</f>
        <v>570.77959415833493</v>
      </c>
      <c r="V54" s="57">
        <f>293.70376755317*Deflactores!$S$5</f>
        <v>473.12718992172535</v>
      </c>
    </row>
    <row r="55" spans="3:22" x14ac:dyDescent="0.2">
      <c r="C55" s="87" t="s">
        <v>125</v>
      </c>
      <c r="D55" s="56">
        <f>24.2938074915*Deflactores!$A$5</f>
        <v>90.463166150857148</v>
      </c>
      <c r="E55" s="56">
        <f>63.8912654064*Deflactores!$B$5</f>
        <v>221.00927285920409</v>
      </c>
      <c r="F55" s="56">
        <f>54.898043486*Deflactores!$C$5</f>
        <v>177.49054169309932</v>
      </c>
      <c r="G55" s="56">
        <f>40.97606363414*Deflactores!$D$5</f>
        <v>124.40395937914873</v>
      </c>
      <c r="H55" s="56">
        <f>60.86225664717*Deflactores!$E$5</f>
        <v>175.15074104904249</v>
      </c>
      <c r="I55" s="56">
        <f>52.487891175*Deflactores!$F$5</f>
        <v>144.0566206450398</v>
      </c>
      <c r="J55" s="56">
        <f>77.757363085*Deflactores!$G$5</f>
        <v>204.26360243577909</v>
      </c>
      <c r="K55" s="56">
        <f>73.99336811804*Deflactores!$H$5</f>
        <v>183.90351487727546</v>
      </c>
      <c r="L55" s="56">
        <f>129.135889885*Deflactores!$I$5</f>
        <v>298.07932080961041</v>
      </c>
      <c r="M55" s="56">
        <f>135.52775205055*Deflactores!$J$5</f>
        <v>306.69398144091628</v>
      </c>
      <c r="N55" s="56">
        <f>326.17376122012*Deflactores!$K$5</f>
        <v>715.43052283508803</v>
      </c>
      <c r="O55" s="56">
        <f>357.63197116238*Deflactores!$L$5</f>
        <v>756.24807165405366</v>
      </c>
      <c r="P55" s="56">
        <f>395.318574008219*Deflactores!$M$5</f>
        <v>816.02900226026316</v>
      </c>
      <c r="Q55" s="56">
        <f>408.031867973449*Deflactores!$N$5</f>
        <v>826.24306700038119</v>
      </c>
      <c r="R55" s="56">
        <f>352.21857460752*Deflactores!$O$5</f>
        <v>688.04175588188764</v>
      </c>
      <c r="S55" s="56">
        <f>331.86681327818*Deflactores!$P$5</f>
        <v>607.1795314040445</v>
      </c>
      <c r="T55" s="56">
        <f>284.3579347929*Deflactores!$Q$5</f>
        <v>491.96960619002414</v>
      </c>
      <c r="U55" s="56">
        <f>356.684413090219*Deflactores!$R$5</f>
        <v>592.85439576003535</v>
      </c>
      <c r="V55" s="56">
        <f>308.16254996055*Deflactores!$S$5</f>
        <v>496.4188322015778</v>
      </c>
    </row>
    <row r="56" spans="3:22" x14ac:dyDescent="0.2">
      <c r="C56" s="88" t="s">
        <v>126</v>
      </c>
      <c r="D56" s="57">
        <f>53.4335002950999*Deflactores!$A$5</f>
        <v>198.97101831027308</v>
      </c>
      <c r="E56" s="57">
        <f>123.51905912*Deflactores!$B$5</f>
        <v>427.27057081623724</v>
      </c>
      <c r="F56" s="57">
        <f>101.83982071821*Deflactores!$C$5</f>
        <v>329.25772572956669</v>
      </c>
      <c r="G56" s="57">
        <f>51.0124360491599*Deflactores!$D$5</f>
        <v>154.8745403841987</v>
      </c>
      <c r="H56" s="57">
        <f>37.83104251916*Deflactores!$E$5</f>
        <v>108.87100638252154</v>
      </c>
      <c r="I56" s="57">
        <f>41.0578760537799*Deflactores!$F$5</f>
        <v>112.68615946962618</v>
      </c>
      <c r="J56" s="57">
        <f>51.45490915204*Deflactores!$G$5</f>
        <v>135.16874401864794</v>
      </c>
      <c r="K56" s="57">
        <f>79.8518542200199*Deflactores!$H$5</f>
        <v>198.46422772785183</v>
      </c>
      <c r="L56" s="57">
        <f>60.8944291656*Deflactores!$I$5</f>
        <v>140.56022770227088</v>
      </c>
      <c r="M56" s="57">
        <f>149.84292926031*Deflactores!$J$5</f>
        <v>339.08866538620902</v>
      </c>
      <c r="N56" s="57">
        <f>191.552647331909*Deflactores!$K$5</f>
        <v>420.15216097848219</v>
      </c>
      <c r="O56" s="57">
        <f>186.1289268119*Deflactores!$L$5</f>
        <v>393.58797124048795</v>
      </c>
      <c r="P56" s="57">
        <f>264.76499965384*Deflactores!$M$5</f>
        <v>546.53621839805078</v>
      </c>
      <c r="Q56" s="57">
        <f>317.67817978191*Deflactores!$N$5</f>
        <v>643.28160171838238</v>
      </c>
      <c r="R56" s="57">
        <f>222.99659405562*Deflactores!$O$5</f>
        <v>435.61293807596223</v>
      </c>
      <c r="S56" s="57">
        <f>221.24060560313*Deflactores!$P$5</f>
        <v>404.77915194567532</v>
      </c>
      <c r="T56" s="57">
        <f>206.0582115822*Deflactores!$Q$5</f>
        <v>356.50271998967543</v>
      </c>
      <c r="U56" s="57">
        <f>239.281896709099*Deflactores!$R$5</f>
        <v>397.71663432320065</v>
      </c>
      <c r="V56" s="57">
        <f>130.690230862169*Deflactores!$S$5</f>
        <v>210.52879979432248</v>
      </c>
    </row>
    <row r="57" spans="3:22" x14ac:dyDescent="0.2">
      <c r="C57" s="87" t="s">
        <v>127</v>
      </c>
      <c r="D57" s="56">
        <f>0*Deflactores!$A$5</f>
        <v>0</v>
      </c>
      <c r="E57" s="56">
        <f>21*Deflactores!$B$5</f>
        <v>72.642084962968596</v>
      </c>
      <c r="F57" s="56">
        <f>0*Deflactores!$C$5</f>
        <v>0</v>
      </c>
      <c r="G57" s="56">
        <f>14.9744652*Deflactores!$D$5</f>
        <v>45.462706644988209</v>
      </c>
      <c r="H57" s="56">
        <f>0*Deflactores!$E$5</f>
        <v>0</v>
      </c>
      <c r="I57" s="56">
        <f>8.18164595*Deflactores!$F$5</f>
        <v>22.455088983124423</v>
      </c>
      <c r="J57" s="56">
        <f>42.151147558*Deflactores!$G$5</f>
        <v>110.7283594170659</v>
      </c>
      <c r="K57" s="56">
        <f>13.883329842*Deflactores!$H$5</f>
        <v>34.505702620149911</v>
      </c>
      <c r="L57" s="56">
        <f>17.657005947*Deflactores!$I$5</f>
        <v>40.756975809746329</v>
      </c>
      <c r="M57" s="56">
        <f>10.95474626127*Deflactores!$J$5</f>
        <v>24.790160654998143</v>
      </c>
      <c r="N57" s="56">
        <f>32.43583129201*Deflactores!$K$5</f>
        <v>71.14485129959003</v>
      </c>
      <c r="O57" s="56">
        <f>25.051149962*Deflactores!$L$5</f>
        <v>52.97312706664372</v>
      </c>
      <c r="P57" s="56">
        <f>9.35651947946*Deflactores!$M$5</f>
        <v>19.314021038874127</v>
      </c>
      <c r="Q57" s="56">
        <f>38.45019782851*Deflactores!$N$5</f>
        <v>77.859627823645269</v>
      </c>
      <c r="R57" s="56">
        <f>53.28708509442*Deflactores!$O$5</f>
        <v>104.09371406674676</v>
      </c>
      <c r="S57" s="56">
        <f>53.7211401660599*Deflactores!$P$5</f>
        <v>98.287552136698906</v>
      </c>
      <c r="T57" s="56">
        <f>65.56133830154*Deflactores!$Q$5</f>
        <v>113.42811941924725</v>
      </c>
      <c r="U57" s="56">
        <f>67.6016049140899*Deflactores!$R$5</f>
        <v>112.3623773927407</v>
      </c>
      <c r="V57" s="56">
        <f>70.94132724622*Deflactores!$S$5</f>
        <v>114.27933352351486</v>
      </c>
    </row>
    <row r="58" spans="3:22" x14ac:dyDescent="0.2">
      <c r="C58" s="88" t="s">
        <v>128</v>
      </c>
      <c r="D58" s="57">
        <f>11.53791260804*Deflactores!$A$5</f>
        <v>42.963874874713845</v>
      </c>
      <c r="E58" s="57">
        <f>24.88114729509*Deflactores!$B$5</f>
        <v>86.067543608860191</v>
      </c>
      <c r="F58" s="57">
        <f>11.90782632726*Deflactores!$C$5</f>
        <v>38.49912330212122</v>
      </c>
      <c r="G58" s="57">
        <f>12.16635150602*Deflactores!$D$5</f>
        <v>36.9372302830553</v>
      </c>
      <c r="H58" s="57">
        <f>36.0627305145*Deflactores!$E$5</f>
        <v>103.78211919554737</v>
      </c>
      <c r="I58" s="57">
        <f>33.3887086545*Deflactores!$F$5</f>
        <v>91.637603050815713</v>
      </c>
      <c r="J58" s="57">
        <f>48.25435763768*Deflactores!$G$5</f>
        <v>126.76110059856678</v>
      </c>
      <c r="K58" s="57">
        <f>50.63463985141*Deflactores!$H$5</f>
        <v>125.84760607686101</v>
      </c>
      <c r="L58" s="57">
        <f>71.744050698*Deflactores!$I$5</f>
        <v>165.60398447894346</v>
      </c>
      <c r="M58" s="57">
        <f>79.90609449082*Deflactores!$J$5</f>
        <v>180.82435434805251</v>
      </c>
      <c r="N58" s="57">
        <f>95.60026334474*Deflactores!$K$5</f>
        <v>209.68990924362703</v>
      </c>
      <c r="O58" s="57">
        <f>107.54241148895*Deflactores!$L$5</f>
        <v>227.40903461513651</v>
      </c>
      <c r="P58" s="57">
        <f>184.217040501599*Deflactores!$M$5</f>
        <v>380.26659419431405</v>
      </c>
      <c r="Q58" s="57">
        <f>189.623507254719*Deflactores!$N$5</f>
        <v>383.97762652132616</v>
      </c>
      <c r="R58" s="57">
        <f>183.141992081719*Deflactores!$O$5</f>
        <v>357.75892270311391</v>
      </c>
      <c r="S58" s="57">
        <f>205.56950974212*Deflactores!$P$5</f>
        <v>376.10750337833264</v>
      </c>
      <c r="T58" s="57">
        <f>154.24486163276*Deflactores!$Q$5</f>
        <v>266.86008916744464</v>
      </c>
      <c r="U58" s="57">
        <f>177.43589015843*Deflactores!$R$5</f>
        <v>294.9207859537517</v>
      </c>
      <c r="V58" s="57">
        <f>131.345124674144*Deflactores!$S$5</f>
        <v>211.58376776949757</v>
      </c>
    </row>
    <row r="59" spans="3:22" x14ac:dyDescent="0.2">
      <c r="C59" s="87" t="s">
        <v>129</v>
      </c>
      <c r="D59" s="56">
        <f>439.52202228726*Deflactores!$A$5</f>
        <v>1636.653856874625</v>
      </c>
      <c r="E59" s="56">
        <f>843.977621941239*Deflactores!$B$5</f>
        <v>2919.4425771380802</v>
      </c>
      <c r="F59" s="56">
        <f>848.48478433995*Deflactores!$C$5</f>
        <v>2743.2311686891994</v>
      </c>
      <c r="G59" s="56">
        <f>906.7749581923*Deflactores!$D$5</f>
        <v>2752.9827186962234</v>
      </c>
      <c r="H59" s="56">
        <f>840.98077032346*Deflactores!$E$5</f>
        <v>2420.1929610343782</v>
      </c>
      <c r="I59" s="56">
        <f>765.64734064211*Deflactores!$F$5</f>
        <v>2101.3716883961661</v>
      </c>
      <c r="J59" s="56">
        <f>1116.68771860601*Deflactores!$G$5</f>
        <v>2933.4669688954154</v>
      </c>
      <c r="K59" s="56">
        <f>1104.7998985502*Deflactores!$H$5</f>
        <v>2745.875606788381</v>
      </c>
      <c r="L59" s="56">
        <f>3368.4965695054*Deflactores!$I$5</f>
        <v>7775.3688032183745</v>
      </c>
      <c r="M59" s="56">
        <f>2886.48757605585*Deflactores!$J$5</f>
        <v>6532.008047695761</v>
      </c>
      <c r="N59" s="56">
        <f>1910.59710132039*Deflactores!$K$5</f>
        <v>4190.7095102060994</v>
      </c>
      <c r="O59" s="56">
        <f>1408.3536893518*Deflactores!$L$5</f>
        <v>2978.1027639041436</v>
      </c>
      <c r="P59" s="56">
        <f>1860.63766157418*Deflactores!$M$5</f>
        <v>3840.7866322787045</v>
      </c>
      <c r="Q59" s="56">
        <f>2847.41131691476*Deflactores!$N$5</f>
        <v>5765.8581207983862</v>
      </c>
      <c r="R59" s="56">
        <f>2317.66654041695*Deflactores!$O$5</f>
        <v>4527.4482125030199</v>
      </c>
      <c r="S59" s="56">
        <f>1366.15685652527*Deflactores!$P$5</f>
        <v>2499.5041588389367</v>
      </c>
      <c r="T59" s="56">
        <f>960.89072230535*Deflactores!$Q$5</f>
        <v>1662.4436050588952</v>
      </c>
      <c r="U59" s="56">
        <f>920.363495242199*Deflactores!$R$5</f>
        <v>1529.7599890169427</v>
      </c>
      <c r="V59" s="56">
        <f>768.78475440922*Deflactores!$S$5</f>
        <v>1238.4348132083476</v>
      </c>
    </row>
    <row r="60" spans="3:22" x14ac:dyDescent="0.2">
      <c r="C60" s="88" t="s">
        <v>130</v>
      </c>
      <c r="D60" s="57">
        <f>20.777910023*Deflactores!$A$5</f>
        <v>77.370973131151317</v>
      </c>
      <c r="E60" s="57">
        <f>58.99255654247*Deflactores!$B$5</f>
        <v>204.06391926384927</v>
      </c>
      <c r="F60" s="57">
        <f>13.64579514761*Deflactores!$C$5</f>
        <v>44.11814007907256</v>
      </c>
      <c r="G60" s="57">
        <f>19.71005576198*Deflactores!$D$5</f>
        <v>59.840032421542269</v>
      </c>
      <c r="H60" s="57">
        <f>67.6349567456*Deflactores!$E$5</f>
        <v>194.64136638059756</v>
      </c>
      <c r="I60" s="57">
        <f>52.17338736896*Deflactores!$F$5</f>
        <v>143.19344335854777</v>
      </c>
      <c r="J60" s="57">
        <f>72.69782102248*Deflactores!$G$5</f>
        <v>190.97251015380519</v>
      </c>
      <c r="K60" s="57">
        <f>59.55076334925*Deflactores!$H$5</f>
        <v>148.0077873476589</v>
      </c>
      <c r="L60" s="57">
        <f>128.85491375329*Deflactores!$I$5</f>
        <v>297.43075460095673</v>
      </c>
      <c r="M60" s="57">
        <f>117.88778820045*Deflactores!$J$5</f>
        <v>266.77543587511133</v>
      </c>
      <c r="N60" s="57">
        <f>126.14423089435*Deflactores!$K$5</f>
        <v>276.68514083961202</v>
      </c>
      <c r="O60" s="57">
        <f>159.217122064419*Deflactores!$L$5</f>
        <v>336.68030613754826</v>
      </c>
      <c r="P60" s="57">
        <f>293.25471935746*Deflactores!$M$5</f>
        <v>605.34559157953004</v>
      </c>
      <c r="Q60" s="57">
        <f>346.04840091425*Deflactores!$N$5</f>
        <v>700.72980701735912</v>
      </c>
      <c r="R60" s="57">
        <f>312.98886697327*Deflactores!$O$5</f>
        <v>611.40844103334643</v>
      </c>
      <c r="S60" s="57">
        <f>400.464941900219*Deflactores!$P$5</f>
        <v>732.68584274771786</v>
      </c>
      <c r="T60" s="57">
        <f>341.40097011582*Deflactores!$Q$5</f>
        <v>590.66015141479306</v>
      </c>
      <c r="U60" s="57">
        <f>527.29201561002*Deflactores!$R$5</f>
        <v>876.42570807965001</v>
      </c>
      <c r="V60" s="57">
        <f>527.58570957124*Deflactores!$S$5</f>
        <v>849.88744370503116</v>
      </c>
    </row>
    <row r="61" spans="3:22" x14ac:dyDescent="0.2">
      <c r="C61" s="87" t="s">
        <v>131</v>
      </c>
      <c r="D61" s="56">
        <f>99.424475219*Deflactores!$A$5</f>
        <v>370.22820833437146</v>
      </c>
      <c r="E61" s="56">
        <f>109.69989959829*Deflactores!$B$5</f>
        <v>379.46806795467182</v>
      </c>
      <c r="F61" s="56">
        <f>123.526102373839*Deflactores!$C$5</f>
        <v>399.37151547415573</v>
      </c>
      <c r="G61" s="56">
        <f>121.175296792*Deflactores!$D$5</f>
        <v>367.89006465981015</v>
      </c>
      <c r="H61" s="56">
        <f>264.65579382517*Deflactores!$E$5</f>
        <v>761.63226546343571</v>
      </c>
      <c r="I61" s="56">
        <f>470.056424369879*Deflactores!$F$5</f>
        <v>1290.1021262494166</v>
      </c>
      <c r="J61" s="56">
        <f>475.62310579036*Deflactores!$G$5</f>
        <v>1249.4313739038569</v>
      </c>
      <c r="K61" s="56">
        <f>618.653069262509*Deflactores!$H$5</f>
        <v>1537.6036639593324</v>
      </c>
      <c r="L61" s="56">
        <f>793.012999575399*Deflactores!$I$5</f>
        <v>1830.480871871732</v>
      </c>
      <c r="M61" s="56">
        <f>899.55068405228*Deflactores!$J$5</f>
        <v>2035.647877469343</v>
      </c>
      <c r="N61" s="56">
        <f>959.18785309871*Deflactores!$K$5</f>
        <v>2103.8855629357886</v>
      </c>
      <c r="O61" s="56">
        <f>923.96373155706*Deflactores!$L$5</f>
        <v>1953.812429009738</v>
      </c>
      <c r="P61" s="56">
        <f>1088.11515320219*Deflactores!$M$5</f>
        <v>2246.1214351982248</v>
      </c>
      <c r="Q61" s="56">
        <f>1472.27276630141*Deflactores!$N$5</f>
        <v>2981.2748987762111</v>
      </c>
      <c r="R61" s="56">
        <f>1890.5518975455*Deflactores!$O$5</f>
        <v>3693.1006509878375</v>
      </c>
      <c r="S61" s="56">
        <f>2448.0112399168*Deflactores!$P$5</f>
        <v>4478.8519311166838</v>
      </c>
      <c r="T61" s="56">
        <f>2568.27857323365*Deflactores!$Q$5</f>
        <v>4443.3963102885218</v>
      </c>
      <c r="U61" s="56">
        <f>3237.15191288646*Deflactores!$R$5</f>
        <v>5380.5539879655935</v>
      </c>
      <c r="V61" s="56">
        <f>3413.6247766772*Deflactores!$S$5</f>
        <v>5499.0057209398192</v>
      </c>
    </row>
    <row r="62" spans="3:22" x14ac:dyDescent="0.2">
      <c r="C62" s="88" t="s">
        <v>132</v>
      </c>
      <c r="D62" s="57">
        <f>0*Deflactores!$A$5</f>
        <v>0</v>
      </c>
      <c r="E62" s="57">
        <f>0*Deflactores!$B$5</f>
        <v>0</v>
      </c>
      <c r="F62" s="57">
        <f>0*Deflactores!$C$5</f>
        <v>0</v>
      </c>
      <c r="G62" s="57">
        <f>0*Deflactores!$D$5</f>
        <v>0</v>
      </c>
      <c r="H62" s="57">
        <f>2*Deflactores!$E$5</f>
        <v>5.7556439967194919</v>
      </c>
      <c r="I62" s="57">
        <f>7.114266017*Deflactores!$F$5</f>
        <v>19.525591480935834</v>
      </c>
      <c r="J62" s="57">
        <f>1.1967085*Deflactores!$G$5</f>
        <v>3.1436764259650247</v>
      </c>
      <c r="K62" s="57">
        <f>3.01051064264*Deflactores!$H$5</f>
        <v>7.4823393344350269</v>
      </c>
      <c r="L62" s="57">
        <f>2.758*Deflactores!$I$5</f>
        <v>6.3661834639852373</v>
      </c>
      <c r="M62" s="57">
        <f>0.55841199934*Deflactores!$J$5</f>
        <v>1.2636644286558274</v>
      </c>
      <c r="N62" s="57">
        <f>2.35854278671*Deflactores!$K$5</f>
        <v>5.1732349429730133</v>
      </c>
      <c r="O62" s="57">
        <f>3.49427210056*Deflactores!$L$5</f>
        <v>7.3889829516478995</v>
      </c>
      <c r="P62" s="57">
        <f>9.22299242554*Deflactores!$M$5</f>
        <v>19.038390305209624</v>
      </c>
      <c r="Q62" s="57">
        <f>6.77195395508*Deflactores!$N$5</f>
        <v>13.712850501654323</v>
      </c>
      <c r="R62" s="57">
        <f>8.19544139536*Deflactores!$O$5</f>
        <v>16.009393866220623</v>
      </c>
      <c r="S62" s="57">
        <f>8.38615291393*Deflactores!$P$5</f>
        <v>15.343204541197995</v>
      </c>
      <c r="T62" s="57">
        <f>14.76139661105*Deflactores!$Q$5</f>
        <v>25.53879315111115</v>
      </c>
      <c r="U62" s="57">
        <f>19.89336937759*Deflactores!$R$5</f>
        <v>33.06528418161966</v>
      </c>
      <c r="V62" s="57">
        <f>19.62933852681*Deflactores!$S$5</f>
        <v>31.620887449224131</v>
      </c>
    </row>
    <row r="63" spans="3:22" x14ac:dyDescent="0.2">
      <c r="C63" s="87" t="s">
        <v>133</v>
      </c>
      <c r="D63" s="56">
        <f>19.1010561143*Deflactores!$A$5</f>
        <v>71.126850475346231</v>
      </c>
      <c r="E63" s="56">
        <f>31.40879010143*Deflactores!$B$5</f>
        <v>108.64761900629168</v>
      </c>
      <c r="F63" s="56">
        <f>18.17713100576*Deflactores!$C$5</f>
        <v>58.768375405974723</v>
      </c>
      <c r="G63" s="56">
        <f>28.331641808*Deflactores!$D$5</f>
        <v>86.015300251790464</v>
      </c>
      <c r="H63" s="56">
        <f>38.50665057368*Deflactores!$E$5</f>
        <v>110.81528610408823</v>
      </c>
      <c r="I63" s="56">
        <f>44.12831130191*Deflactores!$F$5</f>
        <v>121.11317979475808</v>
      </c>
      <c r="J63" s="56">
        <f>49.3477782746*Deflactores!$G$5</f>
        <v>129.63344643713071</v>
      </c>
      <c r="K63" s="56">
        <f>70.1679892061399*Deflactores!$H$5</f>
        <v>174.39589756603809</v>
      </c>
      <c r="L63" s="56">
        <f>75.79614864572*Deflactores!$I$5</f>
        <v>174.95728359033708</v>
      </c>
      <c r="M63" s="56">
        <f>85.38424177695*Deflactores!$J$5</f>
        <v>193.22118655903984</v>
      </c>
      <c r="N63" s="56">
        <f>88.17141688894*Deflactores!$K$5</f>
        <v>193.3954547661933</v>
      </c>
      <c r="O63" s="56">
        <f>112.376240826*Deflactores!$L$5</f>
        <v>237.63064344660495</v>
      </c>
      <c r="P63" s="56">
        <f>122.44791439944*Deflactores!$M$5</f>
        <v>252.7608262953708</v>
      </c>
      <c r="Q63" s="56">
        <f>145.82184665841*Deflactores!$N$5</f>
        <v>295.28156812139974</v>
      </c>
      <c r="R63" s="56">
        <f>139.16425978375*Deflactores!$O$5</f>
        <v>271.85057393497891</v>
      </c>
      <c r="S63" s="56">
        <f>125.52180336825*Deflactores!$P$5</f>
        <v>229.65318224284064</v>
      </c>
      <c r="T63" s="56">
        <f>165.83417220908*Deflactores!$Q$5</f>
        <v>286.91083459291889</v>
      </c>
      <c r="U63" s="56">
        <f>160.89029154666*Deflactores!$R$5</f>
        <v>267.41991821892339</v>
      </c>
      <c r="V63" s="56">
        <f>113.17003312776*Deflactores!$S$5</f>
        <v>182.30552574506035</v>
      </c>
    </row>
    <row r="64" spans="3:22" x14ac:dyDescent="0.2">
      <c r="C64" s="88" t="s">
        <v>134</v>
      </c>
      <c r="D64" s="57">
        <f>861.58858302593*Deflactores!$A$5</f>
        <v>3208.3085851086498</v>
      </c>
      <c r="E64" s="57">
        <f>1741.36638585276*Deflactores!$B$5</f>
        <v>6023.6421406082745</v>
      </c>
      <c r="F64" s="57">
        <f>981.04630662233*Deflactores!$C$5</f>
        <v>3171.8150471576855</v>
      </c>
      <c r="G64" s="57">
        <f>1290.40359949958*Deflactores!$D$5</f>
        <v>3917.6851736705935</v>
      </c>
      <c r="H64" s="57">
        <f>1384.61525435362*Deflactores!$E$5</f>
        <v>3984.6762382433226</v>
      </c>
      <c r="I64" s="57">
        <f>1652.47901847495*Deflactores!$F$5</f>
        <v>4535.3421095667318</v>
      </c>
      <c r="J64" s="57">
        <f>841.52576368015*Deflactores!$G$5</f>
        <v>2210.6341729197229</v>
      </c>
      <c r="K64" s="57">
        <f>776.521754038009*Deflactores!$H$5</f>
        <v>1929.9713417348867</v>
      </c>
      <c r="L64" s="57">
        <f>874.246293897039*Deflactores!$I$5</f>
        <v>2017.9885060397778</v>
      </c>
      <c r="M64" s="57">
        <f>954.02669478836*Deflactores!$J$5</f>
        <v>2158.9249507837062</v>
      </c>
      <c r="N64" s="57">
        <f>789.88917436802*Deflactores!$K$5</f>
        <v>1732.5453245717108</v>
      </c>
      <c r="O64" s="57">
        <f>1342.99154514663*Deflactores!$L$5</f>
        <v>2839.8880641565902</v>
      </c>
      <c r="P64" s="57">
        <f>2049.59604465662*Deflactores!$M$5</f>
        <v>4230.8404545720896</v>
      </c>
      <c r="Q64" s="57">
        <f>1823.58339900579*Deflactores!$N$5</f>
        <v>3692.660448334314</v>
      </c>
      <c r="R64" s="57">
        <f>2006.54068005587*Deflactores!$O$5</f>
        <v>3919.6790637531635</v>
      </c>
      <c r="S64" s="57">
        <f>2606.73889683716*Deflactores!$P$5</f>
        <v>4769.2581437709787</v>
      </c>
      <c r="T64" s="57">
        <f>1393.94596669665*Deflactores!$Q$5</f>
        <v>2411.6754427316455</v>
      </c>
      <c r="U64" s="57">
        <f>1428.2776986594*Deflactores!$R$5</f>
        <v>2373.9773338569594</v>
      </c>
      <c r="V64" s="57">
        <f>1336.98498892648*Deflactores!$S$5</f>
        <v>2153.7481662158102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33.51855518542*Deflactores!$A$5</f>
        <v>124.81347882320374</v>
      </c>
      <c r="E66" s="57">
        <f>138.63791861612*Deflactores!$B$5</f>
        <v>479.56892681911029</v>
      </c>
      <c r="F66" s="57">
        <f>97.73172289339*Deflactores!$C$5</f>
        <v>315.9758588003474</v>
      </c>
      <c r="G66" s="57">
        <f>86.00048478234*Deflactores!$D$5</f>
        <v>261.09879443215749</v>
      </c>
      <c r="H66" s="57">
        <f>215.172174706989*Deflactores!$E$5</f>
        <v>619.2272178066795</v>
      </c>
      <c r="I66" s="57">
        <f>435.269761751489*Deflactores!$F$5</f>
        <v>1194.627742574592</v>
      </c>
      <c r="J66" s="57">
        <f>1098.0265489335*Deflactores!$G$5</f>
        <v>2884.4452738206301</v>
      </c>
      <c r="K66" s="57">
        <f>1420.59279148005*Deflactores!$H$5</f>
        <v>3530.7489604437528</v>
      </c>
      <c r="L66" s="57">
        <f>2077.28339574255*Deflactores!$I$5</f>
        <v>4794.9119666378983</v>
      </c>
      <c r="M66" s="57">
        <f>1983.83376491108*Deflactores!$J$5</f>
        <v>4489.3379154593067</v>
      </c>
      <c r="N66" s="57">
        <f>2920.58595480099*Deflactores!$K$5</f>
        <v>6406.0221423451449</v>
      </c>
      <c r="O66" s="57">
        <f>2865.19534301589*Deflactores!$L$5</f>
        <v>6058.7381100895018</v>
      </c>
      <c r="P66" s="57">
        <f>4255.57283750492*Deflactores!$M$5</f>
        <v>8784.4869554821817</v>
      </c>
      <c r="Q66" s="57">
        <f>4865.47020415373*Deflactores!$N$5</f>
        <v>9852.3212018835202</v>
      </c>
      <c r="R66" s="57">
        <f>7358.22494047452*Deflactores!$O$5</f>
        <v>14373.932476046919</v>
      </c>
      <c r="S66" s="57">
        <f>8405.2633582762*Deflactores!$P$5</f>
        <v>15378.168780401156</v>
      </c>
      <c r="T66" s="57">
        <f>7227.98690576446*Deflactores!$Q$5</f>
        <v>12505.189539252413</v>
      </c>
      <c r="U66" s="57">
        <f>7610.49497318583*Deflactores!$R$5</f>
        <v>12649.600692311828</v>
      </c>
      <c r="V66" s="57">
        <f>7361.65231787757*Deflactores!$S$5</f>
        <v>11858.880474550378</v>
      </c>
    </row>
    <row r="67" spans="3:22" x14ac:dyDescent="0.2">
      <c r="C67" s="87" t="s">
        <v>137</v>
      </c>
      <c r="D67" s="56">
        <f>15.40921231487*Deflactores!$A$5</f>
        <v>57.379483820378688</v>
      </c>
      <c r="E67" s="56">
        <f>22.53521359798*Deflactores!$B$5</f>
        <v>77.952614325862314</v>
      </c>
      <c r="F67" s="56">
        <f>30.213601169*Deflactores!$C$5</f>
        <v>97.683416338009138</v>
      </c>
      <c r="G67" s="56">
        <f>18.6628678595499*Deflactores!$D$5</f>
        <v>56.660753844677942</v>
      </c>
      <c r="H67" s="56">
        <f>48.99903775582*Deflactores!$E$5</f>
        <v>141.01050875215856</v>
      </c>
      <c r="I67" s="56">
        <f>139.25990758784*Deflactores!$F$5</f>
        <v>382.20837662458752</v>
      </c>
      <c r="J67" s="56">
        <f>40.02939212704*Deflactores!$G$5</f>
        <v>105.1546440720406</v>
      </c>
      <c r="K67" s="56">
        <f>79.99118788793*Deflactores!$H$5</f>
        <v>198.8105283750738</v>
      </c>
      <c r="L67" s="56">
        <f>87.08348911109*Deflactores!$I$5</f>
        <v>201.01140984958653</v>
      </c>
      <c r="M67" s="56">
        <f>74.24212829038*Deflactores!$J$5</f>
        <v>168.00702123009592</v>
      </c>
      <c r="N67" s="56">
        <f>104.17793351069*Deflactores!$K$5</f>
        <v>228.50419715132645</v>
      </c>
      <c r="O67" s="56">
        <f>129.340234307469*Deflactores!$L$5</f>
        <v>273.50268060317103</v>
      </c>
      <c r="P67" s="56">
        <f>161.803760222959*Deflactores!$M$5</f>
        <v>334.0003979017564</v>
      </c>
      <c r="Q67" s="56">
        <f>202.86806681298*Deflactores!$N$5</f>
        <v>410.79716286008801</v>
      </c>
      <c r="R67" s="56">
        <f>398.035031673199*Deflactores!$O$5</f>
        <v>777.54196353812483</v>
      </c>
      <c r="S67" s="56">
        <f>212.33099441312*Deflactores!$P$5</f>
        <v>388.47823443631319</v>
      </c>
      <c r="T67" s="56">
        <f>161.519508798299*Deflactores!$Q$5</f>
        <v>279.44600594099325</v>
      </c>
      <c r="U67" s="56">
        <f>182.96576209382*Deflactores!$R$5</f>
        <v>304.11212923809302</v>
      </c>
      <c r="V67" s="56">
        <f>412.321144302499*Deflactores!$S$5</f>
        <v>664.2078376261743</v>
      </c>
    </row>
    <row r="68" spans="3:22" x14ac:dyDescent="0.2">
      <c r="C68" s="88" t="s">
        <v>138</v>
      </c>
      <c r="D68" s="57">
        <f>6.976741362*Deflactores!$A$5</f>
        <v>25.979382327903444</v>
      </c>
      <c r="E68" s="57">
        <f>17.98057369246*Deflactores!$B$5</f>
        <v>62.197445802409398</v>
      </c>
      <c r="F68" s="57">
        <f>0.20713626815*Deflactores!$C$5</f>
        <v>0.66969105096807768</v>
      </c>
      <c r="G68" s="57">
        <f>23.780309356*Deflactores!$D$5</f>
        <v>72.197384930908683</v>
      </c>
      <c r="H68" s="57">
        <f>0*Deflactores!$E$5</f>
        <v>0</v>
      </c>
      <c r="I68" s="57">
        <f>0*Deflactores!$F$5</f>
        <v>0</v>
      </c>
      <c r="J68" s="57">
        <f>0*Deflactores!$G$5</f>
        <v>0</v>
      </c>
      <c r="K68" s="57">
        <f>0*Deflactores!$H$5</f>
        <v>0</v>
      </c>
      <c r="L68" s="57">
        <f>41.51245946219*Deflactores!$I$5</f>
        <v>95.821585561113665</v>
      </c>
      <c r="M68" s="57">
        <f>2.9899*Deflactores!$J$5</f>
        <v>6.7660263026289487</v>
      </c>
      <c r="N68" s="57">
        <f>9.591098789*Deflactores!$K$5</f>
        <v>21.037145340904821</v>
      </c>
      <c r="O68" s="57">
        <f>0*Deflactores!$L$5</f>
        <v>0</v>
      </c>
      <c r="P68" s="57">
        <f>60.01099712731*Deflactores!$M$5</f>
        <v>123.8765829136684</v>
      </c>
      <c r="Q68" s="57">
        <f>32.47919553503*Deflactores!$N$5</f>
        <v>65.768662300451737</v>
      </c>
      <c r="R68" s="57">
        <f>19.08622883591*Deflactores!$O$5</f>
        <v>37.284014382422228</v>
      </c>
      <c r="S68" s="57">
        <f>16.82887569798*Deflactores!$P$5</f>
        <v>30.789908636604981</v>
      </c>
      <c r="T68" s="57">
        <f>10.5742991878899*Deflactores!$Q$5</f>
        <v>18.294667286110769</v>
      </c>
      <c r="U68" s="57">
        <f>8.47548850454999*Deflactores!$R$5</f>
        <v>14.087328831117622</v>
      </c>
      <c r="V68" s="57">
        <f>7.03642349455999*Deflactores!$S$5</f>
        <v>11.334969594755691</v>
      </c>
    </row>
    <row r="69" spans="3:22" x14ac:dyDescent="0.2">
      <c r="C69" s="87" t="s">
        <v>139</v>
      </c>
      <c r="D69" s="56">
        <f>55.36459150445*Deflactores!$A$5</f>
        <v>206.1618477010559</v>
      </c>
      <c r="E69" s="56">
        <f>102.82566501807*Deflactores!$B$5</f>
        <v>355.68908069601855</v>
      </c>
      <c r="F69" s="56">
        <f>48.59989571413*Deflactores!$C$5</f>
        <v>157.12803715361662</v>
      </c>
      <c r="G69" s="56">
        <f>43.4893480909*Deflactores!$D$5</f>
        <v>132.03432964259486</v>
      </c>
      <c r="H69" s="56">
        <f>101.02952123466*Deflactores!$E$5</f>
        <v>290.74497869285761</v>
      </c>
      <c r="I69" s="56">
        <f>71.5925937668*Deflactores!$F$5</f>
        <v>196.49078845390184</v>
      </c>
      <c r="J69" s="56">
        <f>149.09245059344*Deflactores!$G$5</f>
        <v>391.6562991070528</v>
      </c>
      <c r="K69" s="56">
        <f>258.75655691835*Deflactores!$H$5</f>
        <v>643.11493752944273</v>
      </c>
      <c r="L69" s="56">
        <f>487.16309497873*Deflactores!$I$5</f>
        <v>1124.4995067140901</v>
      </c>
      <c r="M69" s="56">
        <f>410.70882542095*Deflactores!$J$5</f>
        <v>929.41794559014966</v>
      </c>
      <c r="N69" s="56">
        <f>191.17987524425*Deflactores!$K$5</f>
        <v>419.33452154429051</v>
      </c>
      <c r="O69" s="56">
        <f>3743.3923314154*Deflactores!$L$5</f>
        <v>7915.772247308686</v>
      </c>
      <c r="P69" s="56">
        <f>154.59855419909*Deflactores!$M$5</f>
        <v>319.12718558814726</v>
      </c>
      <c r="Q69" s="56">
        <f>331.921173618399*Deflactores!$N$5</f>
        <v>672.12291494515705</v>
      </c>
      <c r="R69" s="56">
        <f>354.967127632319*Deflactores!$O$5</f>
        <v>693.41091976378812</v>
      </c>
      <c r="S69" s="56">
        <f>345.17542170455*Deflactores!$P$5</f>
        <v>631.52880136611736</v>
      </c>
      <c r="T69" s="56">
        <f>398.1072460012*Deflactores!$Q$5</f>
        <v>688.76806683537529</v>
      </c>
      <c r="U69" s="56">
        <f>431.2875060202*Deflactores!$R$5</f>
        <v>716.85412761724592</v>
      </c>
      <c r="V69" s="56">
        <f>237.59622170355*Deflactores!$S$5</f>
        <v>382.74358428265441</v>
      </c>
    </row>
    <row r="70" spans="3:22" x14ac:dyDescent="0.2">
      <c r="C70" s="88" t="s">
        <v>140</v>
      </c>
      <c r="D70" s="57">
        <f>219.46698163615*Deflactores!$A$5</f>
        <v>817.2320469454869</v>
      </c>
      <c r="E70" s="57">
        <f>361.18454247233*Deflactores!$B$5</f>
        <v>1249.3903915040923</v>
      </c>
      <c r="F70" s="57">
        <f>232.63090600464*Deflactores!$C$5</f>
        <v>752.11761475342314</v>
      </c>
      <c r="G70" s="57">
        <f>334.595588163*Deflactores!$D$5</f>
        <v>1015.8373515310423</v>
      </c>
      <c r="H70" s="57">
        <f>619.353883818*Deflactores!$E$5</f>
        <v>1782.3902316209867</v>
      </c>
      <c r="I70" s="57">
        <f>598.27169132421*Deflactores!$F$5</f>
        <v>1641.9977284362303</v>
      </c>
      <c r="J70" s="57">
        <f>554.872970992919*Deflactores!$G$5</f>
        <v>1457.6156836151949</v>
      </c>
      <c r="K70" s="57">
        <f>2312.74420682185*Deflactores!$H$5</f>
        <v>5748.1068839586851</v>
      </c>
      <c r="L70" s="57">
        <f>1447.29405972253*Deflactores!$I$5</f>
        <v>3340.7322373203888</v>
      </c>
      <c r="M70" s="57">
        <f>6116.0150536541*Deflactores!$J$5</f>
        <v>13840.30192324099</v>
      </c>
      <c r="N70" s="57">
        <f>1074.98448658375*Deflactores!$K$5</f>
        <v>2357.8742520530509</v>
      </c>
      <c r="O70" s="57">
        <f>1652.35286708225*Deflactores!$L$5</f>
        <v>3494.0630877087674</v>
      </c>
      <c r="P70" s="57">
        <f>2019.85289872824*Deflactores!$M$5</f>
        <v>4169.4437196554227</v>
      </c>
      <c r="Q70" s="57">
        <f>2623.8575613442*Deflactores!$N$5</f>
        <v>5313.1735264321132</v>
      </c>
      <c r="R70" s="57">
        <f>2237.311642446*Deflactores!$O$5</f>
        <v>4370.478850068771</v>
      </c>
      <c r="S70" s="57">
        <f>2468.82002595136*Deflactores!$P$5</f>
        <v>4516.9234358530148</v>
      </c>
      <c r="T70" s="57">
        <f>2404.90778839495*Deflactores!$Q$5</f>
        <v>4160.7473990190438</v>
      </c>
      <c r="U70" s="57">
        <f>2959.67941433577*Deflactores!$R$5</f>
        <v>4919.3597657591745</v>
      </c>
      <c r="V70" s="57">
        <f>3263.83068956039*Deflactores!$S$5</f>
        <v>5257.7025327141655</v>
      </c>
    </row>
    <row r="71" spans="3:22" x14ac:dyDescent="0.2">
      <c r="C71" s="87" t="s">
        <v>141</v>
      </c>
      <c r="D71" s="56">
        <f>5.64863593475*Deflactores!$A$5</f>
        <v>21.033898917235579</v>
      </c>
      <c r="E71" s="56">
        <f>20.0888766262399*Deflactores!$B$5</f>
        <v>69.49037536637681</v>
      </c>
      <c r="F71" s="56">
        <f>17.040597778*Deflactores!$C$5</f>
        <v>55.093856508069514</v>
      </c>
      <c r="G71" s="56">
        <f>12.34781983744*Deflactores!$D$5</f>
        <v>37.488170928114393</v>
      </c>
      <c r="H71" s="56">
        <f>22.2047966701899*Deflactores!$E$5</f>
        <v>63.901452326577733</v>
      </c>
      <c r="I71" s="56">
        <f>23.7869984367499*Deflactores!$F$5</f>
        <v>65.285050196856858</v>
      </c>
      <c r="J71" s="56">
        <f>30.1996308465999*Deflactores!$G$5</f>
        <v>79.332492052410657</v>
      </c>
      <c r="K71" s="56">
        <f>37.21121188987*Deflactores!$H$5</f>
        <v>92.484946062642194</v>
      </c>
      <c r="L71" s="56">
        <f>45.32734943506*Deflactores!$I$5</f>
        <v>104.62734678744002</v>
      </c>
      <c r="M71" s="56">
        <f>58.31524640694*Deflactores!$J$5</f>
        <v>131.96511289128208</v>
      </c>
      <c r="N71" s="56">
        <f>70.8266128051599*Deflactores!$K$5</f>
        <v>155.351308579472</v>
      </c>
      <c r="O71" s="56">
        <f>73.46044401012*Deflactores!$L$5</f>
        <v>155.33935331603732</v>
      </c>
      <c r="P71" s="56">
        <f>74.28506358539*Deflactores!$M$5</f>
        <v>153.34155869732976</v>
      </c>
      <c r="Q71" s="56">
        <f>95.27540191069*Deflactores!$N$5</f>
        <v>192.92767664290599</v>
      </c>
      <c r="R71" s="56">
        <f>73.0700691745*Deflactores!$O$5</f>
        <v>142.73880573520606</v>
      </c>
      <c r="S71" s="56">
        <f>153.2975827367*Deflactores!$P$5</f>
        <v>280.47141421586105</v>
      </c>
      <c r="T71" s="56">
        <f>87.6501313463999*Deflactores!$Q$5</f>
        <v>151.64409121341293</v>
      </c>
      <c r="U71" s="56">
        <f>214.37124976986*Deflactores!$R$5</f>
        <v>356.31200323432091</v>
      </c>
      <c r="V71" s="56">
        <f>218.45234918743*Deflactores!$S$5</f>
        <v>351.90473368421289</v>
      </c>
    </row>
    <row r="72" spans="3:22" x14ac:dyDescent="0.2">
      <c r="C72" s="88" t="s">
        <v>142</v>
      </c>
      <c r="D72" s="57">
        <f>318.10798131315*Deflactores!$A$5</f>
        <v>1184.5428172390787</v>
      </c>
      <c r="E72" s="57">
        <f>1022.83150860517*Deflactores!$B$5</f>
        <v>3538.1244452808623</v>
      </c>
      <c r="F72" s="57">
        <f>811.92508892651*Deflactores!$C$5</f>
        <v>2625.0302323530805</v>
      </c>
      <c r="G72" s="57">
        <f>364.0211898864*Deflactores!$D$5</f>
        <v>1105.1739309103975</v>
      </c>
      <c r="H72" s="57">
        <f>232.3155134236*Deflactores!$E$5</f>
        <v>668.56269509067499</v>
      </c>
      <c r="I72" s="57">
        <f>126.20888414071*Deflactores!$F$5</f>
        <v>346.38894681582792</v>
      </c>
      <c r="J72" s="57">
        <f>224.06681407523*Deflactores!$G$5</f>
        <v>588.60914019528468</v>
      </c>
      <c r="K72" s="57">
        <f>345.60666410874*Deflactores!$H$5</f>
        <v>858.97266080946713</v>
      </c>
      <c r="L72" s="57">
        <f>545.00926632428*Deflactores!$I$5</f>
        <v>1258.0235601857714</v>
      </c>
      <c r="M72" s="57">
        <f>1018.08438016179*Deflactores!$J$5</f>
        <v>2303.8849775813105</v>
      </c>
      <c r="N72" s="57">
        <f>799.51100983529*Deflactores!$K$5</f>
        <v>1753.6498878364937</v>
      </c>
      <c r="O72" s="57">
        <f>775.02236804989*Deflactores!$L$5</f>
        <v>1638.8612277070979</v>
      </c>
      <c r="P72" s="57">
        <f>855.36378436331*Deflactores!$M$5</f>
        <v>1765.6687578485567</v>
      </c>
      <c r="Q72" s="57">
        <f>412.401456028499*Deflactores!$N$5</f>
        <v>835.09125293758279</v>
      </c>
      <c r="R72" s="57">
        <f>250.70895280581*Deflactores!$O$5</f>
        <v>489.74767527815641</v>
      </c>
      <c r="S72" s="57">
        <f>218.83972360682*Deflactores!$P$5</f>
        <v>400.38652711200757</v>
      </c>
      <c r="T72" s="57">
        <f>365.19623246981*Deflactores!$Q$5</f>
        <v>631.82849742211215</v>
      </c>
      <c r="U72" s="57">
        <f>342.14897024862*Deflactores!$R$5</f>
        <v>568.69465996361578</v>
      </c>
      <c r="V72" s="57">
        <f>288.44382243044*Deflactores!$S$5</f>
        <v>464.65394807061693</v>
      </c>
    </row>
    <row r="73" spans="3:22" x14ac:dyDescent="0.2">
      <c r="C73" s="87" t="s">
        <v>143</v>
      </c>
      <c r="D73" s="56">
        <f>718.83400763482*Deflactores!$A$5</f>
        <v>2676.7315205863651</v>
      </c>
      <c r="E73" s="56">
        <f>722.37718287329*Deflactores!$B$5</f>
        <v>2498.808794932926</v>
      </c>
      <c r="F73" s="56">
        <f>932.78088231035*Deflactores!$C$5</f>
        <v>3015.768387528271</v>
      </c>
      <c r="G73" s="56">
        <f>758.92303201324*Deflactores!$D$5</f>
        <v>2304.1019969476392</v>
      </c>
      <c r="H73" s="56">
        <f>633.89435920078*Deflactores!$E$5</f>
        <v>1824.2351315441592</v>
      </c>
      <c r="I73" s="56">
        <f>551.2099915281*Deflactores!$F$5</f>
        <v>1512.8336625408174</v>
      </c>
      <c r="J73" s="56">
        <f>48.00364836342*Deflactores!$G$5</f>
        <v>126.10250342535211</v>
      </c>
      <c r="K73" s="56">
        <f>132.29978147938*Deflactores!$H$5</f>
        <v>328.81858807588952</v>
      </c>
      <c r="L73" s="56">
        <f>82.8717276501*Deflactores!$I$5</f>
        <v>191.28956569904088</v>
      </c>
      <c r="M73" s="56">
        <f>48.50818394186*Deflactores!$J$5</f>
        <v>109.77211560366163</v>
      </c>
      <c r="N73" s="56">
        <f>47.92771045118*Deflactores!$K$5</f>
        <v>105.12478630442732</v>
      </c>
      <c r="O73" s="56">
        <f>66.8277242546*Deflactores!$L$5</f>
        <v>141.31381329334098</v>
      </c>
      <c r="P73" s="56">
        <f>382.216795287749*Deflactores!$M$5</f>
        <v>788.98389960116674</v>
      </c>
      <c r="Q73" s="56">
        <f>125.762035803839*Deflactores!$N$5</f>
        <v>254.66150644276934</v>
      </c>
      <c r="R73" s="56">
        <f>122.41872268299*Deflactores!$O$5</f>
        <v>239.13898635663827</v>
      </c>
      <c r="S73" s="56">
        <f>136.3901192927*Deflactores!$P$5</f>
        <v>249.53772238403033</v>
      </c>
      <c r="T73" s="56">
        <f>78.56124793909*Deflactores!$Q$5</f>
        <v>135.91935192010678</v>
      </c>
      <c r="U73" s="56">
        <f>62.6304179163499*Deflactores!$R$5</f>
        <v>104.09963880480628</v>
      </c>
      <c r="V73" s="56">
        <f>726.19727391496*Deflactores!$S$5</f>
        <v>1169.8306712187564</v>
      </c>
    </row>
    <row r="74" spans="3:22" x14ac:dyDescent="0.2">
      <c r="C74" s="88" t="s">
        <v>144</v>
      </c>
      <c r="D74" s="57">
        <f>15.2193574071399*Deflactores!$A$5</f>
        <v>56.672518637232614</v>
      </c>
      <c r="E74" s="57">
        <f>45.32678188888*Deflactores!$B$5</f>
        <v>156.79199719380796</v>
      </c>
      <c r="F74" s="57">
        <f>30.92432823204*Deflactores!$C$5</f>
        <v>99.98126382773043</v>
      </c>
      <c r="G74" s="57">
        <f>37.2056596771999*Deflactores!$D$5</f>
        <v>112.95695497945434</v>
      </c>
      <c r="H74" s="57">
        <f>67.48196439365*Deflactores!$E$5</f>
        <v>194.20108162457507</v>
      </c>
      <c r="I74" s="57">
        <f>68.95384151998*Deflactores!$F$5</f>
        <v>189.24855176108059</v>
      </c>
      <c r="J74" s="57">
        <f>80.74833162888*Deflactores!$G$5</f>
        <v>212.12068484323129</v>
      </c>
      <c r="K74" s="57">
        <f>87.14270982288*Deflactores!$H$5</f>
        <v>216.5849594357216</v>
      </c>
      <c r="L74" s="57">
        <f>95.53384608263*Deflactores!$I$5</f>
        <v>220.51703813711021</v>
      </c>
      <c r="M74" s="57">
        <f>86.6913067308*Deflactores!$J$5</f>
        <v>196.17902322815704</v>
      </c>
      <c r="N74" s="57">
        <f>132.322731976669*Deflactores!$K$5</f>
        <v>290.23708396074363</v>
      </c>
      <c r="O74" s="57">
        <f>179.644728939399*Deflactores!$L$5</f>
        <v>379.87649538623407</v>
      </c>
      <c r="P74" s="57">
        <f>108.201749797299*Deflactores!$M$5</f>
        <v>223.35344639806576</v>
      </c>
      <c r="Q74" s="57">
        <f>278.88190536155*Deflactores!$N$5</f>
        <v>564.72118700255805</v>
      </c>
      <c r="R74" s="57">
        <f>250.50582259173*Deflactores!$O$5</f>
        <v>489.35087034155134</v>
      </c>
      <c r="S74" s="57">
        <f>209.56169389352*Deflactores!$P$5</f>
        <v>383.41155550207981</v>
      </c>
      <c r="T74" s="57">
        <f>157.6644854495*Deflactores!$Q$5</f>
        <v>272.77640370132559</v>
      </c>
      <c r="U74" s="57">
        <f>230.93068023465*Deflactores!$R$5</f>
        <v>383.83586125009083</v>
      </c>
      <c r="V74" s="57">
        <f>214.92697770978*Deflactores!$S$5</f>
        <v>346.22571528228247</v>
      </c>
    </row>
    <row r="75" spans="3:22" x14ac:dyDescent="0.2">
      <c r="C75" s="87" t="s">
        <v>145</v>
      </c>
      <c r="D75" s="56">
        <f>24.325811986*Deflactores!$A$5</f>
        <v>90.582341702262198</v>
      </c>
      <c r="E75" s="56">
        <f>0*Deflactores!$B$5</f>
        <v>0</v>
      </c>
      <c r="F75" s="56">
        <f>10.4926*Deflactores!$C$5</f>
        <v>33.923563382435361</v>
      </c>
      <c r="G75" s="56">
        <f>5.234205173*Deflactores!$D$5</f>
        <v>15.891127403987609</v>
      </c>
      <c r="H75" s="56">
        <f>10*Deflactores!$E$5</f>
        <v>28.778219983597459</v>
      </c>
      <c r="I75" s="56">
        <f>54.690459181*Deflactores!$F$5</f>
        <v>150.10171974470359</v>
      </c>
      <c r="J75" s="56">
        <f>77.98032648*Deflactores!$G$5</f>
        <v>204.84931296488008</v>
      </c>
      <c r="K75" s="56">
        <f>82.525718539*Deflactores!$H$5</f>
        <v>205.10986447979587</v>
      </c>
      <c r="L75" s="56">
        <f>98.726422448*Deflactores!$I$5</f>
        <v>227.88633721786746</v>
      </c>
      <c r="M75" s="56">
        <f>104.918153958*Deflactores!$J$5</f>
        <v>237.42566283257017</v>
      </c>
      <c r="N75" s="56">
        <f>60.434590227*Deflactores!$K$5</f>
        <v>132.55741455625051</v>
      </c>
      <c r="O75" s="56">
        <f>42.363929773*Deflactores!$L$5</f>
        <v>89.582707313302706</v>
      </c>
      <c r="P75" s="56">
        <f>45.199365*Deflactores!$M$5</f>
        <v>93.301947211265144</v>
      </c>
      <c r="Q75" s="56">
        <f>46.3516336*Deflactores!$N$5</f>
        <v>93.859619584012464</v>
      </c>
      <c r="R75" s="56">
        <f>47.529700032*Deflactores!$O$5</f>
        <v>92.846943983568323</v>
      </c>
      <c r="S75" s="56">
        <f>49.885251471*Deflactores!$P$5</f>
        <v>91.269456300667699</v>
      </c>
      <c r="T75" s="56">
        <f>35.162183767*Deflactores!$Q$5</f>
        <v>60.834334421619154</v>
      </c>
      <c r="U75" s="56">
        <f>50.295496*Deflactores!$R$5</f>
        <v>83.597445798645538</v>
      </c>
      <c r="V75" s="56">
        <f>49.896445673*Deflactores!$S$5</f>
        <v>80.378148789238182</v>
      </c>
    </row>
    <row r="76" spans="3:22" x14ac:dyDescent="0.2">
      <c r="C76" s="88" t="s">
        <v>146</v>
      </c>
      <c r="D76" s="57">
        <f>0*Deflactores!$A$5</f>
        <v>0</v>
      </c>
      <c r="E76" s="57">
        <f>0*Deflactores!$B$5</f>
        <v>0</v>
      </c>
      <c r="F76" s="57">
        <f>0*Deflactores!$C$5</f>
        <v>0</v>
      </c>
      <c r="G76" s="57">
        <f>0*Deflactores!$D$5</f>
        <v>0</v>
      </c>
      <c r="H76" s="57">
        <f>1.86046955664*Deflactores!$E$5</f>
        <v>5.3541002173771952</v>
      </c>
      <c r="I76" s="57">
        <f>1.00402834921*Deflactores!$F$5</f>
        <v>2.7556247313647289</v>
      </c>
      <c r="J76" s="57">
        <f>1.96082205932999*Deflactores!$G$5</f>
        <v>5.1509537062934569</v>
      </c>
      <c r="K76" s="57">
        <f>1.90845864181*Deflactores!$H$5</f>
        <v>4.7432933674119546</v>
      </c>
      <c r="L76" s="57">
        <f>6.46691510307*Deflactores!$I$5</f>
        <v>14.927327045743516</v>
      </c>
      <c r="M76" s="57">
        <f>7.46237018448*Deflactores!$J$5</f>
        <v>16.887050720139708</v>
      </c>
      <c r="N76" s="57">
        <f>4.4124287392*Deflactores!$K$5</f>
        <v>9.6782346564291881</v>
      </c>
      <c r="O76" s="57">
        <f>3.65644287386*Deflactores!$L$5</f>
        <v>7.7319090446036309</v>
      </c>
      <c r="P76" s="57">
        <f>13.82591733092*Deflactores!$M$5</f>
        <v>28.53989229620402</v>
      </c>
      <c r="Q76" s="57">
        <f>15.4398285184599*Deflactores!$N$5</f>
        <v>31.264840494964407</v>
      </c>
      <c r="R76" s="57">
        <f>44.0926587177359*Deflactores!$O$5</f>
        <v>86.132851907248934</v>
      </c>
      <c r="S76" s="57">
        <f>32.102720879817*Deflactores!$P$5</f>
        <v>58.734752137639276</v>
      </c>
      <c r="T76" s="57">
        <f>60.28553626688*Deflactores!$Q$5</f>
        <v>104.30041826605608</v>
      </c>
      <c r="U76" s="57">
        <f>49.2473584113499*Deflactores!$R$5</f>
        <v>81.855309181547653</v>
      </c>
      <c r="V76" s="57">
        <f>58.3394641086*Deflactores!$S$5</f>
        <v>93.97900117248038</v>
      </c>
    </row>
    <row r="77" spans="3:22" x14ac:dyDescent="0.2">
      <c r="C77" s="90" t="s">
        <v>147</v>
      </c>
      <c r="D77" s="58">
        <f>597.07131979618*Deflactores!$A$5</f>
        <v>2223.3222200979253</v>
      </c>
      <c r="E77" s="58">
        <f>1133.73253047342*Deflactores!$B$5</f>
        <v>3921.7473716157888</v>
      </c>
      <c r="F77" s="58">
        <f>954.26999568777*Deflactores!$C$5</f>
        <v>3085.2447136715768</v>
      </c>
      <c r="G77" s="58">
        <f>1175.39528480148*Deflactores!$D$5</f>
        <v>3568.5181614921421</v>
      </c>
      <c r="H77" s="58">
        <f>1571.24315885272*Deflactores!$E$5</f>
        <v>4521.7581273186142</v>
      </c>
      <c r="I77" s="58">
        <f>1606.52801086515*Deflactores!$F$5</f>
        <v>4409.2264146261214</v>
      </c>
      <c r="J77" s="58">
        <f>2172.23391631723*Deflactores!$G$5</f>
        <v>5706.3190864008729</v>
      </c>
      <c r="K77" s="58">
        <f>2473.03173740458*Deflactores!$H$5</f>
        <v>6146.4863741062081</v>
      </c>
      <c r="L77" s="58">
        <f>1726.70258820499*Deflactores!$I$5</f>
        <v>3985.6800087930087</v>
      </c>
      <c r="M77" s="58">
        <f>1959.84380743553*Deflactores!$J$5</f>
        <v>4435.0495836493728</v>
      </c>
      <c r="N77" s="58">
        <f>2359.8953462305*Deflactores!$K$5</f>
        <v>5176.2016511511847</v>
      </c>
      <c r="O77" s="58">
        <f>3563.09870421238*Deflactores!$L$5</f>
        <v>7534.5235925515553</v>
      </c>
      <c r="P77" s="58">
        <f>3820.44606671218*Deflactores!$M$5</f>
        <v>7886.2846245708397</v>
      </c>
      <c r="Q77" s="58">
        <f>4836.80132428942*Deflactores!$N$5</f>
        <v>9794.2682283640734</v>
      </c>
      <c r="R77" s="58">
        <f>7267.82870355578*Deflactores!$O$5</f>
        <v>14197.347849174272</v>
      </c>
      <c r="S77" s="58">
        <f>7512.29984477692*Deflactores!$P$5</f>
        <v>13744.413472566492</v>
      </c>
      <c r="T77" s="58">
        <f>7411.97484807425*Deflactores!$Q$5</f>
        <v>12823.508335553222</v>
      </c>
      <c r="U77" s="58">
        <f>3504.0536629721*Deflactores!$R$5</f>
        <v>5824.1782955248218</v>
      </c>
      <c r="V77" s="58">
        <f>3660.66230100003*Deflactores!$S$5</f>
        <v>5896.9582928860455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20.4014959273*Deflactores!$S$5</f>
        <v>32.864755255601395</v>
      </c>
    </row>
    <row r="79" spans="3:22" x14ac:dyDescent="0.2">
      <c r="C79" s="87" t="s">
        <v>149</v>
      </c>
      <c r="D79" s="56">
        <f>1.4*Deflactores!$A$5</f>
        <v>5.2131981639976432</v>
      </c>
      <c r="E79" s="56">
        <f>9*Deflactores!$B$5</f>
        <v>31.132322126986544</v>
      </c>
      <c r="F79" s="56">
        <f>1.97282699538*Deflactores!$C$5</f>
        <v>6.3783353620983307</v>
      </c>
      <c r="G79" s="56">
        <f>0.379426182659999*Deflactores!$D$5</f>
        <v>1.1519437258900738</v>
      </c>
      <c r="H79" s="56">
        <f>1.18604916086*Deflactores!$E$5</f>
        <v>3.4132383662590247</v>
      </c>
      <c r="I79" s="56">
        <f>3.97975123461999*Deflactores!$F$5</f>
        <v>10.922700474968751</v>
      </c>
      <c r="J79" s="56">
        <f>2.47133676066*Deflactores!$G$5</f>
        <v>6.4920430623728418</v>
      </c>
      <c r="K79" s="56">
        <f>2.00386460649*Deflactores!$H$5</f>
        <v>4.9804158648892862</v>
      </c>
      <c r="L79" s="56">
        <f>2.15647255439*Deflactores!$I$5</f>
        <v>4.9777012024277099</v>
      </c>
      <c r="M79" s="56">
        <f>3.38139765407*Deflactores!$J$5</f>
        <v>7.6519701217717788</v>
      </c>
      <c r="N79" s="56">
        <f>12.6106598777099*Deflactores!$K$5</f>
        <v>27.660259843883896</v>
      </c>
      <c r="O79" s="56">
        <f>21.16685130071*Deflactores!$L$5</f>
        <v>44.759394489040254</v>
      </c>
      <c r="P79" s="56">
        <f>10.440482841*Deflactores!$M$5</f>
        <v>21.551572215474742</v>
      </c>
      <c r="Q79" s="56">
        <f>7.61581647891*Deflactores!$N$5</f>
        <v>15.421627718686185</v>
      </c>
      <c r="R79" s="56">
        <f>9.0004156819*Deflactores!$O$5</f>
        <v>17.581871757734202</v>
      </c>
      <c r="S79" s="56">
        <f>10.9542433684*Deflactores!$P$5</f>
        <v>20.041751959499965</v>
      </c>
      <c r="T79" s="56">
        <f>13.71766981318*Deflactores!$Q$5</f>
        <v>23.733034285644461</v>
      </c>
      <c r="U79" s="56">
        <f>15.94363078064*Deflactores!$R$5</f>
        <v>26.500321420792211</v>
      </c>
      <c r="V79" s="56">
        <f>15.32345948355*Deflactores!$S$5</f>
        <v>24.68454996587317</v>
      </c>
    </row>
    <row r="80" spans="3:22" x14ac:dyDescent="0.2">
      <c r="C80" s="88" t="s">
        <v>150</v>
      </c>
      <c r="D80" s="57">
        <f>403.30809704587*Deflactores!$A$5</f>
        <v>1501.8035936035092</v>
      </c>
      <c r="E80" s="57">
        <f>785.94453023135*Deflactores!$B$5</f>
        <v>2718.697587678389</v>
      </c>
      <c r="F80" s="57">
        <f>567.83045296122*Deflactores!$C$5</f>
        <v>1835.8492996499369</v>
      </c>
      <c r="G80" s="57">
        <f>338.132208813249*Deflactores!$D$5</f>
        <v>1026.5745862161834</v>
      </c>
      <c r="H80" s="57">
        <f>595.46185758951*Deflactores!$E$5</f>
        <v>1713.6332329552502</v>
      </c>
      <c r="I80" s="57">
        <f>1041.27247365135*Deflactores!$F$5</f>
        <v>2857.8437877184292</v>
      </c>
      <c r="J80" s="57">
        <f>1569.42598475235*Deflactores!$G$5</f>
        <v>4122.7813377801749</v>
      </c>
      <c r="K80" s="57">
        <f>2209.5773285366*Deflactores!$H$5</f>
        <v>5491.6953700875119</v>
      </c>
      <c r="L80" s="57">
        <f>1691.89294821801*Deflactores!$I$5</f>
        <v>3905.3302791075871</v>
      </c>
      <c r="M80" s="57">
        <f>2687.45920755256*Deflactores!$J$5</f>
        <v>6081.6146645516483</v>
      </c>
      <c r="N80" s="57">
        <f>2784.19118222846*Deflactores!$K$5</f>
        <v>6106.8534321199068</v>
      </c>
      <c r="O80" s="57">
        <f>4192.90741864326*Deflactores!$L$5</f>
        <v>8866.3162291304998</v>
      </c>
      <c r="P80" s="57">
        <f>6535.30921120401*Deflactores!$M$5</f>
        <v>13490.390297143585</v>
      </c>
      <c r="Q80" s="57">
        <f>7097.6354265043*Deflactores!$N$5</f>
        <v>14372.338347913237</v>
      </c>
      <c r="R80" s="57">
        <f>5870.60139993367*Deflactores!$O$5</f>
        <v>11467.932660263486</v>
      </c>
      <c r="S80" s="57">
        <f>5320.0642694273*Deflactores!$P$5</f>
        <v>9733.5256220470474</v>
      </c>
      <c r="T80" s="57">
        <f>4046.2031607634*Deflactores!$Q$5</f>
        <v>7000.3637388046727</v>
      </c>
      <c r="U80" s="57">
        <f>3885.84263791489*Deflactores!$R$5</f>
        <v>6458.7596333706661</v>
      </c>
      <c r="V80" s="57">
        <f>3120.84024262776*Deflactores!$S$5</f>
        <v>5027.3593236144061</v>
      </c>
    </row>
    <row r="81" spans="3:22" x14ac:dyDescent="0.2">
      <c r="C81" s="87" t="s">
        <v>151</v>
      </c>
      <c r="D81" s="56">
        <f>141.593552588*Deflactores!$A$5</f>
        <v>527.25374884690382</v>
      </c>
      <c r="E81" s="56">
        <f>149.3276983725*Deflactores!$B$5</f>
        <v>516.54644535712828</v>
      </c>
      <c r="F81" s="56">
        <f>132.952113059*Deflactores!$C$5</f>
        <v>429.8466952124067</v>
      </c>
      <c r="G81" s="56">
        <f>180.8746133005*Deflactores!$D$5</f>
        <v>549.13810771728356</v>
      </c>
      <c r="H81" s="56">
        <f>222.92307995768*Deflactores!$E$5</f>
        <v>641.53294344432004</v>
      </c>
      <c r="I81" s="56">
        <f>174.35206345525*Deflactores!$F$5</f>
        <v>478.52120749358443</v>
      </c>
      <c r="J81" s="56">
        <f>196.2975417139*Deflactores!$G$5</f>
        <v>515.66104390574105</v>
      </c>
      <c r="K81" s="56">
        <f>367.54313335697*Deflactores!$H$5</f>
        <v>913.49367940009404</v>
      </c>
      <c r="L81" s="56">
        <f>429.39915759823*Deflactores!$I$5</f>
        <v>991.16527068565722</v>
      </c>
      <c r="M81" s="56">
        <f>692.95606381532*Deflactores!$J$5</f>
        <v>1568.1323637381449</v>
      </c>
      <c r="N81" s="56">
        <f>619.85669036762*Deflactores!$K$5</f>
        <v>1359.5955554906191</v>
      </c>
      <c r="O81" s="56">
        <f>806.44353048476*Deflactores!$L$5</f>
        <v>1705.3043743398416</v>
      </c>
      <c r="P81" s="56">
        <f>1713.8504980374*Deflactores!$M$5</f>
        <v>3537.7839643518437</v>
      </c>
      <c r="Q81" s="56">
        <f>2092.226253567*Deflactores!$N$5</f>
        <v>4236.6480961197931</v>
      </c>
      <c r="R81" s="56">
        <f>2185.42250531032*Deflactores!$O$5</f>
        <v>4269.1159589554554</v>
      </c>
      <c r="S81" s="56">
        <f>2280.40329289248*Deflactores!$P$5</f>
        <v>4172.1984464595243</v>
      </c>
      <c r="T81" s="56">
        <f>1485.76237457173*Deflactores!$Q$5</f>
        <v>2570.5276374382361</v>
      </c>
      <c r="U81" s="56">
        <f>1899.18062441549*Deflactores!$R$5</f>
        <v>3156.6772760608965</v>
      </c>
      <c r="V81" s="56">
        <f>1828.57377922835*Deflactores!$S$5</f>
        <v>2945.6481983134199</v>
      </c>
    </row>
    <row r="82" spans="3:22" x14ac:dyDescent="0.2">
      <c r="C82" s="79" t="s">
        <v>202</v>
      </c>
      <c r="D82" s="44">
        <f t="shared" ref="D82:V82" si="1">+SUM(D53:D81)</f>
        <v>16029.814468608261</v>
      </c>
      <c r="E82" s="44">
        <f t="shared" si="1"/>
        <v>27839.371129271723</v>
      </c>
      <c r="F82" s="44">
        <f t="shared" si="1"/>
        <v>20987.316981503795</v>
      </c>
      <c r="G82" s="44">
        <f t="shared" si="1"/>
        <v>18777.583324982235</v>
      </c>
      <c r="H82" s="44">
        <f t="shared" si="1"/>
        <v>21908.693028487571</v>
      </c>
      <c r="I82" s="44">
        <f t="shared" si="1"/>
        <v>23485.469990241396</v>
      </c>
      <c r="J82" s="44">
        <f t="shared" si="1"/>
        <v>25972.332801159409</v>
      </c>
      <c r="K82" s="44">
        <f t="shared" si="1"/>
        <v>34678.211175067234</v>
      </c>
      <c r="L82" s="44">
        <f t="shared" si="1"/>
        <v>36593.62352814422</v>
      </c>
      <c r="M82" s="44">
        <f t="shared" si="1"/>
        <v>50069.217038945586</v>
      </c>
      <c r="N82" s="44">
        <f t="shared" si="1"/>
        <v>37859.665471839799</v>
      </c>
      <c r="O82" s="44">
        <f t="shared" si="1"/>
        <v>51477.837139158037</v>
      </c>
      <c r="P82" s="44">
        <f t="shared" si="1"/>
        <v>58399.188264481789</v>
      </c>
      <c r="Q82" s="44">
        <f t="shared" si="1"/>
        <v>66871.142816148596</v>
      </c>
      <c r="R82" s="44">
        <f t="shared" si="1"/>
        <v>72364.573351053376</v>
      </c>
      <c r="S82" s="44">
        <f t="shared" si="1"/>
        <v>70429.086281111071</v>
      </c>
      <c r="T82" s="44">
        <f t="shared" si="1"/>
        <v>55922.690796409333</v>
      </c>
      <c r="U82" s="44">
        <f t="shared" si="1"/>
        <v>51625.171668161514</v>
      </c>
      <c r="V82" s="44">
        <f t="shared" si="1"/>
        <v>48506.593737298805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55" t="s">
        <v>212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3:22" ht="11.25" hidden="1" customHeight="1" x14ac:dyDescent="0.2">
      <c r="H88" s="27"/>
      <c r="I88" s="27"/>
      <c r="J88" s="27"/>
      <c r="L88" s="177"/>
      <c r="M88" s="156"/>
      <c r="N88" s="156"/>
      <c r="O88" s="156"/>
      <c r="P88" s="156"/>
      <c r="Q88" s="156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76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60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83.499578546971691</v>
      </c>
      <c r="E92" s="60">
        <f t="shared" si="2"/>
        <v>95.970805572162092</v>
      </c>
      <c r="F92" s="60">
        <f t="shared" si="2"/>
        <v>85.268227128814772</v>
      </c>
      <c r="G92" s="60">
        <f t="shared" si="2"/>
        <v>99.386412996114828</v>
      </c>
      <c r="H92" s="60">
        <f t="shared" si="2"/>
        <v>98.012359430472344</v>
      </c>
      <c r="I92" s="60">
        <f t="shared" si="2"/>
        <v>98.888457930560349</v>
      </c>
      <c r="J92" s="60">
        <f t="shared" si="2"/>
        <v>99.032273072453577</v>
      </c>
      <c r="K92" s="60">
        <f t="shared" si="2"/>
        <v>99.512901057454656</v>
      </c>
      <c r="L92" s="60">
        <f t="shared" si="2"/>
        <v>99.68501527185542</v>
      </c>
      <c r="M92" s="60">
        <f t="shared" si="2"/>
        <v>92.319468740893669</v>
      </c>
      <c r="N92" s="60">
        <f t="shared" si="2"/>
        <v>91.686436396000673</v>
      </c>
      <c r="O92" s="60">
        <f t="shared" si="2"/>
        <v>96.385432487649396</v>
      </c>
      <c r="P92" s="60">
        <f t="shared" si="2"/>
        <v>94.548200572681267</v>
      </c>
      <c r="Q92" s="60">
        <f t="shared" si="2"/>
        <v>94.065768957244259</v>
      </c>
      <c r="R92" s="60">
        <f t="shared" si="2"/>
        <v>95.437823437484752</v>
      </c>
      <c r="S92" s="60">
        <f t="shared" si="2"/>
        <v>96.43835362046903</v>
      </c>
      <c r="T92" s="60">
        <f t="shared" si="2"/>
        <v>93.40806731157339</v>
      </c>
      <c r="U92" s="60">
        <f t="shared" si="2"/>
        <v>96.80760079500746</v>
      </c>
      <c r="V92" s="60">
        <f t="shared" si="2"/>
        <v>89.591003763940165</v>
      </c>
    </row>
    <row r="93" spans="3:22" x14ac:dyDescent="0.2">
      <c r="C93" s="88" t="s">
        <v>124</v>
      </c>
      <c r="D93" s="62">
        <f t="shared" ref="D93:V93" si="3">+IFERROR(IF(D54&gt;0,+((D54/D14)*100)," "),"")</f>
        <v>56.612814919961011</v>
      </c>
      <c r="E93" s="62">
        <f t="shared" si="3"/>
        <v>92.133907854870245</v>
      </c>
      <c r="F93" s="62">
        <f t="shared" si="3"/>
        <v>79.694098939888477</v>
      </c>
      <c r="G93" s="62">
        <f t="shared" si="3"/>
        <v>99.28207950485745</v>
      </c>
      <c r="H93" s="62">
        <f t="shared" si="3"/>
        <v>98.791904706074646</v>
      </c>
      <c r="I93" s="62">
        <f t="shared" si="3"/>
        <v>98.868565393447909</v>
      </c>
      <c r="J93" s="62">
        <f t="shared" si="3"/>
        <v>99.159449807066267</v>
      </c>
      <c r="K93" s="62">
        <f t="shared" si="3"/>
        <v>98.841048710923815</v>
      </c>
      <c r="L93" s="62">
        <f t="shared" si="3"/>
        <v>96.363816031456139</v>
      </c>
      <c r="M93" s="62">
        <f t="shared" si="3"/>
        <v>95.433253934047926</v>
      </c>
      <c r="N93" s="62">
        <f t="shared" si="3"/>
        <v>90.171304602889634</v>
      </c>
      <c r="O93" s="62">
        <f t="shared" si="3"/>
        <v>96.127739025001162</v>
      </c>
      <c r="P93" s="62">
        <f t="shared" si="3"/>
        <v>90.687140970345055</v>
      </c>
      <c r="Q93" s="62">
        <f t="shared" si="3"/>
        <v>89.207199660008555</v>
      </c>
      <c r="R93" s="62">
        <f t="shared" si="3"/>
        <v>92.735596190289655</v>
      </c>
      <c r="S93" s="62">
        <f t="shared" si="3"/>
        <v>63.697517781231525</v>
      </c>
      <c r="T93" s="62">
        <f t="shared" si="3"/>
        <v>95.140844750331325</v>
      </c>
      <c r="U93" s="62">
        <f t="shared" si="3"/>
        <v>95.35775921348619</v>
      </c>
      <c r="V93" s="62">
        <f t="shared" si="3"/>
        <v>98.081648396575133</v>
      </c>
    </row>
    <row r="94" spans="3:22" x14ac:dyDescent="0.2">
      <c r="C94" s="87" t="s">
        <v>125</v>
      </c>
      <c r="D94" s="60">
        <f t="shared" ref="D94:V94" si="4">+IFERROR(IF(D55&gt;0,+((D55/D15)*100)," "),"")</f>
        <v>75.799697171663553</v>
      </c>
      <c r="E94" s="60">
        <f t="shared" si="4"/>
        <v>99.993732566432541</v>
      </c>
      <c r="F94" s="60">
        <f t="shared" si="4"/>
        <v>89.028134389336529</v>
      </c>
      <c r="G94" s="60">
        <f t="shared" si="4"/>
        <v>99.993294208022348</v>
      </c>
      <c r="H94" s="60">
        <f t="shared" si="4"/>
        <v>99.998011971882335</v>
      </c>
      <c r="I94" s="60">
        <f t="shared" si="4"/>
        <v>99.853439023408271</v>
      </c>
      <c r="J94" s="60">
        <f t="shared" si="4"/>
        <v>99.977099160276936</v>
      </c>
      <c r="K94" s="60">
        <f t="shared" si="4"/>
        <v>99.434080624051276</v>
      </c>
      <c r="L94" s="60">
        <f t="shared" si="4"/>
        <v>99.770452577781569</v>
      </c>
      <c r="M94" s="60">
        <f t="shared" si="4"/>
        <v>84.090817203856176</v>
      </c>
      <c r="N94" s="60">
        <f t="shared" si="4"/>
        <v>98.728726735528824</v>
      </c>
      <c r="O94" s="60">
        <f t="shared" si="4"/>
        <v>96.893782597576489</v>
      </c>
      <c r="P94" s="60">
        <f t="shared" si="4"/>
        <v>96.831623104969111</v>
      </c>
      <c r="Q94" s="60">
        <f t="shared" si="4"/>
        <v>98.91147416274805</v>
      </c>
      <c r="R94" s="60">
        <f t="shared" si="4"/>
        <v>99.501530553938196</v>
      </c>
      <c r="S94" s="60">
        <f t="shared" si="4"/>
        <v>99.545563452983004</v>
      </c>
      <c r="T94" s="60">
        <f t="shared" si="4"/>
        <v>99.899632305461665</v>
      </c>
      <c r="U94" s="60">
        <f t="shared" si="4"/>
        <v>99.939707188785704</v>
      </c>
      <c r="V94" s="60">
        <f t="shared" si="4"/>
        <v>99.062791312966525</v>
      </c>
    </row>
    <row r="95" spans="3:22" x14ac:dyDescent="0.2">
      <c r="C95" s="88" t="s">
        <v>126</v>
      </c>
      <c r="D95" s="62">
        <f t="shared" ref="D95:V95" si="5">+IFERROR(IF(D56&gt;0,+((D56/D16)*100)," "),"")</f>
        <v>56.049171062203293</v>
      </c>
      <c r="E95" s="62">
        <f t="shared" si="5"/>
        <v>89.440629157238362</v>
      </c>
      <c r="F95" s="62">
        <f t="shared" si="5"/>
        <v>78.980557895639819</v>
      </c>
      <c r="G95" s="62">
        <f t="shared" si="5"/>
        <v>99.755942920293933</v>
      </c>
      <c r="H95" s="62">
        <f t="shared" si="5"/>
        <v>97.688960143756461</v>
      </c>
      <c r="I95" s="62">
        <f t="shared" si="5"/>
        <v>95.947434476336639</v>
      </c>
      <c r="J95" s="62">
        <f t="shared" si="5"/>
        <v>96.571991636931472</v>
      </c>
      <c r="K95" s="62">
        <f t="shared" si="5"/>
        <v>94.215247070190046</v>
      </c>
      <c r="L95" s="62">
        <f t="shared" si="5"/>
        <v>97.801684115717947</v>
      </c>
      <c r="M95" s="62">
        <f t="shared" si="5"/>
        <v>89.235405884912666</v>
      </c>
      <c r="N95" s="62">
        <f t="shared" si="5"/>
        <v>94.504248558667939</v>
      </c>
      <c r="O95" s="62">
        <f t="shared" si="5"/>
        <v>97.769339744925475</v>
      </c>
      <c r="P95" s="62">
        <f t="shared" si="5"/>
        <v>98.805365425440399</v>
      </c>
      <c r="Q95" s="62">
        <f t="shared" si="5"/>
        <v>98.03069386928297</v>
      </c>
      <c r="R95" s="62">
        <f t="shared" si="5"/>
        <v>98.605684940397538</v>
      </c>
      <c r="S95" s="62">
        <f t="shared" si="5"/>
        <v>97.44947938097819</v>
      </c>
      <c r="T95" s="62">
        <f t="shared" si="5"/>
        <v>98.881303789283947</v>
      </c>
      <c r="U95" s="62">
        <f t="shared" si="5"/>
        <v>98.776605714603079</v>
      </c>
      <c r="V95" s="62">
        <f t="shared" si="5"/>
        <v>98.222952481862265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>
        <f t="shared" si="6"/>
        <v>86.275959820052989</v>
      </c>
      <c r="F96" s="60" t="str">
        <f t="shared" si="6"/>
        <v xml:space="preserve"> </v>
      </c>
      <c r="G96" s="60">
        <f t="shared" si="6"/>
        <v>88.085089411764699</v>
      </c>
      <c r="H96" s="60" t="str">
        <f t="shared" si="6"/>
        <v xml:space="preserve"> </v>
      </c>
      <c r="I96" s="60">
        <f t="shared" si="6"/>
        <v>93.504525142857148</v>
      </c>
      <c r="J96" s="60">
        <f t="shared" si="6"/>
        <v>99.179170724705884</v>
      </c>
      <c r="K96" s="60">
        <f t="shared" si="6"/>
        <v>99.880070805755395</v>
      </c>
      <c r="L96" s="60">
        <f t="shared" si="6"/>
        <v>92.445057314136108</v>
      </c>
      <c r="M96" s="60">
        <f t="shared" si="6"/>
        <v>51.310286938032782</v>
      </c>
      <c r="N96" s="60">
        <f t="shared" si="6"/>
        <v>81.089578230025012</v>
      </c>
      <c r="O96" s="60">
        <f t="shared" si="6"/>
        <v>50.102299924000008</v>
      </c>
      <c r="P96" s="60">
        <f t="shared" si="6"/>
        <v>21.117925840680694</v>
      </c>
      <c r="Q96" s="60">
        <f t="shared" si="6"/>
        <v>61.527879768864246</v>
      </c>
      <c r="R96" s="60">
        <f t="shared" si="6"/>
        <v>88.509262768303714</v>
      </c>
      <c r="S96" s="60">
        <f t="shared" si="6"/>
        <v>97.20887210326535</v>
      </c>
      <c r="T96" s="60">
        <f t="shared" si="6"/>
        <v>99.405504612837532</v>
      </c>
      <c r="U96" s="60">
        <f t="shared" si="6"/>
        <v>97.590751183191372</v>
      </c>
      <c r="V96" s="60">
        <f t="shared" si="6"/>
        <v>98.646078351136751</v>
      </c>
    </row>
    <row r="97" spans="3:22" x14ac:dyDescent="0.2">
      <c r="C97" s="88" t="s">
        <v>128</v>
      </c>
      <c r="D97" s="62">
        <f t="shared" ref="D97:V97" si="7">+IFERROR(IF(D58&gt;0,+((D58/D18)*100)," "),"")</f>
        <v>47.006401678489176</v>
      </c>
      <c r="E97" s="62">
        <f t="shared" si="7"/>
        <v>99.977527370358672</v>
      </c>
      <c r="F97" s="62">
        <f t="shared" si="7"/>
        <v>69.934964040993719</v>
      </c>
      <c r="G97" s="62">
        <f t="shared" si="7"/>
        <v>99.988132591651038</v>
      </c>
      <c r="H97" s="62">
        <f t="shared" si="7"/>
        <v>99.95596143940088</v>
      </c>
      <c r="I97" s="62">
        <f t="shared" si="7"/>
        <v>99.909575657387563</v>
      </c>
      <c r="J97" s="62">
        <f t="shared" si="7"/>
        <v>99.886005351692447</v>
      </c>
      <c r="K97" s="62">
        <f t="shared" si="7"/>
        <v>87.340521653072102</v>
      </c>
      <c r="L97" s="62">
        <f t="shared" si="7"/>
        <v>99.375130634056745</v>
      </c>
      <c r="M97" s="62">
        <f t="shared" si="7"/>
        <v>93.617326573495191</v>
      </c>
      <c r="N97" s="62">
        <f t="shared" si="7"/>
        <v>99.448619714921122</v>
      </c>
      <c r="O97" s="62">
        <f t="shared" si="7"/>
        <v>96.662122931752009</v>
      </c>
      <c r="P97" s="62">
        <f t="shared" si="7"/>
        <v>99.53166110463286</v>
      </c>
      <c r="Q97" s="62">
        <f t="shared" si="7"/>
        <v>99.428205194542087</v>
      </c>
      <c r="R97" s="62">
        <f t="shared" si="7"/>
        <v>99.805101558907253</v>
      </c>
      <c r="S97" s="62">
        <f t="shared" si="7"/>
        <v>99.917903642776793</v>
      </c>
      <c r="T97" s="62">
        <f t="shared" si="7"/>
        <v>99.19741562005936</v>
      </c>
      <c r="U97" s="62">
        <f t="shared" si="7"/>
        <v>99.902724857383546</v>
      </c>
      <c r="V97" s="62">
        <f t="shared" si="7"/>
        <v>99.062786853757956</v>
      </c>
    </row>
    <row r="98" spans="3:22" x14ac:dyDescent="0.2">
      <c r="C98" s="87" t="s">
        <v>129</v>
      </c>
      <c r="D98" s="60">
        <f t="shared" ref="D98:V98" si="8">+IFERROR(IF(D59&gt;0,+((D59/D19)*100)," "),"")</f>
        <v>93.549944747174536</v>
      </c>
      <c r="E98" s="60">
        <f t="shared" si="8"/>
        <v>97.671686764710131</v>
      </c>
      <c r="F98" s="60">
        <f t="shared" si="8"/>
        <v>85.067378746894477</v>
      </c>
      <c r="G98" s="60">
        <f t="shared" si="8"/>
        <v>99.095720182878139</v>
      </c>
      <c r="H98" s="60">
        <f t="shared" si="8"/>
        <v>97.072609713429429</v>
      </c>
      <c r="I98" s="60">
        <f t="shared" si="8"/>
        <v>99.549876577694008</v>
      </c>
      <c r="J98" s="60">
        <f t="shared" si="8"/>
        <v>99.607920404487174</v>
      </c>
      <c r="K98" s="60">
        <f t="shared" si="8"/>
        <v>99.152402817863077</v>
      </c>
      <c r="L98" s="60">
        <f t="shared" si="8"/>
        <v>99.748775986385994</v>
      </c>
      <c r="M98" s="60">
        <f t="shared" si="8"/>
        <v>92.807379377792245</v>
      </c>
      <c r="N98" s="60">
        <f t="shared" si="8"/>
        <v>92.006429475162662</v>
      </c>
      <c r="O98" s="60">
        <f t="shared" si="8"/>
        <v>96.842056397142514</v>
      </c>
      <c r="P98" s="60">
        <f t="shared" si="8"/>
        <v>99.546843924664998</v>
      </c>
      <c r="Q98" s="60">
        <f t="shared" si="8"/>
        <v>99.414240322684776</v>
      </c>
      <c r="R98" s="60">
        <f t="shared" si="8"/>
        <v>99.472316217290143</v>
      </c>
      <c r="S98" s="60">
        <f t="shared" si="8"/>
        <v>99.333929601499861</v>
      </c>
      <c r="T98" s="60">
        <f t="shared" si="8"/>
        <v>98.392060212484722</v>
      </c>
      <c r="U98" s="60">
        <f t="shared" si="8"/>
        <v>99.615943703568632</v>
      </c>
      <c r="V98" s="60">
        <f t="shared" si="8"/>
        <v>99.16869027130798</v>
      </c>
    </row>
    <row r="99" spans="3:22" x14ac:dyDescent="0.2">
      <c r="C99" s="88" t="s">
        <v>130</v>
      </c>
      <c r="D99" s="62">
        <f t="shared" ref="D99:V99" si="9">+IFERROR(IF(D60&gt;0,+((D60/D20)*100)," "),"")</f>
        <v>82.945914155517286</v>
      </c>
      <c r="E99" s="62">
        <f t="shared" si="9"/>
        <v>99.649588754172285</v>
      </c>
      <c r="F99" s="62">
        <f t="shared" si="9"/>
        <v>81.263668101536439</v>
      </c>
      <c r="G99" s="62">
        <f t="shared" si="9"/>
        <v>97.366091024399353</v>
      </c>
      <c r="H99" s="62">
        <f t="shared" si="9"/>
        <v>99.76540216774346</v>
      </c>
      <c r="I99" s="62">
        <f t="shared" si="9"/>
        <v>99.853372954947375</v>
      </c>
      <c r="J99" s="62">
        <f t="shared" si="9"/>
        <v>98.467172366709804</v>
      </c>
      <c r="K99" s="62">
        <f t="shared" si="9"/>
        <v>96.754545545991917</v>
      </c>
      <c r="L99" s="62">
        <f t="shared" si="9"/>
        <v>98.824212161617623</v>
      </c>
      <c r="M99" s="62">
        <f t="shared" si="9"/>
        <v>97.816104061092474</v>
      </c>
      <c r="N99" s="62">
        <f t="shared" si="9"/>
        <v>98.255010683988914</v>
      </c>
      <c r="O99" s="62">
        <f t="shared" si="9"/>
        <v>99.494533428579714</v>
      </c>
      <c r="P99" s="62">
        <f t="shared" si="9"/>
        <v>94.143725387640899</v>
      </c>
      <c r="Q99" s="62">
        <f t="shared" si="9"/>
        <v>95.051529652547359</v>
      </c>
      <c r="R99" s="62">
        <f t="shared" si="9"/>
        <v>95.509726926351391</v>
      </c>
      <c r="S99" s="62">
        <f t="shared" si="9"/>
        <v>98.230277215616169</v>
      </c>
      <c r="T99" s="62">
        <f t="shared" si="9"/>
        <v>98.887004591858997</v>
      </c>
      <c r="U99" s="62">
        <f t="shared" si="9"/>
        <v>98.732996833185595</v>
      </c>
      <c r="V99" s="62">
        <f t="shared" si="9"/>
        <v>99.334745993127726</v>
      </c>
    </row>
    <row r="100" spans="3:22" x14ac:dyDescent="0.2">
      <c r="C100" s="87" t="s">
        <v>131</v>
      </c>
      <c r="D100" s="60">
        <f t="shared" ref="D100:V100" si="10">+IFERROR(IF(D61&gt;0,+((D61/D21)*100)," "),"")</f>
        <v>84.786882999589764</v>
      </c>
      <c r="E100" s="60">
        <f t="shared" si="10"/>
        <v>81.618669784316708</v>
      </c>
      <c r="F100" s="60">
        <f t="shared" si="10"/>
        <v>90.434996537957787</v>
      </c>
      <c r="G100" s="60">
        <f t="shared" si="10"/>
        <v>99.973196286026209</v>
      </c>
      <c r="H100" s="60">
        <f t="shared" si="10"/>
        <v>98.955067863361791</v>
      </c>
      <c r="I100" s="60">
        <f t="shared" si="10"/>
        <v>98.933090952767827</v>
      </c>
      <c r="J100" s="60">
        <f t="shared" si="10"/>
        <v>93.439097495705369</v>
      </c>
      <c r="K100" s="60">
        <f t="shared" si="10"/>
        <v>98.740532823698217</v>
      </c>
      <c r="L100" s="60">
        <f t="shared" si="10"/>
        <v>95.119786587804086</v>
      </c>
      <c r="M100" s="60">
        <f t="shared" si="10"/>
        <v>93.695064273524991</v>
      </c>
      <c r="N100" s="60">
        <f t="shared" si="10"/>
        <v>92.916296773658701</v>
      </c>
      <c r="O100" s="60">
        <f t="shared" si="10"/>
        <v>98.117210651830618</v>
      </c>
      <c r="P100" s="60">
        <f t="shared" si="10"/>
        <v>90.067508266138532</v>
      </c>
      <c r="Q100" s="60">
        <f t="shared" si="10"/>
        <v>94.639010332374568</v>
      </c>
      <c r="R100" s="60">
        <f t="shared" si="10"/>
        <v>99.581987970960355</v>
      </c>
      <c r="S100" s="60">
        <f t="shared" si="10"/>
        <v>99.741137756663107</v>
      </c>
      <c r="T100" s="60">
        <f t="shared" si="10"/>
        <v>99.310801853263186</v>
      </c>
      <c r="U100" s="60">
        <f t="shared" si="10"/>
        <v>99.29545091740755</v>
      </c>
      <c r="V100" s="60">
        <f t="shared" si="10"/>
        <v>99.919534706873876</v>
      </c>
    </row>
    <row r="101" spans="3:22" x14ac:dyDescent="0.2">
      <c r="C101" s="88" t="s">
        <v>132</v>
      </c>
      <c r="D101" s="62" t="str">
        <f t="shared" ref="D101:V101" si="11">+IFERROR(IF(D62&gt;0,+((D62/D22)*100)," "),"")</f>
        <v xml:space="preserve"> </v>
      </c>
      <c r="E101" s="62" t="str">
        <f t="shared" si="11"/>
        <v xml:space="preserve"> </v>
      </c>
      <c r="F101" s="62" t="str">
        <f t="shared" si="11"/>
        <v xml:space="preserve"> </v>
      </c>
      <c r="G101" s="62" t="str">
        <f t="shared" si="11"/>
        <v xml:space="preserve"> </v>
      </c>
      <c r="H101" s="62">
        <f t="shared" si="11"/>
        <v>100</v>
      </c>
      <c r="I101" s="62">
        <f t="shared" si="11"/>
        <v>100</v>
      </c>
      <c r="J101" s="62">
        <f t="shared" si="11"/>
        <v>100</v>
      </c>
      <c r="K101" s="62">
        <f t="shared" si="11"/>
        <v>96.361161442039872</v>
      </c>
      <c r="L101" s="62">
        <f t="shared" si="11"/>
        <v>100</v>
      </c>
      <c r="M101" s="62">
        <f t="shared" si="11"/>
        <v>99.999999881807682</v>
      </c>
      <c r="N101" s="62">
        <f t="shared" si="11"/>
        <v>68.700735694399114</v>
      </c>
      <c r="O101" s="62">
        <f t="shared" si="11"/>
        <v>87.356802513999995</v>
      </c>
      <c r="P101" s="62">
        <f t="shared" si="11"/>
        <v>93.995714264589139</v>
      </c>
      <c r="Q101" s="62">
        <f t="shared" si="11"/>
        <v>97.183690983037224</v>
      </c>
      <c r="R101" s="62">
        <f t="shared" si="11"/>
        <v>90.263234073887318</v>
      </c>
      <c r="S101" s="62">
        <f t="shared" si="11"/>
        <v>93.115772389997602</v>
      </c>
      <c r="T101" s="62">
        <f t="shared" si="11"/>
        <v>97.145640251936143</v>
      </c>
      <c r="U101" s="62">
        <f t="shared" si="11"/>
        <v>97.038168422983219</v>
      </c>
      <c r="V101" s="62">
        <f t="shared" si="11"/>
        <v>91.296367393771462</v>
      </c>
    </row>
    <row r="102" spans="3:22" x14ac:dyDescent="0.2">
      <c r="C102" s="87" t="s">
        <v>133</v>
      </c>
      <c r="D102" s="60">
        <f t="shared" ref="D102:V102" si="12">+IFERROR(IF(D63&gt;0,+((D63/D23)*100)," "),"")</f>
        <v>67.232714102531617</v>
      </c>
      <c r="E102" s="60">
        <f t="shared" si="12"/>
        <v>82.200445175163566</v>
      </c>
      <c r="F102" s="60">
        <f t="shared" si="12"/>
        <v>62.984559575784345</v>
      </c>
      <c r="G102" s="60">
        <f t="shared" si="12"/>
        <v>96.368893120620584</v>
      </c>
      <c r="H102" s="60">
        <f t="shared" si="12"/>
        <v>98.02552289793843</v>
      </c>
      <c r="I102" s="60">
        <f t="shared" si="12"/>
        <v>99.494694501489704</v>
      </c>
      <c r="J102" s="60">
        <f t="shared" si="12"/>
        <v>99.657313404231431</v>
      </c>
      <c r="K102" s="60">
        <f t="shared" si="12"/>
        <v>96.845681784622784</v>
      </c>
      <c r="L102" s="60">
        <f t="shared" si="12"/>
        <v>81.047196507436823</v>
      </c>
      <c r="M102" s="60">
        <f t="shared" si="12"/>
        <v>87.261004674390875</v>
      </c>
      <c r="N102" s="60">
        <f t="shared" si="12"/>
        <v>77.426784251337779</v>
      </c>
      <c r="O102" s="60">
        <f t="shared" si="12"/>
        <v>91.371711732851978</v>
      </c>
      <c r="P102" s="60">
        <f t="shared" si="12"/>
        <v>91.530680978516656</v>
      </c>
      <c r="Q102" s="60">
        <f t="shared" si="12"/>
        <v>97.771295532658698</v>
      </c>
      <c r="R102" s="60">
        <f t="shared" si="12"/>
        <v>92.909992431776274</v>
      </c>
      <c r="S102" s="60">
        <f t="shared" si="12"/>
        <v>79.968529961169438</v>
      </c>
      <c r="T102" s="60">
        <f t="shared" si="12"/>
        <v>95.310089876818267</v>
      </c>
      <c r="U102" s="60">
        <f t="shared" si="12"/>
        <v>98.776368538099121</v>
      </c>
      <c r="V102" s="60">
        <f t="shared" si="12"/>
        <v>96.973015256876579</v>
      </c>
    </row>
    <row r="103" spans="3:22" x14ac:dyDescent="0.2">
      <c r="C103" s="88" t="s">
        <v>134</v>
      </c>
      <c r="D103" s="62">
        <f t="shared" ref="D103:V103" si="13">+IFERROR(IF(D64&gt;0,+((D64/D24)*100)," "),"")</f>
        <v>98.744926126290849</v>
      </c>
      <c r="E103" s="62">
        <f t="shared" si="13"/>
        <v>97.570821764817978</v>
      </c>
      <c r="F103" s="62">
        <f t="shared" si="13"/>
        <v>86.64605623762499</v>
      </c>
      <c r="G103" s="62">
        <f t="shared" si="13"/>
        <v>99.592927599457809</v>
      </c>
      <c r="H103" s="62">
        <f t="shared" si="13"/>
        <v>92.634285125472019</v>
      </c>
      <c r="I103" s="62">
        <f t="shared" si="13"/>
        <v>85.783019250957153</v>
      </c>
      <c r="J103" s="62">
        <f t="shared" si="13"/>
        <v>98.517867259126248</v>
      </c>
      <c r="K103" s="62">
        <f t="shared" si="13"/>
        <v>82.815802701547753</v>
      </c>
      <c r="L103" s="62">
        <f t="shared" si="13"/>
        <v>90.209493144400653</v>
      </c>
      <c r="M103" s="62">
        <f t="shared" si="13"/>
        <v>94.795775743073406</v>
      </c>
      <c r="N103" s="62">
        <f t="shared" si="13"/>
        <v>96.645227303295698</v>
      </c>
      <c r="O103" s="62">
        <f t="shared" si="13"/>
        <v>94.671610036365124</v>
      </c>
      <c r="P103" s="62">
        <f t="shared" si="13"/>
        <v>83.155916647350153</v>
      </c>
      <c r="Q103" s="62">
        <f t="shared" si="13"/>
        <v>70.711711297971078</v>
      </c>
      <c r="R103" s="62">
        <f t="shared" si="13"/>
        <v>69.370895338297615</v>
      </c>
      <c r="S103" s="62">
        <f t="shared" si="13"/>
        <v>84.10217881564067</v>
      </c>
      <c r="T103" s="62">
        <f t="shared" si="13"/>
        <v>69.038220819864236</v>
      </c>
      <c r="U103" s="62">
        <f t="shared" si="13"/>
        <v>94.863755458716241</v>
      </c>
      <c r="V103" s="62">
        <f t="shared" si="13"/>
        <v>88.513912577988378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49.020157206779139</v>
      </c>
      <c r="E105" s="62">
        <f t="shared" si="15"/>
        <v>96.252141463296127</v>
      </c>
      <c r="F105" s="62">
        <f t="shared" si="15"/>
        <v>90.821142184566355</v>
      </c>
      <c r="G105" s="62">
        <f t="shared" si="15"/>
        <v>99.912369434709049</v>
      </c>
      <c r="H105" s="62">
        <f t="shared" si="15"/>
        <v>99.921600952437771</v>
      </c>
      <c r="I105" s="62">
        <f t="shared" si="15"/>
        <v>99.715425944105959</v>
      </c>
      <c r="J105" s="62">
        <f t="shared" si="15"/>
        <v>99.789929342412748</v>
      </c>
      <c r="K105" s="62">
        <f t="shared" si="15"/>
        <v>95.181946118085008</v>
      </c>
      <c r="L105" s="62">
        <f t="shared" si="15"/>
        <v>99.881637790190254</v>
      </c>
      <c r="M105" s="62">
        <f t="shared" si="15"/>
        <v>98.750443108979866</v>
      </c>
      <c r="N105" s="62">
        <f t="shared" si="15"/>
        <v>99.863933299983657</v>
      </c>
      <c r="O105" s="62">
        <f t="shared" si="15"/>
        <v>98.914277776388843</v>
      </c>
      <c r="P105" s="62">
        <f t="shared" si="15"/>
        <v>96.063615769789351</v>
      </c>
      <c r="Q105" s="62">
        <f t="shared" si="15"/>
        <v>98.035690920699764</v>
      </c>
      <c r="R105" s="62">
        <f t="shared" si="15"/>
        <v>98.36496290990101</v>
      </c>
      <c r="S105" s="62">
        <f t="shared" si="15"/>
        <v>98.962107477345754</v>
      </c>
      <c r="T105" s="62">
        <f t="shared" si="15"/>
        <v>98.840131140494549</v>
      </c>
      <c r="U105" s="62">
        <f t="shared" si="15"/>
        <v>98.570244703552902</v>
      </c>
      <c r="V105" s="62">
        <f t="shared" si="15"/>
        <v>98.768137562400454</v>
      </c>
    </row>
    <row r="106" spans="3:22" x14ac:dyDescent="0.2">
      <c r="C106" s="87" t="s">
        <v>137</v>
      </c>
      <c r="D106" s="60">
        <f t="shared" ref="D106:V106" si="16">+IFERROR(IF(D67&gt;0,+((D67/D27)*100)," "),"")</f>
        <v>39.889237159901633</v>
      </c>
      <c r="E106" s="60">
        <f t="shared" si="16"/>
        <v>96.759182473078582</v>
      </c>
      <c r="F106" s="60">
        <f t="shared" si="16"/>
        <v>83.91830139438872</v>
      </c>
      <c r="G106" s="60">
        <f t="shared" si="16"/>
        <v>99.117679428274982</v>
      </c>
      <c r="H106" s="60">
        <f t="shared" si="16"/>
        <v>99.346783602600851</v>
      </c>
      <c r="I106" s="60">
        <f t="shared" si="16"/>
        <v>99.889071436149379</v>
      </c>
      <c r="J106" s="60">
        <f t="shared" si="16"/>
        <v>99.931078530693753</v>
      </c>
      <c r="K106" s="60">
        <f t="shared" si="16"/>
        <v>96.491288561260404</v>
      </c>
      <c r="L106" s="60">
        <f t="shared" si="16"/>
        <v>97.805296988115145</v>
      </c>
      <c r="M106" s="60">
        <f t="shared" si="16"/>
        <v>88.868272324493589</v>
      </c>
      <c r="N106" s="60">
        <f t="shared" si="16"/>
        <v>85.355239918212703</v>
      </c>
      <c r="O106" s="60">
        <f t="shared" si="16"/>
        <v>94.215982630756201</v>
      </c>
      <c r="P106" s="60">
        <f t="shared" si="16"/>
        <v>95.72060618021527</v>
      </c>
      <c r="Q106" s="60">
        <f t="shared" si="16"/>
        <v>92.14864574597658</v>
      </c>
      <c r="R106" s="60">
        <f t="shared" si="16"/>
        <v>99.006175917868163</v>
      </c>
      <c r="S106" s="60">
        <f t="shared" si="16"/>
        <v>99.310902244955528</v>
      </c>
      <c r="T106" s="60">
        <f t="shared" si="16"/>
        <v>99.037103086342725</v>
      </c>
      <c r="U106" s="60">
        <f t="shared" si="16"/>
        <v>99.262405182568116</v>
      </c>
      <c r="V106" s="60">
        <f t="shared" si="16"/>
        <v>99.479363630027052</v>
      </c>
    </row>
    <row r="107" spans="3:22" x14ac:dyDescent="0.2">
      <c r="C107" s="88" t="s">
        <v>138</v>
      </c>
      <c r="D107" s="62">
        <f t="shared" ref="D107:V107" si="17">+IFERROR(IF(D68&gt;0,+((D68/D28)*100)," "),"")</f>
        <v>99.667733742857152</v>
      </c>
      <c r="E107" s="62">
        <f t="shared" si="17"/>
        <v>99.892076069222213</v>
      </c>
      <c r="F107" s="62">
        <f t="shared" si="17"/>
        <v>3.4522711358333331</v>
      </c>
      <c r="G107" s="62">
        <f t="shared" si="17"/>
        <v>99.726068011002383</v>
      </c>
      <c r="H107" s="62" t="str">
        <f t="shared" si="17"/>
        <v xml:space="preserve"> </v>
      </c>
      <c r="I107" s="62" t="str">
        <f t="shared" si="17"/>
        <v xml:space="preserve"> </v>
      </c>
      <c r="J107" s="62" t="str">
        <f t="shared" si="17"/>
        <v xml:space="preserve"> </v>
      </c>
      <c r="K107" s="62" t="str">
        <f t="shared" si="17"/>
        <v xml:space="preserve"> </v>
      </c>
      <c r="L107" s="62">
        <f t="shared" si="17"/>
        <v>92.249909915977781</v>
      </c>
      <c r="M107" s="62">
        <f t="shared" si="17"/>
        <v>16.16162162162162</v>
      </c>
      <c r="N107" s="62">
        <f t="shared" si="17"/>
        <v>61.878056703225816</v>
      </c>
      <c r="O107" s="62" t="str">
        <f t="shared" si="17"/>
        <v xml:space="preserve"> </v>
      </c>
      <c r="P107" s="62">
        <f t="shared" si="17"/>
        <v>91.689835183055763</v>
      </c>
      <c r="Q107" s="62">
        <f t="shared" si="17"/>
        <v>93.907036566804024</v>
      </c>
      <c r="R107" s="62">
        <f t="shared" si="17"/>
        <v>94.422709640588522</v>
      </c>
      <c r="S107" s="62">
        <f t="shared" si="17"/>
        <v>99.750315322031895</v>
      </c>
      <c r="T107" s="62">
        <f t="shared" si="17"/>
        <v>99.363833752019374</v>
      </c>
      <c r="U107" s="62">
        <f t="shared" si="17"/>
        <v>98.199524011969729</v>
      </c>
      <c r="V107" s="62">
        <f t="shared" si="17"/>
        <v>99.974759094086423</v>
      </c>
    </row>
    <row r="108" spans="3:22" x14ac:dyDescent="0.2">
      <c r="C108" s="87" t="s">
        <v>139</v>
      </c>
      <c r="D108" s="60">
        <f t="shared" ref="D108:V108" si="18">+IFERROR(IF(D69&gt;0,+((D69/D29)*100)," "),"")</f>
        <v>88.11863971900317</v>
      </c>
      <c r="E108" s="60">
        <f t="shared" si="18"/>
        <v>75.906266622918267</v>
      </c>
      <c r="F108" s="60">
        <f t="shared" si="18"/>
        <v>43.751690398015562</v>
      </c>
      <c r="G108" s="60">
        <f t="shared" si="18"/>
        <v>99.679460297573598</v>
      </c>
      <c r="H108" s="60">
        <f t="shared" si="18"/>
        <v>95.501296353368815</v>
      </c>
      <c r="I108" s="60">
        <f t="shared" si="18"/>
        <v>92.546863058032926</v>
      </c>
      <c r="J108" s="60">
        <f t="shared" si="18"/>
        <v>95.044451025932872</v>
      </c>
      <c r="K108" s="60">
        <f t="shared" si="18"/>
        <v>67.659918814908565</v>
      </c>
      <c r="L108" s="60">
        <f t="shared" si="18"/>
        <v>99.205790705548068</v>
      </c>
      <c r="M108" s="60">
        <f t="shared" si="18"/>
        <v>97.753825786599847</v>
      </c>
      <c r="N108" s="60">
        <f t="shared" si="18"/>
        <v>89.107675326300352</v>
      </c>
      <c r="O108" s="60">
        <f t="shared" si="18"/>
        <v>98.873749599816364</v>
      </c>
      <c r="P108" s="60">
        <f t="shared" si="18"/>
        <v>68.962459802932884</v>
      </c>
      <c r="Q108" s="60">
        <f t="shared" si="18"/>
        <v>82.258537002246527</v>
      </c>
      <c r="R108" s="60">
        <f t="shared" si="18"/>
        <v>96.897180052918472</v>
      </c>
      <c r="S108" s="60">
        <f t="shared" si="18"/>
        <v>93.503650525951826</v>
      </c>
      <c r="T108" s="60">
        <f t="shared" si="18"/>
        <v>95.023687938320307</v>
      </c>
      <c r="U108" s="60">
        <f t="shared" si="18"/>
        <v>76.206025539354059</v>
      </c>
      <c r="V108" s="60">
        <f t="shared" si="18"/>
        <v>50.781666494640177</v>
      </c>
    </row>
    <row r="109" spans="3:22" x14ac:dyDescent="0.2">
      <c r="C109" s="88" t="s">
        <v>140</v>
      </c>
      <c r="D109" s="62">
        <f t="shared" ref="D109:V109" si="19">+IFERROR(IF(D70&gt;0,+((D70/D30)*100)," "),"")</f>
        <v>86.591490303266951</v>
      </c>
      <c r="E109" s="62">
        <f t="shared" si="19"/>
        <v>73.482387180843702</v>
      </c>
      <c r="F109" s="62">
        <f t="shared" si="19"/>
        <v>78.225775202707695</v>
      </c>
      <c r="G109" s="62">
        <f t="shared" si="19"/>
        <v>99.790931413534096</v>
      </c>
      <c r="H109" s="62">
        <f t="shared" si="19"/>
        <v>98.306083212121422</v>
      </c>
      <c r="I109" s="62">
        <f t="shared" si="19"/>
        <v>93.556230795644495</v>
      </c>
      <c r="J109" s="62">
        <f t="shared" si="19"/>
        <v>77.658885656579713</v>
      </c>
      <c r="K109" s="62">
        <f t="shared" si="19"/>
        <v>60.789078698413924</v>
      </c>
      <c r="L109" s="62">
        <f t="shared" si="19"/>
        <v>98.358946066448823</v>
      </c>
      <c r="M109" s="62">
        <f t="shared" si="19"/>
        <v>89.127500200370108</v>
      </c>
      <c r="N109" s="62">
        <f t="shared" si="19"/>
        <v>98.304416641328473</v>
      </c>
      <c r="O109" s="62">
        <f t="shared" si="19"/>
        <v>98.683694155568617</v>
      </c>
      <c r="P109" s="62">
        <f t="shared" si="19"/>
        <v>98.82828724677502</v>
      </c>
      <c r="Q109" s="62">
        <f t="shared" si="19"/>
        <v>98.442770575659921</v>
      </c>
      <c r="R109" s="62">
        <f t="shared" si="19"/>
        <v>98.818116487974365</v>
      </c>
      <c r="S109" s="62">
        <f t="shared" si="19"/>
        <v>99.626477813563582</v>
      </c>
      <c r="T109" s="62">
        <f t="shared" si="19"/>
        <v>97.468909439579804</v>
      </c>
      <c r="U109" s="62">
        <f t="shared" si="19"/>
        <v>97.921056348047273</v>
      </c>
      <c r="V109" s="62">
        <f t="shared" si="19"/>
        <v>99.087827883106655</v>
      </c>
    </row>
    <row r="110" spans="3:22" x14ac:dyDescent="0.2">
      <c r="C110" s="87" t="s">
        <v>141</v>
      </c>
      <c r="D110" s="60">
        <f t="shared" ref="D110:V110" si="20">+IFERROR(IF(D71&gt;0,+((D71/D31)*100)," "),"")</f>
        <v>70.918216381042058</v>
      </c>
      <c r="E110" s="60">
        <f t="shared" si="20"/>
        <v>96.711325949547017</v>
      </c>
      <c r="F110" s="60">
        <f t="shared" si="20"/>
        <v>81.1457037047619</v>
      </c>
      <c r="G110" s="60">
        <f t="shared" si="20"/>
        <v>66.425466648137913</v>
      </c>
      <c r="H110" s="60">
        <f t="shared" si="20"/>
        <v>91.455567912074059</v>
      </c>
      <c r="I110" s="60">
        <f t="shared" si="20"/>
        <v>76.491429471604448</v>
      </c>
      <c r="J110" s="60">
        <f t="shared" si="20"/>
        <v>85.251763565367568</v>
      </c>
      <c r="K110" s="60">
        <f t="shared" si="20"/>
        <v>80.675238841380008</v>
      </c>
      <c r="L110" s="60">
        <f t="shared" si="20"/>
        <v>86.512099430908265</v>
      </c>
      <c r="M110" s="60">
        <f t="shared" si="20"/>
        <v>86.872869031329174</v>
      </c>
      <c r="N110" s="60">
        <f t="shared" si="20"/>
        <v>70.628800674874554</v>
      </c>
      <c r="O110" s="60">
        <f t="shared" si="20"/>
        <v>84.106348753927833</v>
      </c>
      <c r="P110" s="60">
        <f t="shared" si="20"/>
        <v>88.218768398452042</v>
      </c>
      <c r="Q110" s="60">
        <f t="shared" si="20"/>
        <v>85.475621863984202</v>
      </c>
      <c r="R110" s="60">
        <f t="shared" si="20"/>
        <v>93.037051132911529</v>
      </c>
      <c r="S110" s="60">
        <f t="shared" si="20"/>
        <v>94.438213354530617</v>
      </c>
      <c r="T110" s="60">
        <f t="shared" si="20"/>
        <v>93.456825408231538</v>
      </c>
      <c r="U110" s="60">
        <f t="shared" si="20"/>
        <v>92.937369628521566</v>
      </c>
      <c r="V110" s="60">
        <f t="shared" si="20"/>
        <v>97.076964476470479</v>
      </c>
    </row>
    <row r="111" spans="3:22" x14ac:dyDescent="0.2">
      <c r="C111" s="88" t="s">
        <v>142</v>
      </c>
      <c r="D111" s="62">
        <f t="shared" ref="D111:V111" si="21">+IFERROR(IF(D72&gt;0,+((D72/D32)*100)," "),"")</f>
        <v>68.30178221467952</v>
      </c>
      <c r="E111" s="62">
        <f t="shared" si="21"/>
        <v>97.221168000343866</v>
      </c>
      <c r="F111" s="62">
        <f t="shared" si="21"/>
        <v>95.576641035701954</v>
      </c>
      <c r="G111" s="62">
        <f t="shared" si="21"/>
        <v>94.770997342968258</v>
      </c>
      <c r="H111" s="62">
        <f t="shared" si="21"/>
        <v>81.965710914831106</v>
      </c>
      <c r="I111" s="62">
        <f t="shared" si="21"/>
        <v>50.462471001886492</v>
      </c>
      <c r="J111" s="62">
        <f t="shared" si="21"/>
        <v>68.076495665443389</v>
      </c>
      <c r="K111" s="62">
        <f t="shared" si="21"/>
        <v>96.022853149064417</v>
      </c>
      <c r="L111" s="62">
        <f t="shared" si="21"/>
        <v>95.261905139940396</v>
      </c>
      <c r="M111" s="62">
        <f t="shared" si="21"/>
        <v>93.440676027755003</v>
      </c>
      <c r="N111" s="62">
        <f t="shared" si="21"/>
        <v>93.560709043824289</v>
      </c>
      <c r="O111" s="62">
        <f t="shared" si="21"/>
        <v>92.340542513100587</v>
      </c>
      <c r="P111" s="62">
        <f t="shared" si="21"/>
        <v>92.356606692016683</v>
      </c>
      <c r="Q111" s="62">
        <f t="shared" si="21"/>
        <v>82.716293059934713</v>
      </c>
      <c r="R111" s="62">
        <f t="shared" si="21"/>
        <v>84.977840545900833</v>
      </c>
      <c r="S111" s="62">
        <f t="shared" si="21"/>
        <v>94.243504776708022</v>
      </c>
      <c r="T111" s="62">
        <f t="shared" si="21"/>
        <v>96.645884341200301</v>
      </c>
      <c r="U111" s="62">
        <f t="shared" si="21"/>
        <v>98.328334166882186</v>
      </c>
      <c r="V111" s="62">
        <f t="shared" si="21"/>
        <v>95.507127865626558</v>
      </c>
    </row>
    <row r="112" spans="3:22" x14ac:dyDescent="0.2">
      <c r="C112" s="87" t="s">
        <v>143</v>
      </c>
      <c r="D112" s="60">
        <f t="shared" ref="D112:V112" si="22">+IFERROR(IF(D73&gt;0,+((D73/D33)*100)," "),"")</f>
        <v>97.013386543100466</v>
      </c>
      <c r="E112" s="60">
        <f t="shared" si="22"/>
        <v>93.612083979960275</v>
      </c>
      <c r="F112" s="60">
        <f t="shared" si="22"/>
        <v>83.622869502516579</v>
      </c>
      <c r="G112" s="60">
        <f t="shared" si="22"/>
        <v>99.924967153624038</v>
      </c>
      <c r="H112" s="60">
        <f t="shared" si="22"/>
        <v>91.142120457163969</v>
      </c>
      <c r="I112" s="60">
        <f t="shared" si="22"/>
        <v>94.319397369063424</v>
      </c>
      <c r="J112" s="60">
        <f t="shared" si="22"/>
        <v>99.940643232884725</v>
      </c>
      <c r="K112" s="60">
        <f t="shared" si="22"/>
        <v>96.332225193342168</v>
      </c>
      <c r="L112" s="60">
        <f t="shared" si="22"/>
        <v>70.761160334801943</v>
      </c>
      <c r="M112" s="60">
        <f t="shared" si="22"/>
        <v>82.935342815502196</v>
      </c>
      <c r="N112" s="60">
        <f t="shared" si="22"/>
        <v>61.35926926803846</v>
      </c>
      <c r="O112" s="60">
        <f t="shared" si="22"/>
        <v>78.141440481139568</v>
      </c>
      <c r="P112" s="60">
        <f t="shared" si="22"/>
        <v>97.631421808896462</v>
      </c>
      <c r="Q112" s="60">
        <f t="shared" si="22"/>
        <v>92.871405171319537</v>
      </c>
      <c r="R112" s="60">
        <f t="shared" si="22"/>
        <v>94.496115775340357</v>
      </c>
      <c r="S112" s="60">
        <f t="shared" si="22"/>
        <v>97.633556789039346</v>
      </c>
      <c r="T112" s="60">
        <f t="shared" si="22"/>
        <v>94.280968620127894</v>
      </c>
      <c r="U112" s="60">
        <f t="shared" si="22"/>
        <v>98.764378334549519</v>
      </c>
      <c r="V112" s="60">
        <f t="shared" si="22"/>
        <v>99.772442966490857</v>
      </c>
    </row>
    <row r="113" spans="3:22" x14ac:dyDescent="0.2">
      <c r="C113" s="88" t="s">
        <v>144</v>
      </c>
      <c r="D113" s="62">
        <f t="shared" ref="D113:V113" si="23">+IFERROR(IF(D74&gt;0,+((D74/D34)*100)," "),"")</f>
        <v>64.306202573593779</v>
      </c>
      <c r="E113" s="62">
        <f t="shared" si="23"/>
        <v>95.727100082111917</v>
      </c>
      <c r="F113" s="62">
        <f t="shared" si="23"/>
        <v>74.108725222530509</v>
      </c>
      <c r="G113" s="62">
        <f t="shared" si="23"/>
        <v>98.989168990600689</v>
      </c>
      <c r="H113" s="62">
        <f t="shared" si="23"/>
        <v>99.854783472304717</v>
      </c>
      <c r="I113" s="62">
        <f t="shared" si="23"/>
        <v>98.440711182170531</v>
      </c>
      <c r="J113" s="62">
        <f t="shared" si="23"/>
        <v>97.130078225063201</v>
      </c>
      <c r="K113" s="62">
        <f t="shared" si="23"/>
        <v>93.757785705437868</v>
      </c>
      <c r="L113" s="62">
        <f t="shared" si="23"/>
        <v>91.882871309739173</v>
      </c>
      <c r="M113" s="62">
        <f t="shared" si="23"/>
        <v>98.942190202622427</v>
      </c>
      <c r="N113" s="62">
        <f t="shared" si="23"/>
        <v>87.054594863804155</v>
      </c>
      <c r="O113" s="62">
        <f t="shared" si="23"/>
        <v>77.956680575776858</v>
      </c>
      <c r="P113" s="62">
        <f t="shared" si="23"/>
        <v>53.813245988879309</v>
      </c>
      <c r="Q113" s="62">
        <f t="shared" si="23"/>
        <v>84.02333639863707</v>
      </c>
      <c r="R113" s="62">
        <f t="shared" si="23"/>
        <v>93.340369066456617</v>
      </c>
      <c r="S113" s="62">
        <f t="shared" si="23"/>
        <v>83.860590254407171</v>
      </c>
      <c r="T113" s="62">
        <f t="shared" si="23"/>
        <v>95.238760081132483</v>
      </c>
      <c r="U113" s="62">
        <f t="shared" si="23"/>
        <v>97.863583735279619</v>
      </c>
      <c r="V113" s="62">
        <f t="shared" si="23"/>
        <v>96.299697311447076</v>
      </c>
    </row>
    <row r="114" spans="3:22" x14ac:dyDescent="0.2">
      <c r="C114" s="87" t="s">
        <v>145</v>
      </c>
      <c r="D114" s="60">
        <f t="shared" ref="D114:V114" si="24">+IFERROR(IF(D75&gt;0,+((D75/D35)*100)," "),"")</f>
        <v>81.463732171915154</v>
      </c>
      <c r="E114" s="60" t="str">
        <f t="shared" si="24"/>
        <v xml:space="preserve"> </v>
      </c>
      <c r="F114" s="60">
        <f t="shared" si="24"/>
        <v>100</v>
      </c>
      <c r="G114" s="60">
        <f t="shared" si="24"/>
        <v>94.214050774666916</v>
      </c>
      <c r="H114" s="60">
        <f t="shared" si="24"/>
        <v>100</v>
      </c>
      <c r="I114" s="60">
        <f t="shared" si="24"/>
        <v>95.948174001754396</v>
      </c>
      <c r="J114" s="60">
        <f t="shared" si="24"/>
        <v>99.985632955557918</v>
      </c>
      <c r="K114" s="60">
        <f t="shared" si="24"/>
        <v>99.861941172332081</v>
      </c>
      <c r="L114" s="60">
        <f t="shared" si="24"/>
        <v>99.088022076047039</v>
      </c>
      <c r="M114" s="60">
        <f t="shared" si="24"/>
        <v>99.648729160018249</v>
      </c>
      <c r="N114" s="60">
        <f t="shared" si="24"/>
        <v>85.747148449205454</v>
      </c>
      <c r="O114" s="60">
        <f t="shared" si="24"/>
        <v>95.054370550615545</v>
      </c>
      <c r="P114" s="60">
        <f t="shared" si="24"/>
        <v>98.462522941074454</v>
      </c>
      <c r="Q114" s="60">
        <f t="shared" si="24"/>
        <v>99.702492472432169</v>
      </c>
      <c r="R114" s="60">
        <f t="shared" si="24"/>
        <v>98.748649613562705</v>
      </c>
      <c r="S114" s="60">
        <f t="shared" si="24"/>
        <v>99.258598007788578</v>
      </c>
      <c r="T114" s="60">
        <f t="shared" si="24"/>
        <v>99.89256751988637</v>
      </c>
      <c r="U114" s="60">
        <f t="shared" si="24"/>
        <v>99.983382327368034</v>
      </c>
      <c r="V114" s="60">
        <f t="shared" si="24"/>
        <v>99.792891346000005</v>
      </c>
    </row>
    <row r="115" spans="3:22" x14ac:dyDescent="0.2">
      <c r="C115" s="88" t="s">
        <v>146</v>
      </c>
      <c r="D115" s="62" t="str">
        <f t="shared" ref="D115:V115" si="25">+IFERROR(IF(D76&gt;0,+((D76/D36)*100)," "),"")</f>
        <v xml:space="preserve"> </v>
      </c>
      <c r="E115" s="62" t="str">
        <f t="shared" si="25"/>
        <v xml:space="preserve"> </v>
      </c>
      <c r="F115" s="62" t="str">
        <f t="shared" si="25"/>
        <v xml:space="preserve"> </v>
      </c>
      <c r="G115" s="62" t="str">
        <f t="shared" si="25"/>
        <v xml:space="preserve"> </v>
      </c>
      <c r="H115" s="62">
        <f t="shared" si="25"/>
        <v>93.023477831999998</v>
      </c>
      <c r="I115" s="62">
        <f t="shared" si="25"/>
        <v>97.007569971980672</v>
      </c>
      <c r="J115" s="62">
        <f t="shared" si="25"/>
        <v>99.734089129472309</v>
      </c>
      <c r="K115" s="62">
        <f t="shared" si="25"/>
        <v>63.464936980254741</v>
      </c>
      <c r="L115" s="62">
        <f t="shared" si="25"/>
        <v>85.575163465263984</v>
      </c>
      <c r="M115" s="62">
        <f t="shared" si="25"/>
        <v>73.861451663631328</v>
      </c>
      <c r="N115" s="62">
        <f t="shared" si="25"/>
        <v>75.736847566083085</v>
      </c>
      <c r="O115" s="62">
        <f t="shared" si="25"/>
        <v>94.165410091681693</v>
      </c>
      <c r="P115" s="62">
        <f t="shared" si="25"/>
        <v>92.662590481914691</v>
      </c>
      <c r="Q115" s="62">
        <f t="shared" si="25"/>
        <v>98.155298909471696</v>
      </c>
      <c r="R115" s="62">
        <f t="shared" si="25"/>
        <v>99.227564968308059</v>
      </c>
      <c r="S115" s="62">
        <f t="shared" si="25"/>
        <v>98.660131258107171</v>
      </c>
      <c r="T115" s="62">
        <f t="shared" si="25"/>
        <v>97.707514208881676</v>
      </c>
      <c r="U115" s="62">
        <f t="shared" si="25"/>
        <v>99.973654394969586</v>
      </c>
      <c r="V115" s="62">
        <f t="shared" si="25"/>
        <v>98.888433993977756</v>
      </c>
    </row>
    <row r="116" spans="3:22" x14ac:dyDescent="0.2">
      <c r="C116" s="90" t="s">
        <v>147</v>
      </c>
      <c r="D116" s="61">
        <f t="shared" ref="D116:V116" si="26">+IFERROR(IF(D77&gt;0,+((D77/D37)*100)," "),"")</f>
        <v>66.505762715018392</v>
      </c>
      <c r="E116" s="61">
        <f t="shared" si="26"/>
        <v>91.740745704908207</v>
      </c>
      <c r="F116" s="61">
        <f t="shared" si="26"/>
        <v>82.519102374591</v>
      </c>
      <c r="G116" s="61">
        <f t="shared" si="26"/>
        <v>98.383898441034333</v>
      </c>
      <c r="H116" s="61">
        <f t="shared" si="26"/>
        <v>96.303444958470493</v>
      </c>
      <c r="I116" s="61">
        <f t="shared" si="26"/>
        <v>95.097624279959419</v>
      </c>
      <c r="J116" s="61">
        <f t="shared" si="26"/>
        <v>93.901145282111514</v>
      </c>
      <c r="K116" s="61">
        <f t="shared" si="26"/>
        <v>92.704046103943767</v>
      </c>
      <c r="L116" s="61">
        <f t="shared" si="26"/>
        <v>98.318986100474675</v>
      </c>
      <c r="M116" s="61">
        <f t="shared" si="26"/>
        <v>96.721424163228178</v>
      </c>
      <c r="N116" s="61">
        <f t="shared" si="26"/>
        <v>92.576248428183604</v>
      </c>
      <c r="O116" s="61">
        <f t="shared" si="26"/>
        <v>99.275607758191256</v>
      </c>
      <c r="P116" s="61">
        <f t="shared" si="26"/>
        <v>97.988302076554731</v>
      </c>
      <c r="Q116" s="61">
        <f t="shared" si="26"/>
        <v>97.351636022388448</v>
      </c>
      <c r="R116" s="61">
        <f t="shared" si="26"/>
        <v>98.810094242202197</v>
      </c>
      <c r="S116" s="61">
        <f t="shared" si="26"/>
        <v>98.653027134578821</v>
      </c>
      <c r="T116" s="61">
        <f t="shared" si="26"/>
        <v>99.367115674487778</v>
      </c>
      <c r="U116" s="61">
        <f t="shared" si="26"/>
        <v>98.52522433297473</v>
      </c>
      <c r="V116" s="61">
        <f t="shared" si="26"/>
        <v>98.597339573933368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>
        <f t="shared" si="27"/>
        <v>93.221827626375486</v>
      </c>
    </row>
    <row r="118" spans="3:22" x14ac:dyDescent="0.2">
      <c r="C118" s="87" t="s">
        <v>149</v>
      </c>
      <c r="D118" s="60">
        <f t="shared" ref="D118:V118" si="28">+IFERROR(IF(D79&gt;0,+((D79/D39)*100)," "),"")</f>
        <v>80</v>
      </c>
      <c r="E118" s="60">
        <f t="shared" si="28"/>
        <v>100</v>
      </c>
      <c r="F118" s="60">
        <f t="shared" si="28"/>
        <v>98.641349769000001</v>
      </c>
      <c r="G118" s="60">
        <f t="shared" si="28"/>
        <v>99.473739393488856</v>
      </c>
      <c r="H118" s="60">
        <f t="shared" si="28"/>
        <v>97.058032803600653</v>
      </c>
      <c r="I118" s="60">
        <f t="shared" si="28"/>
        <v>99.981812940671162</v>
      </c>
      <c r="J118" s="60">
        <f t="shared" si="28"/>
        <v>99.464426288441985</v>
      </c>
      <c r="K118" s="60">
        <f t="shared" si="28"/>
        <v>91.084754840454551</v>
      </c>
      <c r="L118" s="60">
        <f t="shared" si="28"/>
        <v>98.469066410502307</v>
      </c>
      <c r="M118" s="60">
        <f t="shared" si="28"/>
        <v>25.87342301683373</v>
      </c>
      <c r="N118" s="60">
        <f t="shared" si="28"/>
        <v>80.285326924661248</v>
      </c>
      <c r="O118" s="60">
        <f t="shared" si="28"/>
        <v>67.478907873635961</v>
      </c>
      <c r="P118" s="60">
        <f t="shared" si="28"/>
        <v>58.193427573713855</v>
      </c>
      <c r="Q118" s="60">
        <f t="shared" si="28"/>
        <v>41.944244527785429</v>
      </c>
      <c r="R118" s="60">
        <f t="shared" si="28"/>
        <v>96.778663246236547</v>
      </c>
      <c r="S118" s="60">
        <f t="shared" si="28"/>
        <v>93.874739638358037</v>
      </c>
      <c r="T118" s="60">
        <f t="shared" si="28"/>
        <v>99.051699134811187</v>
      </c>
      <c r="U118" s="60">
        <f t="shared" si="28"/>
        <v>97.466871137302846</v>
      </c>
      <c r="V118" s="60">
        <f t="shared" si="28"/>
        <v>98.001147886607825</v>
      </c>
    </row>
    <row r="119" spans="3:22" x14ac:dyDescent="0.2">
      <c r="C119" s="88" t="s">
        <v>150</v>
      </c>
      <c r="D119" s="62">
        <f t="shared" ref="D119:V119" si="29">+IFERROR(IF(D80&gt;0,+((D80/D40)*100)," "),"")</f>
        <v>67.344893471422381</v>
      </c>
      <c r="E119" s="62">
        <f t="shared" si="29"/>
        <v>84.396956705970297</v>
      </c>
      <c r="F119" s="62">
        <f t="shared" si="29"/>
        <v>79.62306759776736</v>
      </c>
      <c r="G119" s="62">
        <f t="shared" si="29"/>
        <v>98.750286549253545</v>
      </c>
      <c r="H119" s="62">
        <f t="shared" si="29"/>
        <v>98.286636981608183</v>
      </c>
      <c r="I119" s="62">
        <f t="shared" si="29"/>
        <v>98.643313927448233</v>
      </c>
      <c r="J119" s="62">
        <f t="shared" si="29"/>
        <v>80.693789633245331</v>
      </c>
      <c r="K119" s="62">
        <f t="shared" si="29"/>
        <v>97.944987855234601</v>
      </c>
      <c r="L119" s="62">
        <f t="shared" si="29"/>
        <v>98.109303627564685</v>
      </c>
      <c r="M119" s="62">
        <f t="shared" si="29"/>
        <v>98.15328924219493</v>
      </c>
      <c r="N119" s="62">
        <f t="shared" si="29"/>
        <v>97.757578694567997</v>
      </c>
      <c r="O119" s="62">
        <f t="shared" si="29"/>
        <v>96.852141619373526</v>
      </c>
      <c r="P119" s="62">
        <f t="shared" si="29"/>
        <v>96.052742630147876</v>
      </c>
      <c r="Q119" s="62">
        <f t="shared" si="29"/>
        <v>99.300365717311294</v>
      </c>
      <c r="R119" s="62">
        <f t="shared" si="29"/>
        <v>98.393859644393572</v>
      </c>
      <c r="S119" s="62">
        <f t="shared" si="29"/>
        <v>97.74050509638559</v>
      </c>
      <c r="T119" s="62">
        <f t="shared" si="29"/>
        <v>99.974165307029992</v>
      </c>
      <c r="U119" s="62">
        <f t="shared" si="29"/>
        <v>98.848092892740695</v>
      </c>
      <c r="V119" s="62">
        <f t="shared" si="29"/>
        <v>99.706045513503256</v>
      </c>
    </row>
    <row r="120" spans="3:22" x14ac:dyDescent="0.2">
      <c r="C120" s="87" t="s">
        <v>151</v>
      </c>
      <c r="D120" s="60">
        <f t="shared" ref="D120:V120" si="30">+IFERROR(IF(D81&gt;0,+((D81/D41)*100)," "),"")</f>
        <v>99.245526239721386</v>
      </c>
      <c r="E120" s="60">
        <f t="shared" si="30"/>
        <v>99.706010878492066</v>
      </c>
      <c r="F120" s="60">
        <f t="shared" si="30"/>
        <v>89.566230840070062</v>
      </c>
      <c r="G120" s="60">
        <f t="shared" si="30"/>
        <v>92.727829064672108</v>
      </c>
      <c r="H120" s="60">
        <f t="shared" si="30"/>
        <v>99.955813145120004</v>
      </c>
      <c r="I120" s="60">
        <f t="shared" si="30"/>
        <v>98.769048834584325</v>
      </c>
      <c r="J120" s="60">
        <f t="shared" si="30"/>
        <v>99.441510493363722</v>
      </c>
      <c r="K120" s="60">
        <f t="shared" si="30"/>
        <v>99.470401449788895</v>
      </c>
      <c r="L120" s="60">
        <f t="shared" si="30"/>
        <v>99.099702042159464</v>
      </c>
      <c r="M120" s="60">
        <f t="shared" si="30"/>
        <v>97.021688286558373</v>
      </c>
      <c r="N120" s="60">
        <f t="shared" si="30"/>
        <v>99.466619411220492</v>
      </c>
      <c r="O120" s="60">
        <f t="shared" si="30"/>
        <v>98.702553903290806</v>
      </c>
      <c r="P120" s="60">
        <f t="shared" si="30"/>
        <v>99.880675592097518</v>
      </c>
      <c r="Q120" s="60">
        <f t="shared" si="30"/>
        <v>98.23533223106304</v>
      </c>
      <c r="R120" s="60">
        <f t="shared" si="30"/>
        <v>99.514945346193556</v>
      </c>
      <c r="S120" s="60">
        <f t="shared" si="30"/>
        <v>99.755266498961021</v>
      </c>
      <c r="T120" s="60">
        <f t="shared" si="30"/>
        <v>99.46465299638615</v>
      </c>
      <c r="U120" s="60">
        <f t="shared" si="30"/>
        <v>99.916072261317737</v>
      </c>
      <c r="V120" s="60">
        <f t="shared" si="30"/>
        <v>99.411453341819808</v>
      </c>
    </row>
    <row r="121" spans="3:22" x14ac:dyDescent="0.2">
      <c r="C121" s="91" t="s">
        <v>202</v>
      </c>
      <c r="D121" s="64">
        <f t="shared" ref="D121:V121" si="31">+IFERROR(IF(D82&gt;0,+((D82/D42)*100)," "),"")</f>
        <v>81.492177272452764</v>
      </c>
      <c r="E121" s="64">
        <f t="shared" si="31"/>
        <v>92.690470932268099</v>
      </c>
      <c r="F121" s="64">
        <f t="shared" si="31"/>
        <v>84.398883113041606</v>
      </c>
      <c r="G121" s="64">
        <f t="shared" si="31"/>
        <v>98.62969976510503</v>
      </c>
      <c r="H121" s="64">
        <f t="shared" si="31"/>
        <v>95.59223617106241</v>
      </c>
      <c r="I121" s="64">
        <f t="shared" si="31"/>
        <v>93.379688818657499</v>
      </c>
      <c r="J121" s="64">
        <f t="shared" si="31"/>
        <v>91.978695521283484</v>
      </c>
      <c r="K121" s="64">
        <f t="shared" si="31"/>
        <v>86.524129931615931</v>
      </c>
      <c r="L121" s="64">
        <f t="shared" si="31"/>
        <v>97.745332109147284</v>
      </c>
      <c r="M121" s="64">
        <f t="shared" si="31"/>
        <v>93.361637334800648</v>
      </c>
      <c r="N121" s="64">
        <f t="shared" si="31"/>
        <v>94.823412184142128</v>
      </c>
      <c r="O121" s="64">
        <f t="shared" si="31"/>
        <v>97.229893461518984</v>
      </c>
      <c r="P121" s="64">
        <f t="shared" si="31"/>
        <v>94.782790537151271</v>
      </c>
      <c r="Q121" s="64">
        <f t="shared" si="31"/>
        <v>95.103684073174605</v>
      </c>
      <c r="R121" s="64">
        <f t="shared" si="31"/>
        <v>96.022540629275454</v>
      </c>
      <c r="S121" s="64">
        <f t="shared" si="31"/>
        <v>96.893303457872094</v>
      </c>
      <c r="T121" s="64">
        <f t="shared" si="31"/>
        <v>96.752945416540115</v>
      </c>
      <c r="U121" s="64">
        <f t="shared" si="31"/>
        <v>97.97356564399368</v>
      </c>
      <c r="V121" s="64">
        <f t="shared" si="31"/>
        <v>97.287318961018599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55" t="s">
        <v>213</v>
      </c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</row>
    <row r="128" spans="3:22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76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60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184.67945691558*Deflactores!$A$5</f>
        <v>687.69328980027399</v>
      </c>
      <c r="E131" s="56">
        <f>251.22436433154*Deflactores!$B$5</f>
        <v>869.02198183521466</v>
      </c>
      <c r="F131" s="56">
        <f>230.73979158523*Deflactores!$C$5</f>
        <v>746.00346384037084</v>
      </c>
      <c r="G131" s="56">
        <f>129.39295663393*Deflactores!$D$5</f>
        <v>392.839006322312</v>
      </c>
      <c r="H131" s="56">
        <f>220.40300738359*Deflactores!$E$5</f>
        <v>634.28062315314082</v>
      </c>
      <c r="I131" s="56">
        <f>284.069803589789*Deflactores!$F$5</f>
        <v>779.64907746067763</v>
      </c>
      <c r="J131" s="56">
        <f>462.580384506129*Deflactores!$G$5</f>
        <v>1215.1689821587752</v>
      </c>
      <c r="K131" s="56">
        <f>862.04481320096*Deflactores!$H$5</f>
        <v>2142.5308127138715</v>
      </c>
      <c r="L131" s="56">
        <f>1048.00320780541*Deflactores!$I$5</f>
        <v>2419.064790331503</v>
      </c>
      <c r="M131" s="56">
        <f>1051.70189328562*Deflactores!$J$5</f>
        <v>2379.9600898007184</v>
      </c>
      <c r="N131" s="56">
        <f>931.5722528668*Deflactores!$K$5</f>
        <v>2043.3134211472679</v>
      </c>
      <c r="O131" s="56">
        <f>1052.96177117086*Deflactores!$L$5</f>
        <v>2226.5915051868942</v>
      </c>
      <c r="P131" s="56">
        <f>1500.73953405479*Deflactores!$M$5</f>
        <v>3097.8736268582238</v>
      </c>
      <c r="Q131" s="56">
        <f>1889.98064265102*Deflactores!$N$5</f>
        <v>3827.1113737051141</v>
      </c>
      <c r="R131" s="56">
        <f>2714.40790689171*Deflactores!$O$5</f>
        <v>5302.4630643587216</v>
      </c>
      <c r="S131" s="56">
        <f>2802.57555008745*Deflactores!$P$5</f>
        <v>5127.5585299339518</v>
      </c>
      <c r="T131" s="56">
        <f>1560.91919835822*Deflactores!$Q$5</f>
        <v>2700.5569718672596</v>
      </c>
      <c r="U131" s="56">
        <f>1996.57773876564*Deflactores!$R$5</f>
        <v>3318.5635409429678</v>
      </c>
      <c r="V131" s="56">
        <f>877.959083228069*Deflactores!$S$5</f>
        <v>1414.3036617286564</v>
      </c>
    </row>
    <row r="132" spans="3:22" x14ac:dyDescent="0.2">
      <c r="C132" s="88" t="s">
        <v>124</v>
      </c>
      <c r="D132" s="57">
        <f>21.37412865531*Deflactores!$A$5</f>
        <v>79.591120187793933</v>
      </c>
      <c r="E132" s="57">
        <f>33.58266301322*Deflactores!$B$5</f>
        <v>116.1673647566224</v>
      </c>
      <c r="F132" s="57">
        <f>33.74139865185*Deflactores!$C$5</f>
        <v>109.08911764272463</v>
      </c>
      <c r="G132" s="57">
        <f>53.18036131022*Deflactores!$D$5</f>
        <v>161.45639481809425</v>
      </c>
      <c r="H132" s="57">
        <f>46.0294290108499*Deflactores!$E$5</f>
        <v>132.46450337936213</v>
      </c>
      <c r="I132" s="57">
        <f>67.62138069866*Deflactores!$F$5</f>
        <v>185.59152156298609</v>
      </c>
      <c r="J132" s="57">
        <f>118.87005602673*Deflactores!$G$5</f>
        <v>312.2640082228653</v>
      </c>
      <c r="K132" s="57">
        <f>354.11123667931*Deflactores!$H$5</f>
        <v>880.10997119330648</v>
      </c>
      <c r="L132" s="57">
        <f>373.67583675123*Deflactores!$I$5</f>
        <v>862.54130994072784</v>
      </c>
      <c r="M132" s="57">
        <f>340.760282099399*Deflactores!$J$5</f>
        <v>771.12713855841127</v>
      </c>
      <c r="N132" s="57">
        <f>410.3836519125*Deflactores!$K$5</f>
        <v>900.13675395733173</v>
      </c>
      <c r="O132" s="57">
        <f>219.09251307469*Deflactores!$L$5</f>
        <v>463.29272516674791</v>
      </c>
      <c r="P132" s="57">
        <f>106.054193829091*Deflactores!$M$5</f>
        <v>218.92039399613535</v>
      </c>
      <c r="Q132" s="57">
        <f>136.13782281665*Deflactores!$N$5</f>
        <v>275.67192929671546</v>
      </c>
      <c r="R132" s="57">
        <f>146.305244668261*Deflactores!$O$5</f>
        <v>285.800138588518</v>
      </c>
      <c r="S132" s="57">
        <f>196.632446251506*Deflactores!$P$5</f>
        <v>359.75635946985557</v>
      </c>
      <c r="T132" s="57">
        <f>186.063070737816*Deflactores!$Q$5</f>
        <v>321.90899017485583</v>
      </c>
      <c r="U132" s="57">
        <f>202.3894201023*Deflactores!$R$5</f>
        <v>336.39669399465362</v>
      </c>
      <c r="V132" s="57">
        <f>159.783188754449*Deflactores!$S$5</f>
        <v>257.39462493765728</v>
      </c>
    </row>
    <row r="133" spans="3:22" x14ac:dyDescent="0.2">
      <c r="C133" s="87" t="s">
        <v>125</v>
      </c>
      <c r="D133" s="56">
        <f>20.545483391*Deflactores!$A$5</f>
        <v>76.505483066003777</v>
      </c>
      <c r="E133" s="56">
        <f>33.18002699995*Deflactores!$B$5</f>
        <v>114.77458763828382</v>
      </c>
      <c r="F133" s="56">
        <f>17.17255298646*Deflactores!$C$5</f>
        <v>55.520480116882901</v>
      </c>
      <c r="G133" s="56">
        <f>9.92716810509*Deflactores!$D$5</f>
        <v>30.139035040609677</v>
      </c>
      <c r="H133" s="56">
        <f>34.54573320167*Deflactores!$E$5</f>
        <v>99.416470957232576</v>
      </c>
      <c r="I133" s="56">
        <f>27.05380612204*Deflactores!$F$5</f>
        <v>74.251028156822713</v>
      </c>
      <c r="J133" s="56">
        <f>38.0651045518*Deflactores!$G$5</f>
        <v>99.994586677864831</v>
      </c>
      <c r="K133" s="56">
        <f>68.71513163497*Deflactores!$H$5</f>
        <v>170.78495754871156</v>
      </c>
      <c r="L133" s="56">
        <f>123.780734702*Deflactores!$I$5</f>
        <v>285.71822567796085</v>
      </c>
      <c r="M133" s="56">
        <f>130.95984248537*Deflactores!$J$5</f>
        <v>296.35698145227514</v>
      </c>
      <c r="N133" s="56">
        <f>310.11040079419*Deflactores!$K$5</f>
        <v>680.19709907646757</v>
      </c>
      <c r="O133" s="56">
        <f>351.51111180104*Deflactores!$L$5</f>
        <v>743.30491091304327</v>
      </c>
      <c r="P133" s="56">
        <f>374.33902296769*Deflactores!$M$5</f>
        <v>772.72235483945371</v>
      </c>
      <c r="Q133" s="56">
        <f>398.39529388994*Deflactores!$N$5</f>
        <v>806.7295114399293</v>
      </c>
      <c r="R133" s="56">
        <f>336.17126917952*Deflactores!$O$5</f>
        <v>656.6941297206115</v>
      </c>
      <c r="S133" s="56">
        <f>328.274931341819*Deflactores!$P$5</f>
        <v>600.60786739993625</v>
      </c>
      <c r="T133" s="56">
        <f>281.088120646199*Deflactores!$Q$5</f>
        <v>486.31247839002572</v>
      </c>
      <c r="U133" s="56">
        <f>356.684413090219*Deflactores!$R$5</f>
        <v>592.85439576003535</v>
      </c>
      <c r="V133" s="56">
        <f>247.07504864002*Deflactores!$S$5</f>
        <v>398.01301984205537</v>
      </c>
    </row>
    <row r="134" spans="3:22" x14ac:dyDescent="0.2">
      <c r="C134" s="88" t="s">
        <v>126</v>
      </c>
      <c r="D134" s="57">
        <f>52.47501717977*Deflactores!$A$5</f>
        <v>195.40190229808698</v>
      </c>
      <c r="E134" s="57">
        <f>67.6145702039*Deflactores!$B$5</f>
        <v>233.88873111839567</v>
      </c>
      <c r="F134" s="57">
        <f>45.2477557202099*Deflactores!$C$5</f>
        <v>146.29025304381116</v>
      </c>
      <c r="G134" s="57">
        <f>25.71650102841*Deflactores!$D$5</f>
        <v>78.075692625746768</v>
      </c>
      <c r="H134" s="57">
        <f>13.2360909442499*Deflactores!$E$5</f>
        <v>38.091113691652588</v>
      </c>
      <c r="I134" s="57">
        <f>15.2200634325399*Deflactores!$F$5</f>
        <v>41.77250895420152</v>
      </c>
      <c r="J134" s="57">
        <f>26.62199281256*Deflactores!$G$5</f>
        <v>69.934266546159904</v>
      </c>
      <c r="K134" s="57">
        <f>76.00194425202*Deflactores!$H$5</f>
        <v>188.89564079791555</v>
      </c>
      <c r="L134" s="57">
        <f>59.728931699*Deflactores!$I$5</f>
        <v>137.8699555125734</v>
      </c>
      <c r="M134" s="57">
        <f>149.23988166931*Deflactores!$J$5</f>
        <v>337.72399236622738</v>
      </c>
      <c r="N134" s="57">
        <f>185.25690115858*Deflactores!$K$5</f>
        <v>406.34305211707965</v>
      </c>
      <c r="O134" s="57">
        <f>176.51099676584*Deflactores!$L$5</f>
        <v>373.24990966563519</v>
      </c>
      <c r="P134" s="57">
        <f>260.73603094218*Deflactores!$M$5</f>
        <v>538.21949478808097</v>
      </c>
      <c r="Q134" s="57">
        <f>303.41323646085*Deflactores!$N$5</f>
        <v>614.39584194006488</v>
      </c>
      <c r="R134" s="57">
        <f>216.720995418859*Deflactores!$O$5</f>
        <v>423.3538631249649</v>
      </c>
      <c r="S134" s="57">
        <f>218.52685574213*Deflactores!$P$5</f>
        <v>399.81410782850838</v>
      </c>
      <c r="T134" s="57">
        <f>205.616803038199*Deflactores!$Q$5</f>
        <v>355.73903605126435</v>
      </c>
      <c r="U134" s="57">
        <f>238.901588567529*Deflactores!$R$5</f>
        <v>397.08451431683505</v>
      </c>
      <c r="V134" s="57">
        <f>62.00884598359*Deflactores!$S$5</f>
        <v>99.890005820895198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7.4222326*Deflactores!$D$5</f>
        <v>22.534012322835284</v>
      </c>
      <c r="H135" s="56">
        <f>0*Deflactores!$E$5</f>
        <v>0</v>
      </c>
      <c r="I135" s="56">
        <f>4.468227078*Deflactores!$F$5</f>
        <v>12.26335596119214</v>
      </c>
      <c r="J135" s="56">
        <f>37.905725492*Deflactores!$G$5</f>
        <v>99.575908116556292</v>
      </c>
      <c r="K135" s="56">
        <f>12.99541459514*Deflactores!$H$5</f>
        <v>32.29887329255147</v>
      </c>
      <c r="L135" s="56">
        <f>13.60924860814*Deflactores!$I$5</f>
        <v>31.413695955911884</v>
      </c>
      <c r="M135" s="56">
        <f>10.39842512527*Deflactores!$J$5</f>
        <v>23.531227767983726</v>
      </c>
      <c r="N135" s="56">
        <f>26.66466349089*Deflactores!$K$5</f>
        <v>58.48635423998774</v>
      </c>
      <c r="O135" s="56">
        <f>13.969757142*Deflactores!$L$5</f>
        <v>29.540429133826429</v>
      </c>
      <c r="P135" s="56">
        <f>5.50236868371*Deflactores!$M$5</f>
        <v>11.358162055250752</v>
      </c>
      <c r="Q135" s="56">
        <f>36.250531477*Deflactores!$N$5</f>
        <v>73.405419181374654</v>
      </c>
      <c r="R135" s="56">
        <f>50.0090147194*Deflactores!$O$5</f>
        <v>97.690163943797046</v>
      </c>
      <c r="S135" s="56">
        <f>52.21069267632*Deflactores!$P$5</f>
        <v>95.524055570195472</v>
      </c>
      <c r="T135" s="56">
        <f>62.44311337586*Deflactores!$Q$5</f>
        <v>108.03325716644609</v>
      </c>
      <c r="U135" s="56">
        <f>64.75029318367*Deflactores!$R$5</f>
        <v>107.62313835951156</v>
      </c>
      <c r="V135" s="56">
        <f>47.1439929030099*Deflactores!$S$5</f>
        <v>75.944224582862674</v>
      </c>
    </row>
    <row r="136" spans="3:22" x14ac:dyDescent="0.2">
      <c r="C136" s="88" t="s">
        <v>128</v>
      </c>
      <c r="D136" s="57">
        <f>10.7002177127399*Deflactores!$A$5</f>
        <v>39.844539524593365</v>
      </c>
      <c r="E136" s="57">
        <f>16.21797608455*Deflactores!$B$5</f>
        <v>56.100361745774947</v>
      </c>
      <c r="F136" s="57">
        <f>9.35359502551*Deflactores!$C$5</f>
        <v>30.241053094706803</v>
      </c>
      <c r="G136" s="57">
        <f>8.57728974945*Deflactores!$D$5</f>
        <v>26.040783592612694</v>
      </c>
      <c r="H136" s="57">
        <f>23.7032799705299*Deflactores!$E$5</f>
        <v>68.213820532470891</v>
      </c>
      <c r="I136" s="57">
        <f>27.3304373868199*Deflactores!$F$5</f>
        <v>75.010261653860908</v>
      </c>
      <c r="J136" s="57">
        <f>41.35425781829*Deflactores!$G$5</f>
        <v>108.63498121442113</v>
      </c>
      <c r="K136" s="57">
        <f>46.0481399475099*Deflactores!$H$5</f>
        <v>114.44829456064595</v>
      </c>
      <c r="L136" s="57">
        <f>63.76696157882*Deflactores!$I$5</f>
        <v>147.19078185339589</v>
      </c>
      <c r="M136" s="57">
        <f>71.43695210838*Deflactores!$J$5</f>
        <v>161.65901767448528</v>
      </c>
      <c r="N136" s="57">
        <f>83.33697348174*Deflactores!$K$5</f>
        <v>182.79157184964069</v>
      </c>
      <c r="O136" s="57">
        <f>92.95075846535*Deflactores!$L$5</f>
        <v>196.55354531009274</v>
      </c>
      <c r="P136" s="57">
        <f>170.16675716227*Deflactores!$M$5</f>
        <v>351.26355854482222</v>
      </c>
      <c r="Q136" s="57">
        <f>177.014539922909*Deflactores!$N$5</f>
        <v>358.44513100403918</v>
      </c>
      <c r="R136" s="57">
        <f>177.183341762499*Deflactores!$O$5</f>
        <v>346.118990786148</v>
      </c>
      <c r="S136" s="57">
        <f>201.65425819191*Deflactores!$P$5</f>
        <v>368.94420621673072</v>
      </c>
      <c r="T136" s="57">
        <f>151.09620904219*Deflactores!$Q$5</f>
        <v>261.41258380368504</v>
      </c>
      <c r="U136" s="57">
        <f>154.38958106477*Deflactores!$R$5</f>
        <v>256.61491905632465</v>
      </c>
      <c r="V136" s="57">
        <f>104.17822494029*Deflactores!$S$5</f>
        <v>167.82062834147942</v>
      </c>
    </row>
    <row r="137" spans="3:22" x14ac:dyDescent="0.2">
      <c r="C137" s="87" t="s">
        <v>129</v>
      </c>
      <c r="D137" s="56">
        <f>367.62471420271*Deflactores!$A$5</f>
        <v>1368.92891794409</v>
      </c>
      <c r="E137" s="56">
        <f>478.42842365187*Deflactores!$B$5</f>
        <v>1654.9541999818227</v>
      </c>
      <c r="F137" s="56">
        <f>586.924552173229*Deflactores!$C$5</f>
        <v>1897.582319573416</v>
      </c>
      <c r="G137" s="56">
        <f>484.422939741729*Deflactores!$D$5</f>
        <v>1470.7154951738128</v>
      </c>
      <c r="H137" s="56">
        <f>479.591862101679*Deflactores!$E$5</f>
        <v>1380.1800109905255</v>
      </c>
      <c r="I137" s="56">
        <f>432.15973769685*Deflactores!$F$5</f>
        <v>1186.0920680522086</v>
      </c>
      <c r="J137" s="56">
        <f>770.780578778649*Deflactores!$G$5</f>
        <v>2024.7911125375281</v>
      </c>
      <c r="K137" s="56">
        <f>1037.54297204679*Deflactores!$H$5</f>
        <v>2578.7148801123362</v>
      </c>
      <c r="L137" s="56">
        <f>3157.3379508106*Deflactores!$I$5</f>
        <v>7287.9596275066988</v>
      </c>
      <c r="M137" s="56">
        <f>2671.49444722709*Deflactores!$J$5</f>
        <v>6045.4870387858036</v>
      </c>
      <c r="N137" s="56">
        <f>1622.33791363501*Deflactores!$K$5</f>
        <v>3558.4409286184027</v>
      </c>
      <c r="O137" s="56">
        <f>1192.10282727465*Deflactores!$L$5</f>
        <v>2520.8189900071011</v>
      </c>
      <c r="P137" s="56">
        <f>1702.93143862937*Deflactores!$M$5</f>
        <v>3515.2444993729728</v>
      </c>
      <c r="Q137" s="56">
        <f>2581.07992805472*Deflactores!$N$5</f>
        <v>5226.5510694567247</v>
      </c>
      <c r="R137" s="56">
        <f>1913.1500643216*Deflactores!$O$5</f>
        <v>3737.2450643415777</v>
      </c>
      <c r="S137" s="56">
        <f>1216.86416876483*Deflactores!$P$5</f>
        <v>2226.3600523191594</v>
      </c>
      <c r="T137" s="56">
        <f>867.424687795991*Deflactores!$Q$5</f>
        <v>1500.7373800393545</v>
      </c>
      <c r="U137" s="56">
        <f>810.614612412895*Deflactores!$R$5</f>
        <v>1347.3435300206015</v>
      </c>
      <c r="V137" s="56">
        <f>519.006862392118*Deflactores!$S$5</f>
        <v>836.06778489561145</v>
      </c>
    </row>
    <row r="138" spans="3:22" x14ac:dyDescent="0.2">
      <c r="C138" s="88" t="s">
        <v>130</v>
      </c>
      <c r="D138" s="57">
        <f>20.777910023*Deflactores!$A$5</f>
        <v>77.370973131151317</v>
      </c>
      <c r="E138" s="57">
        <f>35.37455426187*Deflactores!$B$5</f>
        <v>122.36577981990018</v>
      </c>
      <c r="F138" s="57">
        <f>10.96235268833*Deflactores!$C$5</f>
        <v>35.442318037776474</v>
      </c>
      <c r="G138" s="57">
        <f>9.89428243546*Deflactores!$D$5</f>
        <v>30.039193641852229</v>
      </c>
      <c r="H138" s="57">
        <f>57.64286058155*Deflactores!$E$5</f>
        <v>165.88589222996845</v>
      </c>
      <c r="I138" s="57">
        <f>45.7637279675*Deflactores!$F$5</f>
        <v>125.60169310549455</v>
      </c>
      <c r="J138" s="57">
        <f>68.56015490047*Deflactores!$G$5</f>
        <v>180.10312680249032</v>
      </c>
      <c r="K138" s="57">
        <f>55.71820258425*Deflactores!$H$5</f>
        <v>138.48232022012047</v>
      </c>
      <c r="L138" s="57">
        <f>121.537643698309*Deflactores!$I$5</f>
        <v>280.54058649887753</v>
      </c>
      <c r="M138" s="57">
        <f>102.06483399845*Deflactores!$J$5</f>
        <v>230.96871179871235</v>
      </c>
      <c r="N138" s="57">
        <f>111.83176094635*Deflactores!$K$5</f>
        <v>245.29212559627706</v>
      </c>
      <c r="O138" s="57">
        <f>134.81585283081*Deflactores!$L$5</f>
        <v>285.08141596044618</v>
      </c>
      <c r="P138" s="57">
        <f>264.16768379326*Deflactores!$M$5</f>
        <v>545.30322025986266</v>
      </c>
      <c r="Q138" s="57">
        <f>321.37163963124*Deflactores!$N$5</f>
        <v>650.7606636085967</v>
      </c>
      <c r="R138" s="57">
        <f>290.49069110278*Deflactores!$O$5</f>
        <v>567.45935502242094</v>
      </c>
      <c r="S138" s="57">
        <f>350.12694987756*Deflactores!$P$5</f>
        <v>640.58805777721864</v>
      </c>
      <c r="T138" s="57">
        <f>227.25612097164*Deflactores!$Q$5</f>
        <v>393.17736788360509</v>
      </c>
      <c r="U138" s="57">
        <f>416.07362905724*Deflactores!$R$5</f>
        <v>691.56674890647002</v>
      </c>
      <c r="V138" s="57">
        <f>366.45051589856*Deflactores!$S$5</f>
        <v>590.31487500774119</v>
      </c>
    </row>
    <row r="139" spans="3:22" x14ac:dyDescent="0.2">
      <c r="C139" s="87" t="s">
        <v>131</v>
      </c>
      <c r="D139" s="56">
        <f>86.35499660579*Deflactores!$A$5</f>
        <v>321.5612212552337</v>
      </c>
      <c r="E139" s="56">
        <f>48.34773094472*Deflactores!$B$5</f>
        <v>167.24190376443318</v>
      </c>
      <c r="F139" s="56">
        <f>73.49965372703*Deflactores!$C$5</f>
        <v>237.63129841945309</v>
      </c>
      <c r="G139" s="56">
        <f>89.46247996286*Deflactores!$D$5</f>
        <v>271.60946504350886</v>
      </c>
      <c r="H139" s="56">
        <f>132.24746799054*Deflactores!$E$5</f>
        <v>380.58467261055239</v>
      </c>
      <c r="I139" s="56">
        <f>245.776260190299*Deflactores!$F$5</f>
        <v>674.54981873332042</v>
      </c>
      <c r="J139" s="56">
        <f>268.05839330821*Deflactores!$G$5</f>
        <v>704.17219550548896</v>
      </c>
      <c r="K139" s="56">
        <f>575.782773028959*Deflactores!$H$5</f>
        <v>1431.0535992480911</v>
      </c>
      <c r="L139" s="56">
        <f>734.569457056539*Deflactores!$I$5</f>
        <v>1695.5779298991852</v>
      </c>
      <c r="M139" s="56">
        <f>821.58213335127*Deflactores!$J$5</f>
        <v>1859.2081086406558</v>
      </c>
      <c r="N139" s="56">
        <f>870.45607203817*Deflactores!$K$5</f>
        <v>1909.2610036862482</v>
      </c>
      <c r="O139" s="56">
        <f>821.62902903368*Deflactores!$L$5</f>
        <v>1737.4156085715038</v>
      </c>
      <c r="P139" s="56">
        <f>934.378423592749*Deflactores!$M$5</f>
        <v>1928.7732549648829</v>
      </c>
      <c r="Q139" s="56">
        <f>1442.17352733773*Deflactores!$N$5</f>
        <v>2920.3255233285399</v>
      </c>
      <c r="R139" s="56">
        <f>1823.6576369933*Deflactores!$O$5</f>
        <v>3562.4259852918462</v>
      </c>
      <c r="S139" s="56">
        <f>2396.58243904718*Deflactores!$P$5</f>
        <v>4384.7584153950229</v>
      </c>
      <c r="T139" s="56">
        <f>2531.92850159937*Deflactores!$Q$5</f>
        <v>4380.5068029501026</v>
      </c>
      <c r="U139" s="56">
        <f>3205.4284345738*Deflactores!$R$5</f>
        <v>5327.8255735010644</v>
      </c>
      <c r="V139" s="56">
        <f>3207.51566118486*Deflactores!$S$5</f>
        <v>5166.9846936219137</v>
      </c>
    </row>
    <row r="140" spans="3:22" x14ac:dyDescent="0.2">
      <c r="C140" s="88" t="s">
        <v>132</v>
      </c>
      <c r="D140" s="57">
        <f>0*Deflactores!$A$5</f>
        <v>0</v>
      </c>
      <c r="E140" s="57">
        <f>0*Deflactores!$B$5</f>
        <v>0</v>
      </c>
      <c r="F140" s="57">
        <f>0*Deflactores!$C$5</f>
        <v>0</v>
      </c>
      <c r="G140" s="57">
        <f>0*Deflactores!$D$5</f>
        <v>0</v>
      </c>
      <c r="H140" s="57">
        <f>1.05439496959*Deflactores!$E$5</f>
        <v>3.0343610384459572</v>
      </c>
      <c r="I140" s="57">
        <f>0.6801182*Deflactores!$F$5</f>
        <v>1.8666310902933185</v>
      </c>
      <c r="J140" s="57">
        <f>0*Deflactores!$G$5</f>
        <v>0</v>
      </c>
      <c r="K140" s="57">
        <f>3.00562964263999*Deflactores!$H$5</f>
        <v>7.4702080707968346</v>
      </c>
      <c r="L140" s="57">
        <f>2.758*Deflactores!$I$5</f>
        <v>6.3661834639852373</v>
      </c>
      <c r="M140" s="57">
        <f>0.55841199934*Deflactores!$J$5</f>
        <v>1.2636644286558274</v>
      </c>
      <c r="N140" s="57">
        <f>2.04147545971*Deflactores!$K$5</f>
        <v>4.4777785007350062</v>
      </c>
      <c r="O140" s="57">
        <f>3.29327210056*Deflactores!$L$5</f>
        <v>6.9639486296089235</v>
      </c>
      <c r="P140" s="57">
        <f>9.22299242554*Deflactores!$M$5</f>
        <v>19.038390305209624</v>
      </c>
      <c r="Q140" s="57">
        <f>6.77195395508*Deflactores!$N$5</f>
        <v>13.712850501654323</v>
      </c>
      <c r="R140" s="57">
        <f>8.18454140836*Deflactores!$O$5</f>
        <v>15.988101274815053</v>
      </c>
      <c r="S140" s="57">
        <f>8.38615291393*Deflactores!$P$5</f>
        <v>15.343204541197995</v>
      </c>
      <c r="T140" s="57">
        <f>14.75203270557*Deflactores!$Q$5</f>
        <v>25.522592594250479</v>
      </c>
      <c r="U140" s="57">
        <f>17.52813157709*Deflactores!$R$5</f>
        <v>29.133961209316013</v>
      </c>
      <c r="V140" s="57">
        <f>15.9303262798*Deflactores!$S$5</f>
        <v>25.662151255630487</v>
      </c>
    </row>
    <row r="141" spans="3:22" x14ac:dyDescent="0.2">
      <c r="C141" s="87" t="s">
        <v>133</v>
      </c>
      <c r="D141" s="56">
        <f>18.9942303141999*Deflactores!$A$5</f>
        <v>70.72906185752521</v>
      </c>
      <c r="E141" s="56">
        <f>24.84059606474*Deflactores!$B$5</f>
        <v>85.927270945982229</v>
      </c>
      <c r="F141" s="56">
        <f>9.08884023026*Deflactores!$C$5</f>
        <v>29.385075922464743</v>
      </c>
      <c r="G141" s="56">
        <f>18.127861628*Deflactores!$D$5</f>
        <v>55.036466697635554</v>
      </c>
      <c r="H141" s="56">
        <f>27.4849532404*Deflactores!$E$5</f>
        <v>79.096803059112105</v>
      </c>
      <c r="I141" s="56">
        <f>31.44458854022*Deflactores!$F$5</f>
        <v>86.301831932531201</v>
      </c>
      <c r="J141" s="56">
        <f>24.91284371669*Deflactores!$G$5</f>
        <v>65.444441562760886</v>
      </c>
      <c r="K141" s="56">
        <f>63.54693293979*Deflactores!$H$5</f>
        <v>157.93988872968549</v>
      </c>
      <c r="L141" s="56">
        <f>62.2405618561199*Deflactores!$I$5</f>
        <v>143.66745311007281</v>
      </c>
      <c r="M141" s="56">
        <f>61.16919722886*Deflactores!$J$5</f>
        <v>138.42349154191263</v>
      </c>
      <c r="N141" s="56">
        <f>44.74750414356*Deflactores!$K$5</f>
        <v>98.149312088251548</v>
      </c>
      <c r="O141" s="56">
        <f>74.1280923941799*Deflactores!$L$5</f>
        <v>156.75116166568569</v>
      </c>
      <c r="P141" s="56">
        <f>82.2443504821699*Deflactores!$M$5</f>
        <v>169.77136840555625</v>
      </c>
      <c r="Q141" s="56">
        <f>104.79522355333*Deflactores!$N$5</f>
        <v>212.2048146526835</v>
      </c>
      <c r="R141" s="56">
        <f>102.717955829888*Deflactores!$O$5</f>
        <v>200.65450201922823</v>
      </c>
      <c r="S141" s="56">
        <f>94.74230301589*Deflactores!$P$5</f>
        <v>173.33937847261797</v>
      </c>
      <c r="T141" s="56">
        <f>119.26817912314*Deflactores!$Q$5</f>
        <v>206.34669173887076</v>
      </c>
      <c r="U141" s="56">
        <f>140.2388892108*Deflactores!$R$5</f>
        <v>233.09468783570819</v>
      </c>
      <c r="V141" s="56">
        <f>72.7597986213*Deflactores!$S$5</f>
        <v>117.2087077661825</v>
      </c>
    </row>
    <row r="142" spans="3:22" x14ac:dyDescent="0.2">
      <c r="C142" s="88" t="s">
        <v>134</v>
      </c>
      <c r="D142" s="57">
        <f>794.06290513312*Deflactores!$A$5</f>
        <v>2956.8623422418686</v>
      </c>
      <c r="E142" s="57">
        <f>1549.01134655751*Deflactores!$B$5</f>
        <v>5358.2578021539548</v>
      </c>
      <c r="F142" s="57">
        <f>799.276473046079*Deflactores!$C$5</f>
        <v>2584.1360667011086</v>
      </c>
      <c r="G142" s="57">
        <f>1091.60765851729*Deflactores!$D$5</f>
        <v>3314.1376394927297</v>
      </c>
      <c r="H142" s="57">
        <f>878.35700501242*Deflactores!$E$5</f>
        <v>2527.755111438124</v>
      </c>
      <c r="I142" s="57">
        <f>1159.20720119732*Deflactores!$F$5</f>
        <v>3181.52374373575</v>
      </c>
      <c r="J142" s="57">
        <f>288.017010802069*Deflactores!$G$5</f>
        <v>756.60220273807556</v>
      </c>
      <c r="K142" s="57">
        <f>754.137479986299*Deflactores!$H$5</f>
        <v>1874.3373466784833</v>
      </c>
      <c r="L142" s="57">
        <f>822.77831632528*Deflactores!$I$5</f>
        <v>1899.1869876416288</v>
      </c>
      <c r="M142" s="57">
        <f>931.225196314899*Deflactores!$J$5</f>
        <v>2107.3260550310756</v>
      </c>
      <c r="N142" s="57">
        <f>781.2887324115*Deflactores!$K$5</f>
        <v>1713.681088949111</v>
      </c>
      <c r="O142" s="57">
        <f>1250.14489851794*Deflactores!$L$5</f>
        <v>2643.5546735923231</v>
      </c>
      <c r="P142" s="57">
        <f>2007.88559711569*Deflactores!$M$5</f>
        <v>4144.7404402329039</v>
      </c>
      <c r="Q142" s="57">
        <f>1797.26716078647*Deflactores!$N$5</f>
        <v>3639.3714503787464</v>
      </c>
      <c r="R142" s="57">
        <f>994.38366584675*Deflactores!$O$5</f>
        <v>1942.4798485765566</v>
      </c>
      <c r="S142" s="57">
        <f>1088.80745514937*Deflactores!$P$5</f>
        <v>1992.0690287662806</v>
      </c>
      <c r="T142" s="57">
        <f>508.86420545209*Deflactores!$Q$5</f>
        <v>880.38943925652336</v>
      </c>
      <c r="U142" s="57">
        <f>785.91634922207*Deflactores!$R$5</f>
        <v>1306.2919074575063</v>
      </c>
      <c r="V142" s="57">
        <f>713.90217923927*Deflactores!$S$5</f>
        <v>1150.0245119645083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33.4246182484199*Deflactores!$A$5</f>
        <v>124.46368463213196</v>
      </c>
      <c r="E144" s="57">
        <f>112.01748541679*Deflactores!$B$5</f>
        <v>387.48493776116931</v>
      </c>
      <c r="F144" s="57">
        <f>54.90162316789*Deflactores!$C$5</f>
        <v>177.50211514157579</v>
      </c>
      <c r="G144" s="57">
        <f>78.90098910788*Deflactores!$D$5</f>
        <v>239.5446163787511</v>
      </c>
      <c r="H144" s="57">
        <f>117.83424383787*Deflactores!$E$5</f>
        <v>339.10597907670865</v>
      </c>
      <c r="I144" s="57">
        <f>265.88418715495*Deflactores!$F$5</f>
        <v>729.7374047052366</v>
      </c>
      <c r="J144" s="57">
        <f>832.65815331671*Deflactores!$G$5</f>
        <v>2187.3395296091844</v>
      </c>
      <c r="K144" s="57">
        <f>1360.65866521294*Deflactores!$H$5</f>
        <v>3381.7883608392494</v>
      </c>
      <c r="L144" s="57">
        <f>1612.19915051017*Deflactores!$I$5</f>
        <v>3721.3762047240361</v>
      </c>
      <c r="M144" s="57">
        <f>1688.25794350155*Deflactores!$J$5</f>
        <v>3820.4614372901246</v>
      </c>
      <c r="N144" s="57">
        <f>2375.78228457641*Deflactores!$K$5</f>
        <v>5211.0481101813239</v>
      </c>
      <c r="O144" s="57">
        <f>2562.84038129972*Deflactores!$L$5</f>
        <v>5419.3787261683428</v>
      </c>
      <c r="P144" s="57">
        <f>3849.30127032875*Deflactores!$M$5</f>
        <v>7945.8484411112604</v>
      </c>
      <c r="Q144" s="57">
        <f>4393.35592133724*Deflactores!$N$5</f>
        <v>8896.3146160587949</v>
      </c>
      <c r="R144" s="57">
        <f>6817.73920719107*Deflactores!$O$5</f>
        <v>13318.120035229907</v>
      </c>
      <c r="S144" s="57">
        <f>8085.79663895351*Deflactores!$P$5</f>
        <v>14793.676311806703</v>
      </c>
      <c r="T144" s="57">
        <f>6291.45613261085*Deflactores!$Q$5</f>
        <v>10884.8912486885</v>
      </c>
      <c r="U144" s="57">
        <f>7412.36833899714*Deflactores!$R$5</f>
        <v>12320.28928512624</v>
      </c>
      <c r="V144" s="57">
        <f>6792.62740217713*Deflactores!$S$5</f>
        <v>10942.238643212419</v>
      </c>
    </row>
    <row r="145" spans="3:22" x14ac:dyDescent="0.2">
      <c r="C145" s="87" t="s">
        <v>137</v>
      </c>
      <c r="D145" s="56">
        <f>15.20326097287*Deflactores!$A$5</f>
        <v>56.612580136102082</v>
      </c>
      <c r="E145" s="56">
        <f>15.47183287826*Deflactores!$B$5</f>
        <v>53.519342784543525</v>
      </c>
      <c r="F145" s="56">
        <f>15.045303542*Deflactores!$C$5</f>
        <v>48.642882442389514</v>
      </c>
      <c r="G145" s="56">
        <f>8.57688425155*Deflactores!$D$5</f>
        <v>26.039552494751995</v>
      </c>
      <c r="H145" s="56">
        <f>31.774897087*Deflactores!$E$5</f>
        <v>91.442497832585602</v>
      </c>
      <c r="I145" s="56">
        <f>107.53678467688*Deflactores!$F$5</f>
        <v>295.14208799006167</v>
      </c>
      <c r="J145" s="56">
        <f>38.405280164*Deflactores!$G$5</f>
        <v>100.88820617898926</v>
      </c>
      <c r="K145" s="56">
        <f>67.50755666793*Deflactores!$H$5</f>
        <v>167.78364423422383</v>
      </c>
      <c r="L145" s="56">
        <f>80.9714420946799*Deflactores!$I$5</f>
        <v>186.90321092030069</v>
      </c>
      <c r="M145" s="56">
        <f>68.37216846038*Deflactores!$J$5</f>
        <v>154.72353261671242</v>
      </c>
      <c r="N145" s="56">
        <f>98.01590672569*Deflactores!$K$5</f>
        <v>214.98838880418825</v>
      </c>
      <c r="O145" s="56">
        <f>125.34798816265*Deflactores!$L$5</f>
        <v>265.0606824261767</v>
      </c>
      <c r="P145" s="56">
        <f>148.753216566299*Deflactores!$M$5</f>
        <v>307.06105626870465</v>
      </c>
      <c r="Q145" s="56">
        <f>190.44771387034*Deflactores!$N$5</f>
        <v>385.6466015582883</v>
      </c>
      <c r="R145" s="56">
        <f>392.338398918499*Deflactores!$O$5</f>
        <v>766.41387011623294</v>
      </c>
      <c r="S145" s="56">
        <f>195.66514468188*Deflactores!$P$5</f>
        <v>357.98659614832815</v>
      </c>
      <c r="T145" s="56">
        <f>150.59614564046*Deflactores!$Q$5</f>
        <v>260.54742069508984</v>
      </c>
      <c r="U145" s="56">
        <f>166.46193413387*Deflactores!$R$5</f>
        <v>276.68068958488647</v>
      </c>
      <c r="V145" s="56">
        <f>385.765787908379*Deflactores!$S$5</f>
        <v>621.42983292848032</v>
      </c>
    </row>
    <row r="146" spans="3:22" x14ac:dyDescent="0.2">
      <c r="C146" s="88" t="s">
        <v>138</v>
      </c>
      <c r="D146" s="57">
        <f>3.840644976*Deflactores!$A$5</f>
        <v>14.301459526749982</v>
      </c>
      <c r="E146" s="57">
        <f>17.09997932237*Deflactores!$B$5</f>
        <v>59.151340514314661</v>
      </c>
      <c r="F146" s="57">
        <f>0.0569237327999999*Deflactores!$C$5</f>
        <v>0.18403978590679254</v>
      </c>
      <c r="G146" s="57">
        <f>0*Deflactores!$D$5</f>
        <v>0</v>
      </c>
      <c r="H146" s="57">
        <f>0*Deflactores!$E$5</f>
        <v>0</v>
      </c>
      <c r="I146" s="57">
        <f>0*Deflactores!$F$5</f>
        <v>0</v>
      </c>
      <c r="J146" s="57">
        <f>0*Deflactores!$G$5</f>
        <v>0</v>
      </c>
      <c r="K146" s="57">
        <f>0*Deflactores!$H$5</f>
        <v>0</v>
      </c>
      <c r="L146" s="57">
        <f>33.74286260452*Deflactores!$I$5</f>
        <v>77.887329202473182</v>
      </c>
      <c r="M146" s="57">
        <f>1.031*Deflactores!$J$5</f>
        <v>2.3331125181479129</v>
      </c>
      <c r="N146" s="57">
        <f>7.00459289*Deflactores!$K$5</f>
        <v>15.363895412046155</v>
      </c>
      <c r="O146" s="57">
        <f>0*Deflactores!$L$5</f>
        <v>0</v>
      </c>
      <c r="P146" s="57">
        <f>51.56805910132*Deflactores!$M$5</f>
        <v>106.44840537159669</v>
      </c>
      <c r="Q146" s="57">
        <f>30.68837414953*Deflactores!$N$5</f>
        <v>62.142343205930239</v>
      </c>
      <c r="R146" s="57">
        <f>16.94319640491*Deflactores!$O$5</f>
        <v>33.097705360020122</v>
      </c>
      <c r="S146" s="57">
        <f>15.94781464683*Deflactores!$P$5</f>
        <v>29.177929930776415</v>
      </c>
      <c r="T146" s="57">
        <f>10.34211277051*Deflactores!$Q$5</f>
        <v>17.892959978719276</v>
      </c>
      <c r="U146" s="57">
        <f>7.8715181802*Deflactores!$R$5</f>
        <v>13.083454121266096</v>
      </c>
      <c r="V146" s="57">
        <f>6.81710210028*Deflactores!$S$5</f>
        <v>10.981664916950965</v>
      </c>
    </row>
    <row r="147" spans="3:22" x14ac:dyDescent="0.2">
      <c r="C147" s="87" t="s">
        <v>139</v>
      </c>
      <c r="D147" s="56">
        <f>49.37433274589*Deflactores!$A$5</f>
        <v>183.8558434424875</v>
      </c>
      <c r="E147" s="56">
        <f>69.43043797207*Deflactores!$B$5</f>
        <v>240.17008448491572</v>
      </c>
      <c r="F147" s="56">
        <f>31.99676152454*Deflactores!$C$5</f>
        <v>103.44854160173854</v>
      </c>
      <c r="G147" s="56">
        <f>32.8171071202199*Deflactores!$D$5</f>
        <v>99.633241923304965</v>
      </c>
      <c r="H147" s="56">
        <f>63.53752694582*Deflactores!$E$5</f>
        <v>182.84969276605591</v>
      </c>
      <c r="I147" s="56">
        <f>55.77688332361*Deflactores!$F$5</f>
        <v>153.08348538755962</v>
      </c>
      <c r="J147" s="56">
        <f>126.60637566381*Deflactores!$G$5</f>
        <v>332.58682340034477</v>
      </c>
      <c r="K147" s="56">
        <f>255.516440337329*Deflactores!$H$5</f>
        <v>635.06193436149226</v>
      </c>
      <c r="L147" s="56">
        <f>388.017782609409*Deflactores!$I$5</f>
        <v>895.6462622843502</v>
      </c>
      <c r="M147" s="56">
        <f>370.76505785083*Deflactores!$J$5</f>
        <v>839.0267679569414</v>
      </c>
      <c r="N147" s="56">
        <f>159.3029048068*Deflactores!$K$5</f>
        <v>349.41547734786627</v>
      </c>
      <c r="O147" s="56">
        <f>3727.64215112957*Deflactores!$L$5</f>
        <v>7882.466937857047</v>
      </c>
      <c r="P147" s="56">
        <f>113.90326157708*Deflactores!$M$5</f>
        <v>235.12268587967205</v>
      </c>
      <c r="Q147" s="56">
        <f>266.28839904059*Deflactores!$N$5</f>
        <v>539.21999921887289</v>
      </c>
      <c r="R147" s="56">
        <f>278.23840221125*Deflactores!$O$5</f>
        <v>543.5251080228295</v>
      </c>
      <c r="S147" s="56">
        <f>225.681547217509*Deflactores!$P$5</f>
        <v>412.90424532809533</v>
      </c>
      <c r="T147" s="56">
        <f>174.21574677872*Deflactores!$Q$5</f>
        <v>301.4118540326657</v>
      </c>
      <c r="U147" s="56">
        <f>198.08385212129*Deflactores!$R$5</f>
        <v>329.24029800394965</v>
      </c>
      <c r="V147" s="56">
        <f>147.90354626882*Deflactores!$S$5</f>
        <v>238.25771732041719</v>
      </c>
    </row>
    <row r="148" spans="3:22" x14ac:dyDescent="0.2">
      <c r="C148" s="88" t="s">
        <v>140</v>
      </c>
      <c r="D148" s="57">
        <f>219.26970435415*Deflactores!$A$5</f>
        <v>816.49744297097209</v>
      </c>
      <c r="E148" s="57">
        <f>355.5610603325*Deflactores!$B$5</f>
        <v>1229.937940676032</v>
      </c>
      <c r="F148" s="57">
        <f>225.97373119664*Deflactores!$C$5</f>
        <v>730.59434201386</v>
      </c>
      <c r="G148" s="57">
        <f>319.69119284475*Deflactores!$D$5</f>
        <v>970.58737812467746</v>
      </c>
      <c r="H148" s="57">
        <f>532.1055598802*Deflactores!$E$5</f>
        <v>1531.3050856727684</v>
      </c>
      <c r="I148" s="57">
        <f>511.99050342498*Deflactores!$F$5</f>
        <v>1405.1930850078638</v>
      </c>
      <c r="J148" s="57">
        <f>469.6264606191*Deflactores!$G$5</f>
        <v>1233.678571897548</v>
      </c>
      <c r="K148" s="57">
        <f>2266.07496961886*Deflactores!$H$5</f>
        <v>5632.1149109405151</v>
      </c>
      <c r="L148" s="57">
        <f>1400.77522577299*Deflactores!$I$5</f>
        <v>3233.3546334576495</v>
      </c>
      <c r="M148" s="57">
        <f>6069.52557341323*Deflactores!$J$5</f>
        <v>13735.098054848979</v>
      </c>
      <c r="N148" s="57">
        <f>1011.90016551759*Deflactores!$K$5</f>
        <v>2219.5049097913306</v>
      </c>
      <c r="O148" s="57">
        <f>1552.1978920945*Deflactores!$L$5</f>
        <v>3282.2755161030514</v>
      </c>
      <c r="P148" s="57">
        <f>1973.12433836978*Deflactores!$M$5</f>
        <v>4072.9851594118559</v>
      </c>
      <c r="Q148" s="57">
        <f>2477.99407646187*Deflactores!$N$5</f>
        <v>5017.8076430977699</v>
      </c>
      <c r="R148" s="57">
        <f>2165.36156876772*Deflactores!$O$5</f>
        <v>4229.9279007481737</v>
      </c>
      <c r="S148" s="57">
        <f>2373.52752994622*Deflactores!$P$5</f>
        <v>4342.5774309024591</v>
      </c>
      <c r="T148" s="57">
        <f>2225.7302264335*Deflactores!$Q$5</f>
        <v>3850.7510746313897</v>
      </c>
      <c r="U148" s="57">
        <f>2754.20140815025*Deflactores!$R$5</f>
        <v>4577.829452887665</v>
      </c>
      <c r="V148" s="57">
        <f>3054.59635679019*Deflactores!$S$5</f>
        <v>4920.6470951097072</v>
      </c>
    </row>
    <row r="149" spans="3:22" x14ac:dyDescent="0.2">
      <c r="C149" s="87" t="s">
        <v>141</v>
      </c>
      <c r="D149" s="56">
        <f>5.64863593475*Deflactores!$A$5</f>
        <v>21.033898917235579</v>
      </c>
      <c r="E149" s="56">
        <f>2.66726163305*Deflactores!$B$5</f>
        <v>9.2264498174516412</v>
      </c>
      <c r="F149" s="56">
        <f>1.55640111348999*Deflactores!$C$5</f>
        <v>5.0319912911929023</v>
      </c>
      <c r="G149" s="56">
        <f>1.83048793791*Deflactores!$D$5</f>
        <v>5.5573895312396013</v>
      </c>
      <c r="H149" s="56">
        <f>4.84555397526*Deflactores!$E$5</f>
        <v>13.944641824242742</v>
      </c>
      <c r="I149" s="56">
        <f>5.14883565759999*Deflactores!$F$5</f>
        <v>14.13133293196239</v>
      </c>
      <c r="J149" s="56">
        <f>15.54192819144*Deflactores!$G$5</f>
        <v>40.827647893761231</v>
      </c>
      <c r="K149" s="56">
        <f>25.6344722105499*Deflactores!$H$5</f>
        <v>63.712055032059055</v>
      </c>
      <c r="L149" s="56">
        <f>28.6790135137199*Deflactores!$I$5</f>
        <v>66.19864452300682</v>
      </c>
      <c r="M149" s="56">
        <f>47.70055232631*Deflactores!$J$5</f>
        <v>107.94447696904309</v>
      </c>
      <c r="N149" s="56">
        <f>48.97367070652*Deflactores!$K$5</f>
        <v>107.41899871913353</v>
      </c>
      <c r="O149" s="56">
        <f>38.6171255385799*Deflactores!$L$5</f>
        <v>81.659720260618556</v>
      </c>
      <c r="P149" s="56">
        <f>67.50864458001*Deflactores!$M$5</f>
        <v>139.3534619990381</v>
      </c>
      <c r="Q149" s="56">
        <f>84.5498948715399*Deflactores!$N$5</f>
        <v>171.20908913361322</v>
      </c>
      <c r="R149" s="56">
        <f>69.27103385795*Deflactores!$O$5</f>
        <v>135.31757608322346</v>
      </c>
      <c r="S149" s="56">
        <f>75.2911576258199*Deflactores!$P$5</f>
        <v>137.75179673598029</v>
      </c>
      <c r="T149" s="56">
        <f>73.4445265917763*Deflactores!$Q$5</f>
        <v>127.06687735119645</v>
      </c>
      <c r="U149" s="56">
        <f>184.88003834659*Deflactores!$R$5</f>
        <v>307.29389734879175</v>
      </c>
      <c r="V149" s="56">
        <f>187.80872071984*Deflactores!$S$5</f>
        <v>302.54093441578311</v>
      </c>
    </row>
    <row r="150" spans="3:22" x14ac:dyDescent="0.2">
      <c r="C150" s="88" t="s">
        <v>142</v>
      </c>
      <c r="D150" s="57">
        <f>72.1432941978*Deflactores!$A$5</f>
        <v>268.64092061193776</v>
      </c>
      <c r="E150" s="57">
        <f>249.53662304213*Deflactores!$B$5</f>
        <v>863.18383678088935</v>
      </c>
      <c r="F150" s="57">
        <f>74.18251846645*Deflactores!$C$5</f>
        <v>239.8390643944588</v>
      </c>
      <c r="G150" s="57">
        <f>68.86353317682*Deflactores!$D$5</f>
        <v>209.07074580233962</v>
      </c>
      <c r="H150" s="57">
        <f>175.65929373618*Deflactores!$E$5</f>
        <v>505.51617973031512</v>
      </c>
      <c r="I150" s="57">
        <f>46.2545895840999*Deflactores!$F$5</f>
        <v>126.94889651010422</v>
      </c>
      <c r="J150" s="57">
        <f>73.10848266336*Deflactores!$G$5</f>
        <v>192.05129192855028</v>
      </c>
      <c r="K150" s="57">
        <f>226.86724210535*Deflactores!$H$5</f>
        <v>563.85706306989573</v>
      </c>
      <c r="L150" s="57">
        <f>203.90240541028*Deflactores!$I$5</f>
        <v>470.65994256335699</v>
      </c>
      <c r="M150" s="57">
        <f>377.02139358179*Deflactores!$J$5</f>
        <v>853.18461006328369</v>
      </c>
      <c r="N150" s="57">
        <f>342.31544991336*Deflactores!$K$5</f>
        <v>750.83575205416219</v>
      </c>
      <c r="O150" s="57">
        <f>308.722264257149*Deflactores!$L$5</f>
        <v>652.82367306902927</v>
      </c>
      <c r="P150" s="57">
        <f>452.647862914306*Deflactores!$M$5</f>
        <v>934.36991893409481</v>
      </c>
      <c r="Q150" s="57">
        <f>269.4488480675*Deflactores!$N$5</f>
        <v>545.61974223419656</v>
      </c>
      <c r="R150" s="57">
        <f>249.14252009585*Deflactores!$O$5</f>
        <v>486.68772560505164</v>
      </c>
      <c r="S150" s="57">
        <f>218.742360832093*Deflactores!$P$5</f>
        <v>400.20839334999931</v>
      </c>
      <c r="T150" s="57">
        <f>303.24993715803*Deflactores!$Q$5</f>
        <v>524.65478858341544</v>
      </c>
      <c r="U150" s="57">
        <f>342.05446853245*Deflactores!$R$5</f>
        <v>568.53758621499617</v>
      </c>
      <c r="V150" s="57">
        <f>176.63934129665*Deflactores!$S$5</f>
        <v>284.54818905984638</v>
      </c>
    </row>
    <row r="151" spans="3:22" x14ac:dyDescent="0.2">
      <c r="C151" s="87" t="s">
        <v>143</v>
      </c>
      <c r="D151" s="56">
        <f>718.34812013482*Deflactores!$A$5</f>
        <v>2674.9222149985731</v>
      </c>
      <c r="E151" s="56">
        <f>463.112746190829*Deflactores!$B$5</f>
        <v>1601.9750217251387</v>
      </c>
      <c r="F151" s="56">
        <f>548.64166500979*Deflactores!$C$5</f>
        <v>1773.810142119635</v>
      </c>
      <c r="G151" s="56">
        <f>452.383238663089*Deflactores!$D$5</f>
        <v>1373.4424699487568</v>
      </c>
      <c r="H151" s="56">
        <f>536.4495049919*Deflactores!$E$5</f>
        <v>1543.8061864748861</v>
      </c>
      <c r="I151" s="56">
        <f>490.039366558809*Deflactores!$F$5</f>
        <v>1344.9466829241105</v>
      </c>
      <c r="J151" s="56">
        <f>41.04272188957*Deflactores!$G$5</f>
        <v>107.81659632373288</v>
      </c>
      <c r="K151" s="56">
        <f>131.67513412123*Deflactores!$H$5</f>
        <v>327.26608617410653</v>
      </c>
      <c r="L151" s="56">
        <f>81.63637765991*Deflactores!$I$5</f>
        <v>188.43805566286181</v>
      </c>
      <c r="M151" s="56">
        <f>46.1006452501199*Deflactores!$J$5</f>
        <v>104.32395007541307</v>
      </c>
      <c r="N151" s="56">
        <f>46.53746680118*Deflactores!$K$5</f>
        <v>102.07542164165656</v>
      </c>
      <c r="O151" s="56">
        <f>58.33011774961*Deflactores!$L$5</f>
        <v>123.34478632914985</v>
      </c>
      <c r="P151" s="56">
        <f>372.63120915797*Deflactores!$M$5</f>
        <v>769.19703199650735</v>
      </c>
      <c r="Q151" s="56">
        <f>120.82196444523*Deflactores!$N$5</f>
        <v>244.6581218277141</v>
      </c>
      <c r="R151" s="56">
        <f>113.03641629242*Deflactores!$O$5</f>
        <v>220.81110978061452</v>
      </c>
      <c r="S151" s="56">
        <f>130.74931893272*Deflactores!$P$5</f>
        <v>239.21738186704854</v>
      </c>
      <c r="T151" s="56">
        <f>76.61924449638*Deflactores!$Q$5</f>
        <v>132.55947849288719</v>
      </c>
      <c r="U151" s="56">
        <f>45.97055275536*Deflactores!$R$5</f>
        <v>76.408845680734174</v>
      </c>
      <c r="V151" s="56">
        <f>23.08989232168*Deflactores!$S$5</f>
        <v>37.195491092139285</v>
      </c>
    </row>
    <row r="152" spans="3:22" x14ac:dyDescent="0.2">
      <c r="C152" s="88" t="s">
        <v>144</v>
      </c>
      <c r="D152" s="57">
        <f>14.73981976564*Deflactores!$A$5</f>
        <v>54.886858099921874</v>
      </c>
      <c r="E152" s="57">
        <f>36.9019071491*Deflactores!$B$5</f>
        <v>127.64911782954765</v>
      </c>
      <c r="F152" s="57">
        <f>15.62194082882*Deflactores!$C$5</f>
        <v>50.507205064819978</v>
      </c>
      <c r="G152" s="57">
        <f>15.42717776738*Deflactores!$D$5</f>
        <v>46.837148961986379</v>
      </c>
      <c r="H152" s="57">
        <f>24.92414537975*Deflactores!$E$5</f>
        <v>71.727253864160971</v>
      </c>
      <c r="I152" s="57">
        <f>25.71910550014*Deflactores!$F$5</f>
        <v>70.587850672273163</v>
      </c>
      <c r="J152" s="57">
        <f>40.19750277736*Deflactores!$G$5</f>
        <v>105.59625996126061</v>
      </c>
      <c r="K152" s="57">
        <f>62.7475421650899*Deflactores!$H$5</f>
        <v>155.95307860106297</v>
      </c>
      <c r="L152" s="57">
        <f>66.64584190023*Deflactores!$I$5</f>
        <v>153.8359886325666</v>
      </c>
      <c r="M152" s="57">
        <f>66.84890307403*Deflactores!$J$5</f>
        <v>151.27644285788159</v>
      </c>
      <c r="N152" s="57">
        <f>57.07880841601*Deflactores!$K$5</f>
        <v>125.19683249539968</v>
      </c>
      <c r="O152" s="57">
        <f>39.60658874449*Deflactores!$L$5</f>
        <v>83.752037787516613</v>
      </c>
      <c r="P152" s="57">
        <f>44.1923291217699*Deflactores!$M$5</f>
        <v>91.223192159054236</v>
      </c>
      <c r="Q152" s="57">
        <f>181.58406608302*Deflactores!$N$5</f>
        <v>367.69818108569177</v>
      </c>
      <c r="R152" s="57">
        <f>192.71394876508*Deflactores!$O$5</f>
        <v>376.45727184890723</v>
      </c>
      <c r="S152" s="57">
        <f>147.0199113*Deflactores!$P$5</f>
        <v>268.98586203427243</v>
      </c>
      <c r="T152" s="57">
        <f>104.66538750656*Deflactores!$Q$5</f>
        <v>181.08230217254442</v>
      </c>
      <c r="U152" s="57">
        <f>173.59849377794*Deflactores!$R$5</f>
        <v>288.54255009887652</v>
      </c>
      <c r="V152" s="57">
        <f>151.81051551769*Deflactores!$S$5</f>
        <v>244.55145130016197</v>
      </c>
    </row>
    <row r="153" spans="3:22" x14ac:dyDescent="0.2">
      <c r="C153" s="87" t="s">
        <v>145</v>
      </c>
      <c r="D153" s="56">
        <f>5*Deflactores!$A$5</f>
        <v>18.618564871420155</v>
      </c>
      <c r="E153" s="56">
        <f>0*Deflactores!$B$5</f>
        <v>0</v>
      </c>
      <c r="F153" s="56">
        <f>0*Deflactores!$C$5</f>
        <v>0</v>
      </c>
      <c r="G153" s="56">
        <f>4.231592073*Deflactores!$D$5</f>
        <v>12.8471786128333</v>
      </c>
      <c r="H153" s="56">
        <f>9*Deflactores!$E$5</f>
        <v>25.900397985237714</v>
      </c>
      <c r="I153" s="56">
        <f>53.564999998*Deflactores!$F$5</f>
        <v>147.01281975372567</v>
      </c>
      <c r="J153" s="56">
        <f>77.870313147*Deflactores!$G$5</f>
        <v>204.56031499963296</v>
      </c>
      <c r="K153" s="56">
        <f>1.186812*Deflactores!$H$5</f>
        <v>2.9497089245936934</v>
      </c>
      <c r="L153" s="56">
        <f>91.638541191*Deflactores!$I$5</f>
        <v>211.52565830089711</v>
      </c>
      <c r="M153" s="56">
        <f>83.709612461*Deflactores!$J$5</f>
        <v>189.43156617077562</v>
      </c>
      <c r="N153" s="56">
        <f>50.805243269*Deflactores!$K$5</f>
        <v>111.43637556478717</v>
      </c>
      <c r="O153" s="56">
        <f>37.266349321*Deflactores!$L$5</f>
        <v>78.803370738899929</v>
      </c>
      <c r="P153" s="56">
        <f>37.101586*Deflactores!$M$5</f>
        <v>76.58625775884714</v>
      </c>
      <c r="Q153" s="56">
        <f>41.964350659*Deflactores!$N$5</f>
        <v>84.975602433650636</v>
      </c>
      <c r="R153" s="56">
        <f>44.960474493*Deflactores!$O$5</f>
        <v>87.828087572943332</v>
      </c>
      <c r="S153" s="56">
        <f>49.777656028*Deflactores!$P$5</f>
        <v>91.072600971818687</v>
      </c>
      <c r="T153" s="56">
        <f>35.162183767*Deflactores!$Q$5</f>
        <v>60.834334421619154</v>
      </c>
      <c r="U153" s="56">
        <f>48.930642*Deflactores!$R$5</f>
        <v>81.328886636050441</v>
      </c>
      <c r="V153" s="56">
        <f>35.5*Deflactores!$S$5</f>
        <v>57.186924710390791</v>
      </c>
    </row>
    <row r="154" spans="3:22" x14ac:dyDescent="0.2">
      <c r="C154" s="88" t="s">
        <v>146</v>
      </c>
      <c r="D154" s="57">
        <f>0*Deflactores!$A$5</f>
        <v>0</v>
      </c>
      <c r="E154" s="57">
        <f>0*Deflactores!$B$5</f>
        <v>0</v>
      </c>
      <c r="F154" s="57">
        <f>0*Deflactores!$C$5</f>
        <v>0</v>
      </c>
      <c r="G154" s="57">
        <f>0*Deflactores!$D$5</f>
        <v>0</v>
      </c>
      <c r="H154" s="57">
        <f>1.64328268986*Deflactores!$E$5</f>
        <v>4.7290750744028838</v>
      </c>
      <c r="I154" s="57">
        <f>1.00402834921*Deflactores!$F$5</f>
        <v>2.7556247313647289</v>
      </c>
      <c r="J154" s="57">
        <f>1.96082205932999*Deflactores!$G$5</f>
        <v>5.1509537062934569</v>
      </c>
      <c r="K154" s="57">
        <f>1.05676401976*Deflactores!$H$5</f>
        <v>2.6264869754228792</v>
      </c>
      <c r="L154" s="57">
        <f>5.53754744257*Deflactores!$I$5</f>
        <v>12.782104046382479</v>
      </c>
      <c r="M154" s="57">
        <f>6.94162539128*Deflactores!$J$5</f>
        <v>15.708625699989112</v>
      </c>
      <c r="N154" s="57">
        <f>4.35472897388*Deflactores!$K$5</f>
        <v>9.5516758151663836</v>
      </c>
      <c r="O154" s="57">
        <f>3.60323027886*Deflactores!$L$5</f>
        <v>7.6193857648038321</v>
      </c>
      <c r="P154" s="57">
        <f>11.72551146692*Deflactores!$M$5</f>
        <v>24.204168618555901</v>
      </c>
      <c r="Q154" s="57">
        <f>15.23695538346*Deflactores!$N$5</f>
        <v>30.854033069292434</v>
      </c>
      <c r="R154" s="57">
        <f>43.101420369326*Deflactores!$O$5</f>
        <v>84.19651628242454</v>
      </c>
      <c r="S154" s="57">
        <f>31.8925689150469*Deflactores!$P$5</f>
        <v>58.350260629638477</v>
      </c>
      <c r="T154" s="57">
        <f>59.877091563858*Deflactores!$Q$5</f>
        <v>103.59376529418638</v>
      </c>
      <c r="U154" s="57">
        <f>49.2473584113499*Deflactores!$R$5</f>
        <v>81.855309181547653</v>
      </c>
      <c r="V154" s="57">
        <f>57.533753142195*Deflactores!$S$5</f>
        <v>92.681081950673658</v>
      </c>
    </row>
    <row r="155" spans="3:22" x14ac:dyDescent="0.2">
      <c r="C155" s="90" t="s">
        <v>147</v>
      </c>
      <c r="D155" s="58">
        <f>579.15620646708*Deflactores!$A$5</f>
        <v>2156.6114801585868</v>
      </c>
      <c r="E155" s="58">
        <f>924.23795678313*Deflactores!$B$5</f>
        <v>3197.0748658400303</v>
      </c>
      <c r="F155" s="58">
        <f>794.69548149134*Deflactores!$C$5</f>
        <v>2569.3252898334504</v>
      </c>
      <c r="G155" s="58">
        <f>841.60074766939*Deflactores!$D$5</f>
        <v>2555.1128132105996</v>
      </c>
      <c r="H155" s="58">
        <f>1164.31856926683*Deflactores!$E$5</f>
        <v>3350.7015917348294</v>
      </c>
      <c r="I155" s="58">
        <f>1375.37473083747*Deflactores!$F$5</f>
        <v>3774.8103688226929</v>
      </c>
      <c r="J155" s="58">
        <f>1588.14908066955*Deflactores!$G$5</f>
        <v>4171.9657091253976</v>
      </c>
      <c r="K155" s="58">
        <f>1877.32902665088*Deflactores!$H$5</f>
        <v>4665.9236545559806</v>
      </c>
      <c r="L155" s="58">
        <f>1360.27276699383*Deflactores!$I$5</f>
        <v>3139.8643929461796</v>
      </c>
      <c r="M155" s="58">
        <f>1866.98506144765*Deflactores!$J$5</f>
        <v>4224.9138875447752</v>
      </c>
      <c r="N155" s="58">
        <f>2134.52650593609*Deflactores!$K$5</f>
        <v>4681.8769493743412</v>
      </c>
      <c r="O155" s="58">
        <f>3340.12039697677*Deflactores!$L$5</f>
        <v>7063.0139724257533</v>
      </c>
      <c r="P155" s="58">
        <f>3534.47523583205*Deflactores!$M$5</f>
        <v>7295.974664093751</v>
      </c>
      <c r="Q155" s="58">
        <f>4730.88851403224*Deflactores!$N$5</f>
        <v>9579.8003594298352</v>
      </c>
      <c r="R155" s="58">
        <f>6952.05482320144*Deflactores!$O$5</f>
        <v>13580.499020736595</v>
      </c>
      <c r="S155" s="58">
        <f>7336.6374039738*Deflactores!$P$5</f>
        <v>13423.023582934098</v>
      </c>
      <c r="T155" s="58">
        <f>7176.55670987544*Deflactores!$Q$5</f>
        <v>12416.209805888459</v>
      </c>
      <c r="U155" s="58">
        <f>3264.03734753853*Deflactores!$R$5</f>
        <v>5425.240964829276</v>
      </c>
      <c r="V155" s="58">
        <f>3474.10733394583*Deflactores!$S$5</f>
        <v>5596.4370293570882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12.311477938*Deflactores!$S$5</f>
        <v>19.832551039832204</v>
      </c>
    </row>
    <row r="157" spans="3:22" x14ac:dyDescent="0.2">
      <c r="C157" s="87" t="s">
        <v>149</v>
      </c>
      <c r="D157" s="56">
        <f>1.4*Deflactores!$A$5</f>
        <v>5.2131981639976432</v>
      </c>
      <c r="E157" s="56">
        <f>7*Deflactores!$B$5</f>
        <v>24.214028320989534</v>
      </c>
      <c r="F157" s="56">
        <f>0.39285276438*Deflactores!$C$5</f>
        <v>1.270129963251232</v>
      </c>
      <c r="G157" s="56">
        <f>0.24037830266*Deflactores!$D$5</f>
        <v>0.72979222374177133</v>
      </c>
      <c r="H157" s="56">
        <f>0.605019502299999*Deflactores!$E$5</f>
        <v>1.7411384331556021</v>
      </c>
      <c r="I157" s="56">
        <f>1.19005012462*Deflactores!$F$5</f>
        <v>3.2661742644486353</v>
      </c>
      <c r="J157" s="56">
        <f>1.1909191603*Deflactores!$G$5</f>
        <v>3.1284682021270616</v>
      </c>
      <c r="K157" s="56">
        <f>1.85255871349*Deflactores!$H$5</f>
        <v>4.6043593850713203</v>
      </c>
      <c r="L157" s="56">
        <f>2.07756559438999*Deflactores!$I$5</f>
        <v>4.7955633547317671</v>
      </c>
      <c r="M157" s="56">
        <f>3.25083365407*Deflactores!$J$5</f>
        <v>7.35650891632128</v>
      </c>
      <c r="N157" s="56">
        <f>12.10508124271*Deflactores!$K$5</f>
        <v>26.551322123635675</v>
      </c>
      <c r="O157" s="56">
        <f>21.07716692971*Deflactores!$L$5</f>
        <v>44.569748042147332</v>
      </c>
      <c r="P157" s="56">
        <f>10.22514384*Deflactores!$M$5</f>
        <v>21.107062694072646</v>
      </c>
      <c r="Q157" s="56">
        <f>7.46810089391*Deflactores!$N$5</f>
        <v>15.122511430048412</v>
      </c>
      <c r="R157" s="56">
        <f>8.77081637539999*Deflactores!$O$5</f>
        <v>17.133360743885593</v>
      </c>
      <c r="S157" s="56">
        <f>10.7874658484*Deflactores!$P$5</f>
        <v>19.73661781414194</v>
      </c>
      <c r="T157" s="56">
        <f>13.68266981318*Deflactores!$Q$5</f>
        <v>23.672480546466435</v>
      </c>
      <c r="U157" s="56">
        <f>15.94363078064*Deflactores!$R$5</f>
        <v>26.500321420792211</v>
      </c>
      <c r="V157" s="56">
        <f>14.59334839455*Deflactores!$S$5</f>
        <v>23.50841453272206</v>
      </c>
    </row>
    <row r="158" spans="3:22" x14ac:dyDescent="0.2">
      <c r="C158" s="88" t="s">
        <v>150</v>
      </c>
      <c r="D158" s="57">
        <f>389.28009322888*Deflactores!$A$5</f>
        <v>1449.5673337868777</v>
      </c>
      <c r="E158" s="57">
        <f>636.7866947577*Deflactores!$B$5</f>
        <v>2202.7387230417526</v>
      </c>
      <c r="F158" s="57">
        <f>384.152056493749*Deflactores!$C$5</f>
        <v>1241.9997557286645</v>
      </c>
      <c r="G158" s="57">
        <f>253.18281360593*Deflactores!$D$5</f>
        <v>768.66691589888137</v>
      </c>
      <c r="H158" s="57">
        <f>410.63244375913*Deflactores!$E$5</f>
        <v>1181.7270798902455</v>
      </c>
      <c r="I158" s="57">
        <f>786.94763288512*Deflactores!$F$5</f>
        <v>2159.8318027309042</v>
      </c>
      <c r="J158" s="57">
        <f>1082.32454316045*Deflactores!$G$5</f>
        <v>2843.1971123935959</v>
      </c>
      <c r="K158" s="57">
        <f>1964.30486009593*Deflactores!$H$5</f>
        <v>4882.0938585451877</v>
      </c>
      <c r="L158" s="57">
        <f>1495.12262935347*Deflactores!$I$5</f>
        <v>3451.1330527991986</v>
      </c>
      <c r="M158" s="57">
        <f>2484.8932481677*Deflactores!$J$5</f>
        <v>5623.2158521448018</v>
      </c>
      <c r="N158" s="57">
        <f>2296.47527139386*Deflactores!$K$5</f>
        <v>5037.0958655450959</v>
      </c>
      <c r="O158" s="57">
        <f>3672.93118133923*Deflactores!$L$5</f>
        <v>7766.7751967976847</v>
      </c>
      <c r="P158" s="57">
        <f>5979.17489402802*Deflactores!$M$5</f>
        <v>12342.400392782602</v>
      </c>
      <c r="Q158" s="57">
        <f>6657.83678635304*Deflactores!$N$5</f>
        <v>13481.769238431769</v>
      </c>
      <c r="R158" s="57">
        <f>5407.37970216242*Deflactores!$O$5</f>
        <v>10563.051733264483</v>
      </c>
      <c r="S158" s="57">
        <f>4635.33148163768*Deflactores!$P$5</f>
        <v>8480.7467463280427</v>
      </c>
      <c r="T158" s="57">
        <f>3633.56916808376*Deflactores!$Q$5</f>
        <v>6286.4628482701128</v>
      </c>
      <c r="U158" s="57">
        <f>2976.41942565224*Deflactores!$R$5</f>
        <v>4947.1837718828501</v>
      </c>
      <c r="V158" s="57">
        <f>2168.15310206786*Deflactores!$S$5</f>
        <v>3492.6762875649279</v>
      </c>
    </row>
    <row r="159" spans="3:22" x14ac:dyDescent="0.2">
      <c r="C159" s="87" t="s">
        <v>151</v>
      </c>
      <c r="D159" s="56">
        <f>98.401040084*Deflactores!$A$5</f>
        <v>366.41722964383382</v>
      </c>
      <c r="E159" s="56">
        <f>21.5347804415*Deflactores!$B$5</f>
        <v>74.4919690709675</v>
      </c>
      <c r="F159" s="56">
        <f>61.6432470564*Deflactores!$C$5</f>
        <v>199.29841970692749</v>
      </c>
      <c r="G159" s="56">
        <f>37.7819633763*Deflactores!$D$5</f>
        <v>114.70662187310805</v>
      </c>
      <c r="H159" s="56">
        <f>11.2291030325*Deflactores!$E$5</f>
        <v>32.315359728776635</v>
      </c>
      <c r="I159" s="56">
        <f>41.03221104073*Deflactores!$F$5</f>
        <v>112.61572007939705</v>
      </c>
      <c r="J159" s="56">
        <f>125.64485526255*Deflactores!$G$5</f>
        <v>330.06097101563665</v>
      </c>
      <c r="K159" s="56">
        <f>325.9551277969*Deflactores!$H$5</f>
        <v>810.1306268217661</v>
      </c>
      <c r="L159" s="56">
        <f>389.407859120639*Deflactores!$I$5</f>
        <v>898.85492149372908</v>
      </c>
      <c r="M159" s="56">
        <f>650.05388572466*Deflactores!$J$5</f>
        <v>1471.0464192579022</v>
      </c>
      <c r="N159" s="56">
        <f>306.21313702589*Deflactores!$K$5</f>
        <v>671.64882883869245</v>
      </c>
      <c r="O159" s="56">
        <f>637.29823071676*Deflactores!$L$5</f>
        <v>1347.6299573598853</v>
      </c>
      <c r="P159" s="56">
        <f>1657.54176837605*Deflactores!$M$5</f>
        <v>3421.5497180876164</v>
      </c>
      <c r="Q159" s="56">
        <f>2016.43837959365*Deflactores!$N$5</f>
        <v>4083.1816383546516</v>
      </c>
      <c r="R159" s="56">
        <f>2151.24944030729*Deflactores!$O$5</f>
        <v>4202.3605481292361</v>
      </c>
      <c r="S159" s="56">
        <f>2217.50120484273*Deflactores!$P$5</f>
        <v>4057.1135424610989</v>
      </c>
      <c r="T159" s="56">
        <f>1425.55479938684*Deflactores!$Q$5</f>
        <v>2466.3621001728898</v>
      </c>
      <c r="U159" s="56">
        <f>1825.77093120336*Deflactores!$R$5</f>
        <v>3034.6611247658334</v>
      </c>
      <c r="V159" s="56">
        <f>347.66261301993*Deflactores!$S$5</f>
        <v>560.04945564474554</v>
      </c>
    </row>
    <row r="160" spans="3:22" x14ac:dyDescent="0.2">
      <c r="C160" s="79" t="s">
        <v>202</v>
      </c>
      <c r="D160" s="44">
        <f t="shared" ref="D160:V160" si="32">+SUM(D131:D159)</f>
        <v>14086.131561267448</v>
      </c>
      <c r="E160" s="44">
        <f t="shared" si="32"/>
        <v>18849.517642408129</v>
      </c>
      <c r="F160" s="44">
        <f t="shared" si="32"/>
        <v>13012.775365480586</v>
      </c>
      <c r="G160" s="44">
        <f t="shared" si="32"/>
        <v>12275.399049756721</v>
      </c>
      <c r="H160" s="44">
        <f t="shared" si="32"/>
        <v>14385.815543168957</v>
      </c>
      <c r="I160" s="44">
        <f t="shared" si="32"/>
        <v>16764.536876911043</v>
      </c>
      <c r="J160" s="44">
        <f t="shared" si="32"/>
        <v>17495.534268719042</v>
      </c>
      <c r="K160" s="44">
        <f t="shared" si="32"/>
        <v>31012.932621627137</v>
      </c>
      <c r="L160" s="44">
        <f t="shared" si="32"/>
        <v>31910.353492304243</v>
      </c>
      <c r="M160" s="44">
        <f t="shared" si="32"/>
        <v>45653.080762778009</v>
      </c>
      <c r="N160" s="44">
        <f t="shared" si="32"/>
        <v>31434.579293535633</v>
      </c>
      <c r="O160" s="44">
        <f t="shared" si="32"/>
        <v>45482.292534933018</v>
      </c>
      <c r="P160" s="44">
        <f t="shared" si="32"/>
        <v>53096.660381790578</v>
      </c>
      <c r="Q160" s="44">
        <f t="shared" si="32"/>
        <v>62124.705299064299</v>
      </c>
      <c r="R160" s="44">
        <f t="shared" si="32"/>
        <v>65783.800776573742</v>
      </c>
      <c r="S160" s="44">
        <f t="shared" si="32"/>
        <v>63497.192562933174</v>
      </c>
      <c r="T160" s="44">
        <f t="shared" si="32"/>
        <v>49258.636931136389</v>
      </c>
      <c r="U160" s="44">
        <f t="shared" si="32"/>
        <v>46299.070049144742</v>
      </c>
      <c r="V160" s="44">
        <f t="shared" si="32"/>
        <v>37744.39165392147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55" t="s">
        <v>214</v>
      </c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ht="11.25" hidden="1" customHeight="1" x14ac:dyDescent="0.2">
      <c r="H166" s="27"/>
      <c r="I166" s="27"/>
      <c r="J166" s="27"/>
      <c r="L166" s="177"/>
      <c r="M166" s="156"/>
      <c r="N166" s="156"/>
      <c r="O166" s="156"/>
      <c r="P166" s="156"/>
      <c r="Q166" s="156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76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60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80.438558213256968</v>
      </c>
      <c r="E170" s="60">
        <f t="shared" si="33"/>
        <v>54.693420051864848</v>
      </c>
      <c r="F170" s="60">
        <f t="shared" si="33"/>
        <v>47.310694276030183</v>
      </c>
      <c r="G170" s="60">
        <f t="shared" si="33"/>
        <v>56.077363616829324</v>
      </c>
      <c r="H170" s="60">
        <f t="shared" si="33"/>
        <v>67.150339754631005</v>
      </c>
      <c r="I170" s="60">
        <f t="shared" si="33"/>
        <v>80.144423283681391</v>
      </c>
      <c r="J170" s="60">
        <f t="shared" si="33"/>
        <v>81.229034877431133</v>
      </c>
      <c r="K170" s="60">
        <f t="shared" si="33"/>
        <v>93.086074140279266</v>
      </c>
      <c r="L170" s="60">
        <f t="shared" si="33"/>
        <v>96.619289675633127</v>
      </c>
      <c r="M170" s="60">
        <f t="shared" si="33"/>
        <v>85.395679239000401</v>
      </c>
      <c r="N170" s="60">
        <f t="shared" si="33"/>
        <v>77.410342190101659</v>
      </c>
      <c r="O170" s="60">
        <f t="shared" si="33"/>
        <v>75.040030051955881</v>
      </c>
      <c r="P170" s="60">
        <f t="shared" si="33"/>
        <v>84.693499682820644</v>
      </c>
      <c r="Q170" s="60">
        <f t="shared" si="33"/>
        <v>83.087417641908161</v>
      </c>
      <c r="R170" s="60">
        <f t="shared" si="33"/>
        <v>91.840362305083715</v>
      </c>
      <c r="S170" s="60">
        <f t="shared" si="33"/>
        <v>87.000609612843803</v>
      </c>
      <c r="T170" s="60">
        <f t="shared" si="33"/>
        <v>77.161570199287098</v>
      </c>
      <c r="U170" s="60">
        <f t="shared" si="33"/>
        <v>90.577749704169378</v>
      </c>
      <c r="V170" s="60">
        <f t="shared" si="33"/>
        <v>52.008810771314003</v>
      </c>
    </row>
    <row r="171" spans="2:22" x14ac:dyDescent="0.2">
      <c r="C171" s="88" t="s">
        <v>124</v>
      </c>
      <c r="D171" s="62">
        <f t="shared" ref="D171:V171" si="34">+IFERROR(IF(D132&gt;0,+((D132/D14)*100)," "),"")</f>
        <v>44.549585221235496</v>
      </c>
      <c r="E171" s="62">
        <f t="shared" si="34"/>
        <v>54.578359636450337</v>
      </c>
      <c r="F171" s="62">
        <f t="shared" si="34"/>
        <v>51.275557866993019</v>
      </c>
      <c r="G171" s="62">
        <f t="shared" si="34"/>
        <v>57.987133582687441</v>
      </c>
      <c r="H171" s="62">
        <f t="shared" si="34"/>
        <v>21.153570443337021</v>
      </c>
      <c r="I171" s="62">
        <f t="shared" si="34"/>
        <v>36.440187932390238</v>
      </c>
      <c r="J171" s="62">
        <f t="shared" si="34"/>
        <v>39.178145278318041</v>
      </c>
      <c r="K171" s="62">
        <f t="shared" si="34"/>
        <v>94.808203678374653</v>
      </c>
      <c r="L171" s="62">
        <f t="shared" si="34"/>
        <v>93.51601712408015</v>
      </c>
      <c r="M171" s="62">
        <f t="shared" si="34"/>
        <v>78.735710400238219</v>
      </c>
      <c r="N171" s="62">
        <f t="shared" si="34"/>
        <v>83.588175108335932</v>
      </c>
      <c r="O171" s="62">
        <f t="shared" si="34"/>
        <v>84.270966338117177</v>
      </c>
      <c r="P171" s="62">
        <f t="shared" si="34"/>
        <v>75.292829967771283</v>
      </c>
      <c r="Q171" s="62">
        <f t="shared" si="34"/>
        <v>54.396163685225218</v>
      </c>
      <c r="R171" s="62">
        <f t="shared" si="34"/>
        <v>54.667150631641888</v>
      </c>
      <c r="S171" s="62">
        <f t="shared" si="34"/>
        <v>50.501006474218826</v>
      </c>
      <c r="T171" s="62">
        <f t="shared" si="34"/>
        <v>53.1473649565242</v>
      </c>
      <c r="U171" s="62">
        <f t="shared" si="34"/>
        <v>56.200388511535493</v>
      </c>
      <c r="V171" s="62">
        <f t="shared" si="34"/>
        <v>53.359201584842978</v>
      </c>
    </row>
    <row r="172" spans="2:22" x14ac:dyDescent="0.2">
      <c r="C172" s="87" t="s">
        <v>125</v>
      </c>
      <c r="D172" s="60">
        <f t="shared" ref="D172:V172" si="35">+IFERROR(IF(D133&gt;0,+((D133/D15)*100)," "),"")</f>
        <v>64.104460357979349</v>
      </c>
      <c r="E172" s="60">
        <f t="shared" si="35"/>
        <v>51.928768749157804</v>
      </c>
      <c r="F172" s="60">
        <f t="shared" si="35"/>
        <v>27.848722067416581</v>
      </c>
      <c r="G172" s="60">
        <f t="shared" si="35"/>
        <v>24.225124449428922</v>
      </c>
      <c r="H172" s="60">
        <f t="shared" si="35"/>
        <v>56.75939133023715</v>
      </c>
      <c r="I172" s="60">
        <f t="shared" si="35"/>
        <v>51.467405519330825</v>
      </c>
      <c r="J172" s="60">
        <f t="shared" si="35"/>
        <v>48.942487004883461</v>
      </c>
      <c r="K172" s="60">
        <f t="shared" si="35"/>
        <v>92.341058568708021</v>
      </c>
      <c r="L172" s="60">
        <f t="shared" si="35"/>
        <v>95.633057027187803</v>
      </c>
      <c r="M172" s="60">
        <f t="shared" si="35"/>
        <v>81.256569291989209</v>
      </c>
      <c r="N172" s="60">
        <f t="shared" si="35"/>
        <v>93.866548012097766</v>
      </c>
      <c r="O172" s="60">
        <f t="shared" si="35"/>
        <v>95.235448712212673</v>
      </c>
      <c r="P172" s="60">
        <f t="shared" si="35"/>
        <v>91.692770258591779</v>
      </c>
      <c r="Q172" s="60">
        <f t="shared" si="35"/>
        <v>96.575461161576214</v>
      </c>
      <c r="R172" s="60">
        <f t="shared" si="35"/>
        <v>94.96817664683158</v>
      </c>
      <c r="S172" s="60">
        <f t="shared" si="35"/>
        <v>98.468155598670265</v>
      </c>
      <c r="T172" s="60">
        <f t="shared" si="35"/>
        <v>98.750892667861848</v>
      </c>
      <c r="U172" s="60">
        <f t="shared" si="35"/>
        <v>99.939707188785704</v>
      </c>
      <c r="V172" s="60">
        <f t="shared" si="35"/>
        <v>79.425433055381617</v>
      </c>
    </row>
    <row r="173" spans="2:22" x14ac:dyDescent="0.2">
      <c r="C173" s="88" t="s">
        <v>126</v>
      </c>
      <c r="D173" s="62">
        <f t="shared" ref="D173:V173" si="36">+IFERROR(IF(D134&gt;0,+((D134/D16)*100)," "),"")</f>
        <v>55.043768387950919</v>
      </c>
      <c r="E173" s="62">
        <f t="shared" si="36"/>
        <v>48.959972188242475</v>
      </c>
      <c r="F173" s="62">
        <f t="shared" si="36"/>
        <v>35.091312662422958</v>
      </c>
      <c r="G173" s="62">
        <f t="shared" si="36"/>
        <v>50.28918450841158</v>
      </c>
      <c r="H173" s="62">
        <f t="shared" si="36"/>
        <v>34.17880858179096</v>
      </c>
      <c r="I173" s="62">
        <f t="shared" si="36"/>
        <v>35.567500788557425</v>
      </c>
      <c r="J173" s="62">
        <f t="shared" si="36"/>
        <v>49.964889835026867</v>
      </c>
      <c r="K173" s="62">
        <f t="shared" si="36"/>
        <v>89.672832590575368</v>
      </c>
      <c r="L173" s="62">
        <f t="shared" si="36"/>
        <v>95.929795067278079</v>
      </c>
      <c r="M173" s="62">
        <f t="shared" si="36"/>
        <v>88.876275181739345</v>
      </c>
      <c r="N173" s="62">
        <f t="shared" si="36"/>
        <v>91.398184667023401</v>
      </c>
      <c r="O173" s="62">
        <f t="shared" si="36"/>
        <v>92.717257371579691</v>
      </c>
      <c r="P173" s="62">
        <f t="shared" si="36"/>
        <v>97.301829360009933</v>
      </c>
      <c r="Q173" s="62">
        <f t="shared" si="36"/>
        <v>93.628747557674401</v>
      </c>
      <c r="R173" s="62">
        <f t="shared" si="36"/>
        <v>95.83071115835628</v>
      </c>
      <c r="S173" s="62">
        <f t="shared" si="36"/>
        <v>96.254158520217942</v>
      </c>
      <c r="T173" s="62">
        <f t="shared" si="36"/>
        <v>98.669484750385138</v>
      </c>
      <c r="U173" s="62">
        <f t="shared" si="36"/>
        <v>98.619612862797069</v>
      </c>
      <c r="V173" s="62">
        <f t="shared" si="36"/>
        <v>46.604033769936159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>
        <f t="shared" si="37"/>
        <v>43.660191764705885</v>
      </c>
      <c r="H174" s="60" t="str">
        <f t="shared" si="37"/>
        <v xml:space="preserve"> </v>
      </c>
      <c r="I174" s="60">
        <f t="shared" si="37"/>
        <v>51.065452319999991</v>
      </c>
      <c r="J174" s="60">
        <f t="shared" si="37"/>
        <v>89.18994233411766</v>
      </c>
      <c r="K174" s="60">
        <f t="shared" si="37"/>
        <v>93.492191331942436</v>
      </c>
      <c r="L174" s="60">
        <f t="shared" si="37"/>
        <v>71.252610513821992</v>
      </c>
      <c r="M174" s="60">
        <f t="shared" si="37"/>
        <v>48.70456733147541</v>
      </c>
      <c r="N174" s="60">
        <f t="shared" si="37"/>
        <v>66.661658727225003</v>
      </c>
      <c r="O174" s="60">
        <f t="shared" si="37"/>
        <v>27.939514284000001</v>
      </c>
      <c r="P174" s="60">
        <f t="shared" si="37"/>
        <v>12.418999828489419</v>
      </c>
      <c r="Q174" s="60">
        <f t="shared" si="37"/>
        <v>58.007980926966198</v>
      </c>
      <c r="R174" s="60">
        <f t="shared" si="37"/>
        <v>83.064423898218493</v>
      </c>
      <c r="S174" s="60">
        <f t="shared" si="37"/>
        <v>94.475704184733573</v>
      </c>
      <c r="T174" s="60">
        <f t="shared" si="37"/>
        <v>94.677585228277508</v>
      </c>
      <c r="U174" s="60">
        <f t="shared" si="37"/>
        <v>93.474552255921125</v>
      </c>
      <c r="V174" s="60">
        <f t="shared" si="37"/>
        <v>65.555159428505732</v>
      </c>
    </row>
    <row r="175" spans="2:22" x14ac:dyDescent="0.2">
      <c r="C175" s="88" t="s">
        <v>128</v>
      </c>
      <c r="D175" s="62">
        <f t="shared" ref="D175:V175" si="38">+IFERROR(IF(D136&gt;0,+((D136/D18)*100)," "),"")</f>
        <v>43.593564012769889</v>
      </c>
      <c r="E175" s="62">
        <f t="shared" si="38"/>
        <v>65.167137538102622</v>
      </c>
      <c r="F175" s="62">
        <f t="shared" si="38"/>
        <v>54.933899251248022</v>
      </c>
      <c r="G175" s="62">
        <f t="shared" si="38"/>
        <v>70.491731586141967</v>
      </c>
      <c r="H175" s="62">
        <f t="shared" si="38"/>
        <v>65.698966909035775</v>
      </c>
      <c r="I175" s="62">
        <f t="shared" si="38"/>
        <v>81.781312062812006</v>
      </c>
      <c r="J175" s="62">
        <f t="shared" si="38"/>
        <v>85.602872361675949</v>
      </c>
      <c r="K175" s="62">
        <f t="shared" si="38"/>
        <v>79.429192662800929</v>
      </c>
      <c r="L175" s="62">
        <f t="shared" si="38"/>
        <v>88.32579252747388</v>
      </c>
      <c r="M175" s="62">
        <f t="shared" si="38"/>
        <v>83.694948646422276</v>
      </c>
      <c r="N175" s="62">
        <f t="shared" si="38"/>
        <v>86.691675252942957</v>
      </c>
      <c r="O175" s="62">
        <f t="shared" si="38"/>
        <v>83.546737672889563</v>
      </c>
      <c r="P175" s="62">
        <f t="shared" si="38"/>
        <v>91.940354480954767</v>
      </c>
      <c r="Q175" s="62">
        <f t="shared" si="38"/>
        <v>92.816751744973615</v>
      </c>
      <c r="R175" s="62">
        <f t="shared" si="38"/>
        <v>96.557874128955461</v>
      </c>
      <c r="S175" s="62">
        <f t="shared" si="38"/>
        <v>98.014879562883493</v>
      </c>
      <c r="T175" s="62">
        <f t="shared" si="38"/>
        <v>97.172465184993371</v>
      </c>
      <c r="U175" s="62">
        <f t="shared" si="38"/>
        <v>86.926832131811722</v>
      </c>
      <c r="V175" s="62">
        <f t="shared" si="38"/>
        <v>78.573036629005415</v>
      </c>
    </row>
    <row r="176" spans="2:22" x14ac:dyDescent="0.2">
      <c r="C176" s="87" t="s">
        <v>129</v>
      </c>
      <c r="D176" s="60">
        <f t="shared" ref="D176:V176" si="39">+IFERROR(IF(D137&gt;0,+((D137/D19)*100)," "),"")</f>
        <v>78.246981851758321</v>
      </c>
      <c r="E176" s="60">
        <f t="shared" si="39"/>
        <v>55.367476482110945</v>
      </c>
      <c r="F176" s="60">
        <f t="shared" si="39"/>
        <v>58.843875691196281</v>
      </c>
      <c r="G176" s="60">
        <f t="shared" si="39"/>
        <v>52.939529982733966</v>
      </c>
      <c r="H176" s="60">
        <f t="shared" si="39"/>
        <v>55.358261799050368</v>
      </c>
      <c r="I176" s="60">
        <f t="shared" si="39"/>
        <v>56.189640146193298</v>
      </c>
      <c r="J176" s="60">
        <f t="shared" si="39"/>
        <v>68.753196852697087</v>
      </c>
      <c r="K176" s="60">
        <f t="shared" si="39"/>
        <v>93.116299920217415</v>
      </c>
      <c r="L176" s="60">
        <f t="shared" si="39"/>
        <v>93.495893337057652</v>
      </c>
      <c r="M176" s="60">
        <f t="shared" si="39"/>
        <v>85.894843520598869</v>
      </c>
      <c r="N176" s="60">
        <f t="shared" si="39"/>
        <v>78.125062962037646</v>
      </c>
      <c r="O176" s="60">
        <f t="shared" si="39"/>
        <v>81.972085636569744</v>
      </c>
      <c r="P176" s="60">
        <f t="shared" si="39"/>
        <v>91.109329686587472</v>
      </c>
      <c r="Q176" s="60">
        <f t="shared" si="39"/>
        <v>90.115572251682281</v>
      </c>
      <c r="R176" s="60">
        <f t="shared" si="39"/>
        <v>82.110806214206761</v>
      </c>
      <c r="S176" s="60">
        <f t="shared" si="39"/>
        <v>88.478785651387909</v>
      </c>
      <c r="T176" s="60">
        <f t="shared" si="39"/>
        <v>88.821444655698613</v>
      </c>
      <c r="U176" s="60">
        <f t="shared" si="39"/>
        <v>87.737225577556387</v>
      </c>
      <c r="V176" s="60">
        <f t="shared" si="39"/>
        <v>66.948818235605273</v>
      </c>
    </row>
    <row r="177" spans="3:22" x14ac:dyDescent="0.2">
      <c r="C177" s="88" t="s">
        <v>130</v>
      </c>
      <c r="D177" s="62">
        <f t="shared" ref="D177:V177" si="40">+IFERROR(IF(D138&gt;0,+((D138/D20)*100)," "),"")</f>
        <v>82.945914155517286</v>
      </c>
      <c r="E177" s="62">
        <f t="shared" si="40"/>
        <v>59.754314631537163</v>
      </c>
      <c r="F177" s="62">
        <f t="shared" si="40"/>
        <v>65.283186566996179</v>
      </c>
      <c r="G177" s="62">
        <f t="shared" si="40"/>
        <v>48.876959855710609</v>
      </c>
      <c r="H177" s="62">
        <f t="shared" si="40"/>
        <v>85.026492877762053</v>
      </c>
      <c r="I177" s="62">
        <f t="shared" si="40"/>
        <v>87.586082234449776</v>
      </c>
      <c r="J177" s="62">
        <f t="shared" si="40"/>
        <v>92.862818928030123</v>
      </c>
      <c r="K177" s="62">
        <f t="shared" si="40"/>
        <v>90.527628303634771</v>
      </c>
      <c r="L177" s="62">
        <f t="shared" si="40"/>
        <v>93.212292310879064</v>
      </c>
      <c r="M177" s="62">
        <f t="shared" si="40"/>
        <v>84.687180714553477</v>
      </c>
      <c r="N177" s="62">
        <f t="shared" si="40"/>
        <v>87.106883832014134</v>
      </c>
      <c r="O177" s="62">
        <f t="shared" si="40"/>
        <v>84.246218008829814</v>
      </c>
      <c r="P177" s="62">
        <f t="shared" si="40"/>
        <v>84.805898209628168</v>
      </c>
      <c r="Q177" s="62">
        <f t="shared" si="40"/>
        <v>88.273391390315979</v>
      </c>
      <c r="R177" s="62">
        <f t="shared" si="40"/>
        <v>88.644324158159506</v>
      </c>
      <c r="S177" s="62">
        <f t="shared" si="40"/>
        <v>85.882842038393306</v>
      </c>
      <c r="T177" s="62">
        <f t="shared" si="40"/>
        <v>65.824877622423841</v>
      </c>
      <c r="U177" s="62">
        <f t="shared" si="40"/>
        <v>77.907867147495409</v>
      </c>
      <c r="V177" s="62">
        <f t="shared" si="40"/>
        <v>68.995934225392048</v>
      </c>
    </row>
    <row r="178" spans="3:22" x14ac:dyDescent="0.2">
      <c r="C178" s="87" t="s">
        <v>131</v>
      </c>
      <c r="D178" s="60">
        <f t="shared" ref="D178:V178" si="41">+IFERROR(IF(D139&gt;0,+((D139/D21)*100)," "),"")</f>
        <v>73.641535220755173</v>
      </c>
      <c r="E178" s="60">
        <f t="shared" si="41"/>
        <v>35.971568809527</v>
      </c>
      <c r="F178" s="60">
        <f t="shared" si="41"/>
        <v>53.810011022842552</v>
      </c>
      <c r="G178" s="60">
        <f t="shared" si="41"/>
        <v>73.80918641292044</v>
      </c>
      <c r="H178" s="60">
        <f t="shared" si="41"/>
        <v>49.447461476723049</v>
      </c>
      <c r="I178" s="60">
        <f t="shared" si="41"/>
        <v>51.728694349903456</v>
      </c>
      <c r="J178" s="60">
        <f t="shared" si="41"/>
        <v>52.661727409660308</v>
      </c>
      <c r="K178" s="60">
        <f t="shared" si="41"/>
        <v>91.898190802415314</v>
      </c>
      <c r="L178" s="60">
        <f t="shared" si="41"/>
        <v>88.109640102430291</v>
      </c>
      <c r="M178" s="60">
        <f t="shared" si="41"/>
        <v>85.574045081659051</v>
      </c>
      <c r="N178" s="60">
        <f t="shared" si="41"/>
        <v>84.320870470415059</v>
      </c>
      <c r="O178" s="60">
        <f t="shared" si="41"/>
        <v>87.250122235320816</v>
      </c>
      <c r="P178" s="60">
        <f t="shared" si="41"/>
        <v>77.342123343266778</v>
      </c>
      <c r="Q178" s="60">
        <f t="shared" si="41"/>
        <v>92.704204328704222</v>
      </c>
      <c r="R178" s="60">
        <f t="shared" si="41"/>
        <v>96.05843304592284</v>
      </c>
      <c r="S178" s="60">
        <f t="shared" si="41"/>
        <v>97.645735975594846</v>
      </c>
      <c r="T178" s="60">
        <f t="shared" si="41"/>
        <v>97.905208706535845</v>
      </c>
      <c r="U178" s="60">
        <f t="shared" si="41"/>
        <v>98.3223742226795</v>
      </c>
      <c r="V178" s="60">
        <f t="shared" si="41"/>
        <v>93.88655561100316</v>
      </c>
    </row>
    <row r="179" spans="3:22" x14ac:dyDescent="0.2">
      <c r="C179" s="88" t="s">
        <v>132</v>
      </c>
      <c r="D179" s="62" t="str">
        <f t="shared" ref="D179:V179" si="42">+IFERROR(IF(D140&gt;0,+((D140/D22)*100)," "),"")</f>
        <v xml:space="preserve"> </v>
      </c>
      <c r="E179" s="62" t="str">
        <f t="shared" si="42"/>
        <v xml:space="preserve"> </v>
      </c>
      <c r="F179" s="62" t="str">
        <f t="shared" si="42"/>
        <v xml:space="preserve"> </v>
      </c>
      <c r="G179" s="62" t="str">
        <f t="shared" si="42"/>
        <v xml:space="preserve"> </v>
      </c>
      <c r="H179" s="62">
        <f t="shared" si="42"/>
        <v>52.719748479499998</v>
      </c>
      <c r="I179" s="62">
        <f t="shared" si="42"/>
        <v>9.5599208460129752</v>
      </c>
      <c r="J179" s="62" t="str">
        <f t="shared" si="42"/>
        <v xml:space="preserve"> </v>
      </c>
      <c r="K179" s="62">
        <f t="shared" si="42"/>
        <v>96.20492919946355</v>
      </c>
      <c r="L179" s="62">
        <f t="shared" si="42"/>
        <v>100</v>
      </c>
      <c r="M179" s="62">
        <f t="shared" si="42"/>
        <v>99.999999881807682</v>
      </c>
      <c r="N179" s="62">
        <f t="shared" si="42"/>
        <v>59.465050527990911</v>
      </c>
      <c r="O179" s="62">
        <f t="shared" si="42"/>
        <v>82.331802514000003</v>
      </c>
      <c r="P179" s="62">
        <f t="shared" si="42"/>
        <v>93.995714264589139</v>
      </c>
      <c r="Q179" s="62">
        <f t="shared" si="42"/>
        <v>97.183690983037224</v>
      </c>
      <c r="R179" s="62">
        <f t="shared" si="42"/>
        <v>90.143183422492214</v>
      </c>
      <c r="S179" s="62">
        <f t="shared" si="42"/>
        <v>93.115772389997602</v>
      </c>
      <c r="T179" s="62">
        <f t="shared" si="42"/>
        <v>97.084015825936234</v>
      </c>
      <c r="U179" s="62">
        <f t="shared" si="42"/>
        <v>85.500739057001653</v>
      </c>
      <c r="V179" s="62">
        <f t="shared" si="42"/>
        <v>74.092202279606184</v>
      </c>
    </row>
    <row r="180" spans="3:22" x14ac:dyDescent="0.2">
      <c r="C180" s="87" t="s">
        <v>133</v>
      </c>
      <c r="D180" s="60">
        <f t="shared" ref="D180:V180" si="43">+IFERROR(IF(D141&gt;0,+((D141/D23)*100)," "),"")</f>
        <v>66.856704083298837</v>
      </c>
      <c r="E180" s="60">
        <f t="shared" si="43"/>
        <v>65.010719876315108</v>
      </c>
      <c r="F180" s="60">
        <f t="shared" si="43"/>
        <v>31.493231730364691</v>
      </c>
      <c r="G180" s="60">
        <f t="shared" si="43"/>
        <v>61.661162158306048</v>
      </c>
      <c r="H180" s="60">
        <f t="shared" si="43"/>
        <v>69.967833428159835</v>
      </c>
      <c r="I180" s="60">
        <f t="shared" si="43"/>
        <v>70.897109774486637</v>
      </c>
      <c r="J180" s="60">
        <f t="shared" si="43"/>
        <v>50.311222933874568</v>
      </c>
      <c r="K180" s="60">
        <f t="shared" si="43"/>
        <v>87.707316619772143</v>
      </c>
      <c r="L180" s="60">
        <f t="shared" si="43"/>
        <v>66.552498215502297</v>
      </c>
      <c r="M180" s="60">
        <f t="shared" si="43"/>
        <v>62.513708551280132</v>
      </c>
      <c r="N180" s="60">
        <f t="shared" si="43"/>
        <v>39.29454092218247</v>
      </c>
      <c r="O180" s="60">
        <f t="shared" si="43"/>
        <v>60.272622039694845</v>
      </c>
      <c r="P180" s="60">
        <f t="shared" si="43"/>
        <v>61.478232954723431</v>
      </c>
      <c r="Q180" s="60">
        <f t="shared" si="43"/>
        <v>70.263578518827828</v>
      </c>
      <c r="R180" s="60">
        <f t="shared" si="43"/>
        <v>68.577409987250235</v>
      </c>
      <c r="S180" s="60">
        <f t="shared" si="43"/>
        <v>60.359256272705849</v>
      </c>
      <c r="T180" s="60">
        <f t="shared" si="43"/>
        <v>68.547155994719191</v>
      </c>
      <c r="U180" s="60">
        <f t="shared" si="43"/>
        <v>86.097725791256423</v>
      </c>
      <c r="V180" s="60">
        <f t="shared" si="43"/>
        <v>62.346337336715493</v>
      </c>
    </row>
    <row r="181" spans="3:22" x14ac:dyDescent="0.2">
      <c r="C181" s="88" t="s">
        <v>134</v>
      </c>
      <c r="D181" s="62">
        <f t="shared" ref="D181:V181" si="44">+IFERROR(IF(D142&gt;0,+((D142/D24)*100)," "),"")</f>
        <v>91.005944660524875</v>
      </c>
      <c r="E181" s="62">
        <f t="shared" si="44"/>
        <v>86.792941011451731</v>
      </c>
      <c r="F181" s="62">
        <f t="shared" si="44"/>
        <v>70.592135932296657</v>
      </c>
      <c r="G181" s="62">
        <f t="shared" si="44"/>
        <v>84.249921918914737</v>
      </c>
      <c r="H181" s="62">
        <f t="shared" si="44"/>
        <v>58.764319538181212</v>
      </c>
      <c r="I181" s="62">
        <f t="shared" si="44"/>
        <v>60.176433433890097</v>
      </c>
      <c r="J181" s="62">
        <f t="shared" si="44"/>
        <v>33.718304136619828</v>
      </c>
      <c r="K181" s="62">
        <f t="shared" si="44"/>
        <v>80.42852686047317</v>
      </c>
      <c r="L181" s="62">
        <f t="shared" si="44"/>
        <v>84.898746959570317</v>
      </c>
      <c r="M181" s="62">
        <f t="shared" si="44"/>
        <v>92.530130821705953</v>
      </c>
      <c r="N181" s="62">
        <f t="shared" si="44"/>
        <v>95.592938330653794</v>
      </c>
      <c r="O181" s="62">
        <f t="shared" si="44"/>
        <v>88.126563975143739</v>
      </c>
      <c r="P181" s="62">
        <f t="shared" si="44"/>
        <v>81.463646354343055</v>
      </c>
      <c r="Q181" s="62">
        <f t="shared" si="44"/>
        <v>69.691266474648103</v>
      </c>
      <c r="R181" s="62">
        <f t="shared" si="44"/>
        <v>34.378214154943961</v>
      </c>
      <c r="S181" s="62">
        <f t="shared" si="44"/>
        <v>35.128596653804145</v>
      </c>
      <c r="T181" s="62">
        <f t="shared" si="44"/>
        <v>25.202612025614741</v>
      </c>
      <c r="U181" s="62">
        <f t="shared" si="44"/>
        <v>52.199216184351101</v>
      </c>
      <c r="V181" s="62">
        <f t="shared" si="44"/>
        <v>47.263264438861206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48.882776481572002</v>
      </c>
      <c r="E183" s="62">
        <f t="shared" si="46"/>
        <v>77.770374514594906</v>
      </c>
      <c r="F183" s="62">
        <f t="shared" si="46"/>
        <v>51.019545918919427</v>
      </c>
      <c r="G183" s="62">
        <f t="shared" si="46"/>
        <v>91.664422502525895</v>
      </c>
      <c r="H183" s="62">
        <f t="shared" si="46"/>
        <v>54.719836834541503</v>
      </c>
      <c r="I183" s="62">
        <f t="shared" si="46"/>
        <v>60.911088487454592</v>
      </c>
      <c r="J183" s="62">
        <f t="shared" si="46"/>
        <v>75.672941029125013</v>
      </c>
      <c r="K183" s="62">
        <f t="shared" si="46"/>
        <v>91.166265613999684</v>
      </c>
      <c r="L183" s="62">
        <f t="shared" si="46"/>
        <v>77.519077044058037</v>
      </c>
      <c r="M183" s="62">
        <f t="shared" si="46"/>
        <v>84.037394136451624</v>
      </c>
      <c r="N183" s="62">
        <f t="shared" si="46"/>
        <v>81.235398400862351</v>
      </c>
      <c r="O183" s="62">
        <f t="shared" si="46"/>
        <v>88.476168296990323</v>
      </c>
      <c r="P183" s="62">
        <f t="shared" si="46"/>
        <v>86.892602320449768</v>
      </c>
      <c r="Q183" s="62">
        <f t="shared" si="46"/>
        <v>88.522931009040704</v>
      </c>
      <c r="R183" s="62">
        <f t="shared" si="46"/>
        <v>91.139734062204397</v>
      </c>
      <c r="S183" s="62">
        <f t="shared" si="46"/>
        <v>95.200761941168423</v>
      </c>
      <c r="T183" s="62">
        <f t="shared" si="46"/>
        <v>86.033408377647845</v>
      </c>
      <c r="U183" s="62">
        <f t="shared" si="46"/>
        <v>96.004131608008052</v>
      </c>
      <c r="V183" s="62">
        <f t="shared" si="46"/>
        <v>91.133773872899582</v>
      </c>
    </row>
    <row r="184" spans="3:22" x14ac:dyDescent="0.2">
      <c r="C184" s="87" t="s">
        <v>137</v>
      </c>
      <c r="D184" s="60">
        <f t="shared" ref="D184:V184" si="47">+IFERROR(IF(D145&gt;0,+((D145/D27)*100)," "),"")</f>
        <v>39.356098816645094</v>
      </c>
      <c r="E184" s="60">
        <f t="shared" si="47"/>
        <v>66.431227472133969</v>
      </c>
      <c r="F184" s="60">
        <f t="shared" si="47"/>
        <v>41.788342612500578</v>
      </c>
      <c r="G184" s="60">
        <f t="shared" si="47"/>
        <v>45.551459193531251</v>
      </c>
      <c r="H184" s="60">
        <f t="shared" si="47"/>
        <v>64.424404426638986</v>
      </c>
      <c r="I184" s="60">
        <f t="shared" si="47"/>
        <v>77.134544698926959</v>
      </c>
      <c r="J184" s="60">
        <f t="shared" si="47"/>
        <v>95.876576288788456</v>
      </c>
      <c r="K184" s="60">
        <f t="shared" si="47"/>
        <v>81.432609047349388</v>
      </c>
      <c r="L184" s="60">
        <f t="shared" si="47"/>
        <v>90.940728517704756</v>
      </c>
      <c r="M184" s="60">
        <f t="shared" si="47"/>
        <v>81.841895242926668</v>
      </c>
      <c r="N184" s="60">
        <f t="shared" si="47"/>
        <v>80.306557755956547</v>
      </c>
      <c r="O184" s="60">
        <f t="shared" si="47"/>
        <v>91.307889913498371</v>
      </c>
      <c r="P184" s="60">
        <f t="shared" si="47"/>
        <v>88.000106062816869</v>
      </c>
      <c r="Q184" s="60">
        <f t="shared" si="47"/>
        <v>86.506955945647192</v>
      </c>
      <c r="R184" s="60">
        <f t="shared" si="47"/>
        <v>97.589210626445308</v>
      </c>
      <c r="S184" s="60">
        <f t="shared" si="47"/>
        <v>91.515994214392336</v>
      </c>
      <c r="T184" s="60">
        <f t="shared" si="47"/>
        <v>92.339347185763543</v>
      </c>
      <c r="U184" s="60">
        <f t="shared" si="47"/>
        <v>90.308764680232358</v>
      </c>
      <c r="V184" s="60">
        <f t="shared" si="47"/>
        <v>93.072440309311915</v>
      </c>
    </row>
    <row r="185" spans="3:22" x14ac:dyDescent="0.2">
      <c r="C185" s="88" t="s">
        <v>138</v>
      </c>
      <c r="D185" s="62">
        <f t="shared" ref="D185:V185" si="48">+IFERROR(IF(D146&gt;0,+((D146/D28)*100)," "),"")</f>
        <v>54.866356800000005</v>
      </c>
      <c r="E185" s="62">
        <f t="shared" si="48"/>
        <v>94.999885124277782</v>
      </c>
      <c r="F185" s="62">
        <f t="shared" si="48"/>
        <v>0.94872887999999833</v>
      </c>
      <c r="G185" s="62" t="str">
        <f t="shared" si="48"/>
        <v xml:space="preserve"> </v>
      </c>
      <c r="H185" s="62" t="str">
        <f t="shared" si="48"/>
        <v xml:space="preserve"> </v>
      </c>
      <c r="I185" s="62" t="str">
        <f t="shared" si="48"/>
        <v xml:space="preserve"> </v>
      </c>
      <c r="J185" s="62" t="str">
        <f t="shared" si="48"/>
        <v xml:space="preserve"> </v>
      </c>
      <c r="K185" s="62" t="str">
        <f t="shared" si="48"/>
        <v xml:space="preserve"> </v>
      </c>
      <c r="L185" s="62">
        <f t="shared" si="48"/>
        <v>74.98413912115555</v>
      </c>
      <c r="M185" s="62">
        <f t="shared" si="48"/>
        <v>5.5729729729729716</v>
      </c>
      <c r="N185" s="62">
        <f t="shared" si="48"/>
        <v>45.190921870967742</v>
      </c>
      <c r="O185" s="62" t="str">
        <f t="shared" si="48"/>
        <v xml:space="preserve"> </v>
      </c>
      <c r="P185" s="62">
        <f t="shared" si="48"/>
        <v>78.790006266340711</v>
      </c>
      <c r="Q185" s="62">
        <f t="shared" si="48"/>
        <v>88.729238084960926</v>
      </c>
      <c r="R185" s="62">
        <f t="shared" si="48"/>
        <v>83.820776135423671</v>
      </c>
      <c r="S185" s="62">
        <f t="shared" si="48"/>
        <v>94.527974908600569</v>
      </c>
      <c r="T185" s="62">
        <f t="shared" si="48"/>
        <v>97.182040692632981</v>
      </c>
      <c r="U185" s="62">
        <f t="shared" si="48"/>
        <v>91.201744670202686</v>
      </c>
      <c r="V185" s="62">
        <f t="shared" si="48"/>
        <v>96.85860163507715</v>
      </c>
    </row>
    <row r="186" spans="3:22" x14ac:dyDescent="0.2">
      <c r="C186" s="87" t="s">
        <v>139</v>
      </c>
      <c r="D186" s="60">
        <f t="shared" ref="D186:V186" si="49">+IFERROR(IF(D147&gt;0,+((D147/D29)*100)," "),"")</f>
        <v>78.584505373828335</v>
      </c>
      <c r="E186" s="60">
        <f t="shared" si="49"/>
        <v>51.253792869005785</v>
      </c>
      <c r="F186" s="60">
        <f t="shared" si="49"/>
        <v>28.804843783930139</v>
      </c>
      <c r="G186" s="60">
        <f t="shared" si="49"/>
        <v>75.218223998985735</v>
      </c>
      <c r="H186" s="60">
        <f t="shared" si="49"/>
        <v>60.060822977860497</v>
      </c>
      <c r="I186" s="60">
        <f t="shared" si="49"/>
        <v>72.102089212862197</v>
      </c>
      <c r="J186" s="60">
        <f t="shared" si="49"/>
        <v>80.709877820462268</v>
      </c>
      <c r="K186" s="60">
        <f t="shared" si="49"/>
        <v>66.812689946842056</v>
      </c>
      <c r="L186" s="60">
        <f t="shared" si="49"/>
        <v>79.015860044284636</v>
      </c>
      <c r="M186" s="60">
        <f t="shared" si="49"/>
        <v>88.246710636814768</v>
      </c>
      <c r="N186" s="60">
        <f t="shared" si="49"/>
        <v>74.250030249916719</v>
      </c>
      <c r="O186" s="60">
        <f t="shared" si="49"/>
        <v>98.457742074058487</v>
      </c>
      <c r="P186" s="60">
        <f t="shared" si="49"/>
        <v>50.809330906269011</v>
      </c>
      <c r="Q186" s="60">
        <f t="shared" si="49"/>
        <v>65.993060602190965</v>
      </c>
      <c r="R186" s="60">
        <f t="shared" si="49"/>
        <v>75.952150094940635</v>
      </c>
      <c r="S186" s="60">
        <f t="shared" si="49"/>
        <v>61.134273167468386</v>
      </c>
      <c r="T186" s="60">
        <f t="shared" si="49"/>
        <v>41.583324398452717</v>
      </c>
      <c r="U186" s="60">
        <f t="shared" si="49"/>
        <v>35.000279124667365</v>
      </c>
      <c r="V186" s="60">
        <f t="shared" si="49"/>
        <v>31.611565647576029</v>
      </c>
    </row>
    <row r="187" spans="3:22" x14ac:dyDescent="0.2">
      <c r="C187" s="88" t="s">
        <v>140</v>
      </c>
      <c r="D187" s="62">
        <f t="shared" ref="D187:V187" si="50">+IFERROR(IF(D148&gt;0,+((D148/D30)*100)," "),"")</f>
        <v>86.513653839102716</v>
      </c>
      <c r="E187" s="62">
        <f t="shared" si="50"/>
        <v>72.338299205552786</v>
      </c>
      <c r="F187" s="62">
        <f t="shared" si="50"/>
        <v>75.987196206650523</v>
      </c>
      <c r="G187" s="62">
        <f t="shared" si="50"/>
        <v>95.345793630548371</v>
      </c>
      <c r="H187" s="62">
        <f t="shared" si="50"/>
        <v>84.457714424515814</v>
      </c>
      <c r="I187" s="62">
        <f t="shared" si="50"/>
        <v>80.063794423540841</v>
      </c>
      <c r="J187" s="62">
        <f t="shared" si="50"/>
        <v>65.727958493383426</v>
      </c>
      <c r="K187" s="62">
        <f t="shared" si="50"/>
        <v>59.562406105414077</v>
      </c>
      <c r="L187" s="62">
        <f t="shared" si="50"/>
        <v>95.197499055193845</v>
      </c>
      <c r="M187" s="62">
        <f t="shared" si="50"/>
        <v>88.450018028868953</v>
      </c>
      <c r="N187" s="62">
        <f t="shared" si="50"/>
        <v>92.535526523359323</v>
      </c>
      <c r="O187" s="62">
        <f t="shared" si="50"/>
        <v>92.702125014527653</v>
      </c>
      <c r="P187" s="62">
        <f t="shared" si="50"/>
        <v>96.54193085486061</v>
      </c>
      <c r="Q187" s="62">
        <f t="shared" si="50"/>
        <v>92.970215285623041</v>
      </c>
      <c r="R187" s="62">
        <f t="shared" si="50"/>
        <v>95.640208400799978</v>
      </c>
      <c r="S187" s="62">
        <f t="shared" si="50"/>
        <v>95.781055450142503</v>
      </c>
      <c r="T187" s="62">
        <f t="shared" si="50"/>
        <v>90.20699210341408</v>
      </c>
      <c r="U187" s="62">
        <f t="shared" si="50"/>
        <v>91.122812144800591</v>
      </c>
      <c r="V187" s="62">
        <f t="shared" si="50"/>
        <v>92.735606360377261</v>
      </c>
    </row>
    <row r="188" spans="3:22" x14ac:dyDescent="0.2">
      <c r="C188" s="87" t="s">
        <v>141</v>
      </c>
      <c r="D188" s="60">
        <f t="shared" ref="D188:V188" si="51">+IFERROR(IF(D149&gt;0,+((D149/D31)*100)," "),"")</f>
        <v>70.918216381042058</v>
      </c>
      <c r="E188" s="60">
        <f t="shared" si="51"/>
        <v>12.840658737964569</v>
      </c>
      <c r="F188" s="60">
        <f t="shared" si="51"/>
        <v>7.4114338737618564</v>
      </c>
      <c r="G188" s="60">
        <f t="shared" si="51"/>
        <v>9.8471646873872913</v>
      </c>
      <c r="H188" s="60">
        <f t="shared" si="51"/>
        <v>19.957529773328087</v>
      </c>
      <c r="I188" s="60">
        <f t="shared" si="51"/>
        <v>16.557019609322495</v>
      </c>
      <c r="J188" s="60">
        <f t="shared" si="51"/>
        <v>43.873939858961542</v>
      </c>
      <c r="K188" s="60">
        <f t="shared" si="51"/>
        <v>55.576452986252278</v>
      </c>
      <c r="L188" s="60">
        <f t="shared" si="51"/>
        <v>54.736967848382946</v>
      </c>
      <c r="M188" s="60">
        <f t="shared" si="51"/>
        <v>71.060041589268437</v>
      </c>
      <c r="N188" s="60">
        <f t="shared" si="51"/>
        <v>48.836891807365248</v>
      </c>
      <c r="O188" s="60">
        <f t="shared" si="51"/>
        <v>44.21352841230545</v>
      </c>
      <c r="P188" s="60">
        <f t="shared" si="51"/>
        <v>80.171291423227899</v>
      </c>
      <c r="Q188" s="60">
        <f t="shared" si="51"/>
        <v>75.853312583806485</v>
      </c>
      <c r="R188" s="60">
        <f t="shared" si="51"/>
        <v>88.199898972051841</v>
      </c>
      <c r="S188" s="60">
        <f t="shared" si="51"/>
        <v>46.382743162945708</v>
      </c>
      <c r="T188" s="60">
        <f t="shared" si="51"/>
        <v>78.31011994438704</v>
      </c>
      <c r="U188" s="60">
        <f t="shared" si="51"/>
        <v>80.151906933408455</v>
      </c>
      <c r="V188" s="60">
        <f t="shared" si="51"/>
        <v>83.459393215535883</v>
      </c>
    </row>
    <row r="189" spans="3:22" x14ac:dyDescent="0.2">
      <c r="C189" s="88" t="s">
        <v>142</v>
      </c>
      <c r="D189" s="62">
        <f t="shared" ref="D189:V189" si="52">+IFERROR(IF(D150&gt;0,+((D150/D32)*100)," "),"")</f>
        <v>15.490072107612333</v>
      </c>
      <c r="E189" s="62">
        <f t="shared" si="52"/>
        <v>23.718708063756232</v>
      </c>
      <c r="F189" s="62">
        <f t="shared" si="52"/>
        <v>8.7324754897849601</v>
      </c>
      <c r="G189" s="62">
        <f t="shared" si="52"/>
        <v>17.928257752699682</v>
      </c>
      <c r="H189" s="62">
        <f t="shared" si="52"/>
        <v>61.976226545103771</v>
      </c>
      <c r="I189" s="62">
        <f t="shared" si="52"/>
        <v>18.494109202245188</v>
      </c>
      <c r="J189" s="62">
        <f t="shared" si="52"/>
        <v>22.211987632708343</v>
      </c>
      <c r="K189" s="62">
        <f t="shared" si="52"/>
        <v>63.03246475062506</v>
      </c>
      <c r="L189" s="62">
        <f t="shared" si="52"/>
        <v>35.640002477393516</v>
      </c>
      <c r="M189" s="62">
        <f t="shared" si="52"/>
        <v>34.603353690202248</v>
      </c>
      <c r="N189" s="62">
        <f t="shared" si="52"/>
        <v>40.058580578080758</v>
      </c>
      <c r="O189" s="62">
        <f t="shared" si="52"/>
        <v>36.78291432943886</v>
      </c>
      <c r="P189" s="62">
        <f t="shared" si="52"/>
        <v>48.873966152630622</v>
      </c>
      <c r="Q189" s="62">
        <f t="shared" si="52"/>
        <v>54.043965062705681</v>
      </c>
      <c r="R189" s="62">
        <f t="shared" si="52"/>
        <v>84.446897922739026</v>
      </c>
      <c r="S189" s="62">
        <f t="shared" si="52"/>
        <v>94.201575418665414</v>
      </c>
      <c r="T189" s="62">
        <f t="shared" si="52"/>
        <v>80.252356807854099</v>
      </c>
      <c r="U189" s="62">
        <f t="shared" si="52"/>
        <v>98.301175831961118</v>
      </c>
      <c r="V189" s="62">
        <f t="shared" si="52"/>
        <v>58.487354706262018</v>
      </c>
    </row>
    <row r="190" spans="3:22" x14ac:dyDescent="0.2">
      <c r="C190" s="87" t="s">
        <v>143</v>
      </c>
      <c r="D190" s="60">
        <f t="shared" ref="D190:V190" si="53">+IFERROR(IF(D151&gt;0,+((D151/D33)*100)," "),"")</f>
        <v>96.94781147103474</v>
      </c>
      <c r="E190" s="60">
        <f t="shared" si="53"/>
        <v>60.014283834613188</v>
      </c>
      <c r="F190" s="60">
        <f t="shared" si="53"/>
        <v>49.185174382135841</v>
      </c>
      <c r="G190" s="60">
        <f t="shared" si="53"/>
        <v>59.563853457369575</v>
      </c>
      <c r="H190" s="60">
        <f t="shared" si="53"/>
        <v>77.131377955157504</v>
      </c>
      <c r="I190" s="60">
        <f t="shared" si="53"/>
        <v>83.852285791862656</v>
      </c>
      <c r="J190" s="60">
        <f t="shared" si="53"/>
        <v>85.44842247444106</v>
      </c>
      <c r="K190" s="60">
        <f t="shared" si="53"/>
        <v>95.877397004671977</v>
      </c>
      <c r="L190" s="60">
        <f t="shared" si="53"/>
        <v>69.706339816343444</v>
      </c>
      <c r="M190" s="60">
        <f t="shared" si="53"/>
        <v>78.819129209559591</v>
      </c>
      <c r="N190" s="60">
        <f t="shared" si="53"/>
        <v>59.579415115492985</v>
      </c>
      <c r="O190" s="60">
        <f t="shared" si="53"/>
        <v>68.205216850179781</v>
      </c>
      <c r="P190" s="60">
        <f t="shared" si="53"/>
        <v>95.182930758110984</v>
      </c>
      <c r="Q190" s="60">
        <f t="shared" si="53"/>
        <v>89.223314030077034</v>
      </c>
      <c r="R190" s="60">
        <f t="shared" si="53"/>
        <v>87.253828880884697</v>
      </c>
      <c r="S190" s="60">
        <f t="shared" si="53"/>
        <v>93.595644034524881</v>
      </c>
      <c r="T190" s="60">
        <f t="shared" si="53"/>
        <v>91.95037980636215</v>
      </c>
      <c r="U190" s="60">
        <f t="shared" si="53"/>
        <v>72.492779317595662</v>
      </c>
      <c r="V190" s="60">
        <f t="shared" si="53"/>
        <v>3.1723266494071249</v>
      </c>
    </row>
    <row r="191" spans="3:22" x14ac:dyDescent="0.2">
      <c r="C191" s="88" t="s">
        <v>144</v>
      </c>
      <c r="D191" s="62">
        <f t="shared" ref="D191:V191" si="54">+IFERROR(IF(D152&gt;0,+((D152/D34)*100)," "),"")</f>
        <v>62.280016848992211</v>
      </c>
      <c r="E191" s="62">
        <f t="shared" si="54"/>
        <v>77.93433400021118</v>
      </c>
      <c r="F191" s="62">
        <f t="shared" si="54"/>
        <v>37.437260128618149</v>
      </c>
      <c r="G191" s="62">
        <f t="shared" si="54"/>
        <v>41.045462446108907</v>
      </c>
      <c r="H191" s="62">
        <f t="shared" si="54"/>
        <v>36.880893472647244</v>
      </c>
      <c r="I191" s="62">
        <f t="shared" si="54"/>
        <v>36.717418211854678</v>
      </c>
      <c r="J191" s="62">
        <f t="shared" si="54"/>
        <v>48.352535717539844</v>
      </c>
      <c r="K191" s="62">
        <f t="shared" si="54"/>
        <v>67.510760496373493</v>
      </c>
      <c r="L191" s="62">
        <f t="shared" si="54"/>
        <v>64.0988672156208</v>
      </c>
      <c r="M191" s="62">
        <f t="shared" si="54"/>
        <v>76.295734050083709</v>
      </c>
      <c r="N191" s="62">
        <f t="shared" si="54"/>
        <v>37.551919218540391</v>
      </c>
      <c r="O191" s="62">
        <f t="shared" si="54"/>
        <v>17.187246214677028</v>
      </c>
      <c r="P191" s="62">
        <f t="shared" si="54"/>
        <v>21.978689645097429</v>
      </c>
      <c r="Q191" s="62">
        <f t="shared" si="54"/>
        <v>54.708816799519347</v>
      </c>
      <c r="R191" s="62">
        <f t="shared" si="54"/>
        <v>71.806678646760602</v>
      </c>
      <c r="S191" s="62">
        <f t="shared" si="54"/>
        <v>58.833159399031878</v>
      </c>
      <c r="T191" s="62">
        <f t="shared" si="54"/>
        <v>63.224141448955848</v>
      </c>
      <c r="U191" s="62">
        <f t="shared" si="54"/>
        <v>73.567404360881198</v>
      </c>
      <c r="V191" s="62">
        <f t="shared" si="54"/>
        <v>68.019877489688682</v>
      </c>
    </row>
    <row r="192" spans="3:22" x14ac:dyDescent="0.2">
      <c r="C192" s="87" t="s">
        <v>145</v>
      </c>
      <c r="D192" s="60">
        <f t="shared" ref="D192:V192" si="55">+IFERROR(IF(D153&gt;0,+((D153/D35)*100)," "),"")</f>
        <v>16.744298652558683</v>
      </c>
      <c r="E192" s="60" t="str">
        <f t="shared" si="55"/>
        <v xml:space="preserve"> </v>
      </c>
      <c r="F192" s="60" t="str">
        <f t="shared" si="55"/>
        <v xml:space="preserve"> </v>
      </c>
      <c r="G192" s="60">
        <f t="shared" si="55"/>
        <v>76.167329565111018</v>
      </c>
      <c r="H192" s="60">
        <f t="shared" si="55"/>
        <v>90</v>
      </c>
      <c r="I192" s="60">
        <f t="shared" si="55"/>
        <v>93.973684207017556</v>
      </c>
      <c r="J192" s="60">
        <f t="shared" si="55"/>
        <v>99.844574906302682</v>
      </c>
      <c r="K192" s="60">
        <f t="shared" si="55"/>
        <v>1.4361262431251522</v>
      </c>
      <c r="L192" s="60">
        <f t="shared" si="55"/>
        <v>91.974180441241174</v>
      </c>
      <c r="M192" s="60">
        <f t="shared" si="55"/>
        <v>79.505368570967264</v>
      </c>
      <c r="N192" s="60">
        <f t="shared" si="55"/>
        <v>72.084624388479</v>
      </c>
      <c r="O192" s="60">
        <f t="shared" si="55"/>
        <v>83.616637937226088</v>
      </c>
      <c r="P192" s="60">
        <f t="shared" si="55"/>
        <v>80.822280637686987</v>
      </c>
      <c r="Q192" s="60">
        <f t="shared" si="55"/>
        <v>90.265434694181977</v>
      </c>
      <c r="R192" s="60">
        <f t="shared" si="55"/>
        <v>93.410775560957376</v>
      </c>
      <c r="S192" s="60">
        <f t="shared" si="55"/>
        <v>99.044511228444293</v>
      </c>
      <c r="T192" s="60">
        <f t="shared" si="55"/>
        <v>99.89256751988637</v>
      </c>
      <c r="U192" s="60">
        <f t="shared" si="55"/>
        <v>97.270162851352964</v>
      </c>
      <c r="V192" s="60">
        <f t="shared" si="55"/>
        <v>71</v>
      </c>
    </row>
    <row r="193" spans="3:22" x14ac:dyDescent="0.2">
      <c r="C193" s="88" t="s">
        <v>146</v>
      </c>
      <c r="D193" s="62" t="str">
        <f t="shared" ref="D193:V193" si="56">+IFERROR(IF(D154&gt;0,+((D154/D36)*100)," "),"")</f>
        <v xml:space="preserve"> </v>
      </c>
      <c r="E193" s="62" t="str">
        <f t="shared" si="56"/>
        <v xml:space="preserve"> </v>
      </c>
      <c r="F193" s="62" t="str">
        <f t="shared" si="56"/>
        <v xml:space="preserve"> </v>
      </c>
      <c r="G193" s="62" t="str">
        <f t="shared" si="56"/>
        <v xml:space="preserve"> </v>
      </c>
      <c r="H193" s="62">
        <f t="shared" si="56"/>
        <v>82.164134492999992</v>
      </c>
      <c r="I193" s="62">
        <f t="shared" si="56"/>
        <v>97.007569971980672</v>
      </c>
      <c r="J193" s="62">
        <f t="shared" si="56"/>
        <v>99.734089129472309</v>
      </c>
      <c r="K193" s="62">
        <f t="shared" si="56"/>
        <v>35.142213956212146</v>
      </c>
      <c r="L193" s="62">
        <f t="shared" si="56"/>
        <v>73.277060243085884</v>
      </c>
      <c r="M193" s="62">
        <f t="shared" si="56"/>
        <v>68.707195653654296</v>
      </c>
      <c r="N193" s="62">
        <f t="shared" si="56"/>
        <v>74.746463677995209</v>
      </c>
      <c r="O193" s="62">
        <f t="shared" si="56"/>
        <v>92.795011044553178</v>
      </c>
      <c r="P193" s="62">
        <f t="shared" si="56"/>
        <v>78.585474022786173</v>
      </c>
      <c r="Q193" s="62">
        <f t="shared" si="56"/>
        <v>96.865577771519384</v>
      </c>
      <c r="R193" s="62">
        <f t="shared" si="56"/>
        <v>96.996849686529004</v>
      </c>
      <c r="S193" s="62">
        <f t="shared" si="56"/>
        <v>98.014278823792097</v>
      </c>
      <c r="T193" s="62">
        <f t="shared" si="56"/>
        <v>97.045529276917335</v>
      </c>
      <c r="U193" s="62">
        <f t="shared" si="56"/>
        <v>99.973654394969586</v>
      </c>
      <c r="V193" s="62">
        <f t="shared" si="56"/>
        <v>97.52271188910467</v>
      </c>
    </row>
    <row r="194" spans="3:22" x14ac:dyDescent="0.2">
      <c r="C194" s="90" t="s">
        <v>147</v>
      </c>
      <c r="D194" s="61">
        <f t="shared" ref="D194:V194" si="57">+IFERROR(IF(D155&gt;0,+((D155/D37)*100)," "),"")</f>
        <v>64.510258599221103</v>
      </c>
      <c r="E194" s="61">
        <f t="shared" si="57"/>
        <v>74.788609380961006</v>
      </c>
      <c r="F194" s="61">
        <f t="shared" si="57"/>
        <v>68.720129617556637</v>
      </c>
      <c r="G194" s="61">
        <f t="shared" si="57"/>
        <v>70.444354811741846</v>
      </c>
      <c r="H194" s="61">
        <f t="shared" si="57"/>
        <v>71.362531392904273</v>
      </c>
      <c r="I194" s="61">
        <f t="shared" si="57"/>
        <v>81.41462116611099</v>
      </c>
      <c r="J194" s="61">
        <f t="shared" si="57"/>
        <v>68.652375065772901</v>
      </c>
      <c r="K194" s="61">
        <f t="shared" si="57"/>
        <v>70.373539492689218</v>
      </c>
      <c r="L194" s="61">
        <f t="shared" si="57"/>
        <v>77.45435733084291</v>
      </c>
      <c r="M194" s="61">
        <f t="shared" si="57"/>
        <v>92.138696639797885</v>
      </c>
      <c r="N194" s="61">
        <f t="shared" si="57"/>
        <v>83.735262415650027</v>
      </c>
      <c r="O194" s="61">
        <f t="shared" si="57"/>
        <v>93.062951639084062</v>
      </c>
      <c r="P194" s="61">
        <f t="shared" si="57"/>
        <v>90.653609825426926</v>
      </c>
      <c r="Q194" s="61">
        <f t="shared" si="57"/>
        <v>95.219899640642396</v>
      </c>
      <c r="R194" s="61">
        <f t="shared" si="57"/>
        <v>94.516976152920208</v>
      </c>
      <c r="S194" s="61">
        <f t="shared" si="57"/>
        <v>96.346192756671869</v>
      </c>
      <c r="T194" s="61">
        <f t="shared" si="57"/>
        <v>96.211030845577241</v>
      </c>
      <c r="U194" s="61">
        <f t="shared" si="57"/>
        <v>91.776565894448183</v>
      </c>
      <c r="V194" s="61">
        <f t="shared" si="57"/>
        <v>93.572614012435366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>
        <f t="shared" si="58"/>
        <v>56.255603915121867</v>
      </c>
    </row>
    <row r="196" spans="3:22" x14ac:dyDescent="0.2">
      <c r="C196" s="87" t="s">
        <v>149</v>
      </c>
      <c r="D196" s="60">
        <f t="shared" ref="D196:V196" si="59">+IFERROR(IF(D157&gt;0,+((D157/D39)*100)," "),"")</f>
        <v>80</v>
      </c>
      <c r="E196" s="60">
        <f t="shared" si="59"/>
        <v>77.777777777777786</v>
      </c>
      <c r="F196" s="60">
        <f t="shared" si="59"/>
        <v>19.642638219000002</v>
      </c>
      <c r="G196" s="60">
        <f t="shared" si="59"/>
        <v>63.019711678876924</v>
      </c>
      <c r="H196" s="60">
        <f t="shared" si="59"/>
        <v>49.510597569558023</v>
      </c>
      <c r="I196" s="60">
        <f t="shared" si="59"/>
        <v>29.897187521355328</v>
      </c>
      <c r="J196" s="60">
        <f t="shared" si="59"/>
        <v>47.931181585919525</v>
      </c>
      <c r="K196" s="60">
        <f t="shared" si="59"/>
        <v>84.20721424954543</v>
      </c>
      <c r="L196" s="60">
        <f t="shared" si="59"/>
        <v>94.86600887625525</v>
      </c>
      <c r="M196" s="60">
        <f t="shared" si="59"/>
        <v>24.874387130384878</v>
      </c>
      <c r="N196" s="60">
        <f t="shared" si="59"/>
        <v>77.066578152534177</v>
      </c>
      <c r="O196" s="60">
        <f t="shared" si="59"/>
        <v>67.192998395535597</v>
      </c>
      <c r="P196" s="60">
        <f t="shared" si="59"/>
        <v>56.993165598350146</v>
      </c>
      <c r="Q196" s="60">
        <f t="shared" si="59"/>
        <v>41.130698319711406</v>
      </c>
      <c r="R196" s="60">
        <f t="shared" si="59"/>
        <v>94.30985349892461</v>
      </c>
      <c r="S196" s="60">
        <f t="shared" si="59"/>
        <v>92.4455038855086</v>
      </c>
      <c r="T196" s="60">
        <f t="shared" si="59"/>
        <v>98.798973306231503</v>
      </c>
      <c r="U196" s="60">
        <f t="shared" si="59"/>
        <v>97.466871137302846</v>
      </c>
      <c r="V196" s="60">
        <f t="shared" si="59"/>
        <v>93.331724191289339</v>
      </c>
    </row>
    <row r="197" spans="3:22" x14ac:dyDescent="0.2">
      <c r="C197" s="88" t="s">
        <v>150</v>
      </c>
      <c r="D197" s="62">
        <f t="shared" ref="D197:V197" si="60">+IFERROR(IF(D158&gt;0,+((D158/D40)*100)," "),"")</f>
        <v>65.00247974456768</v>
      </c>
      <c r="E197" s="62">
        <f t="shared" si="60"/>
        <v>68.379964540988453</v>
      </c>
      <c r="F197" s="62">
        <f t="shared" si="60"/>
        <v>53.867074234062059</v>
      </c>
      <c r="G197" s="62">
        <f t="shared" si="60"/>
        <v>73.941123446008106</v>
      </c>
      <c r="H197" s="62">
        <f t="shared" si="60"/>
        <v>67.778786194642819</v>
      </c>
      <c r="I197" s="62">
        <f t="shared" si="60"/>
        <v>74.550249199366732</v>
      </c>
      <c r="J197" s="62">
        <f t="shared" si="60"/>
        <v>55.648925052345923</v>
      </c>
      <c r="K197" s="62">
        <f t="shared" si="60"/>
        <v>87.072678191125519</v>
      </c>
      <c r="L197" s="62">
        <f t="shared" si="60"/>
        <v>86.699007852819079</v>
      </c>
      <c r="M197" s="62">
        <f t="shared" si="60"/>
        <v>90.755031755625794</v>
      </c>
      <c r="N197" s="62">
        <f t="shared" si="60"/>
        <v>80.633062663364626</v>
      </c>
      <c r="O197" s="62">
        <f t="shared" si="60"/>
        <v>84.841189040226297</v>
      </c>
      <c r="P197" s="62">
        <f t="shared" si="60"/>
        <v>87.878955482644699</v>
      </c>
      <c r="Q197" s="62">
        <f t="shared" si="60"/>
        <v>93.147307242947591</v>
      </c>
      <c r="R197" s="62">
        <f t="shared" si="60"/>
        <v>90.630060399693164</v>
      </c>
      <c r="S197" s="62">
        <f t="shared" si="60"/>
        <v>85.160557722588493</v>
      </c>
      <c r="T197" s="62">
        <f t="shared" si="60"/>
        <v>89.778745710829853</v>
      </c>
      <c r="U197" s="62">
        <f t="shared" si="60"/>
        <v>75.7141786967737</v>
      </c>
      <c r="V197" s="62">
        <f t="shared" si="60"/>
        <v>69.269156723318403</v>
      </c>
    </row>
    <row r="198" spans="3:22" x14ac:dyDescent="0.2">
      <c r="C198" s="87" t="s">
        <v>151</v>
      </c>
      <c r="D198" s="60">
        <f t="shared" ref="D198:V198" si="61">+IFERROR(IF(D159&gt;0,+((D159/D41)*100)," "),"")</f>
        <v>68.971099511067365</v>
      </c>
      <c r="E198" s="60">
        <f t="shared" si="61"/>
        <v>14.378759442270711</v>
      </c>
      <c r="F198" s="60">
        <f t="shared" si="61"/>
        <v>41.527382818916728</v>
      </c>
      <c r="G198" s="60">
        <f t="shared" si="61"/>
        <v>19.369437079955123</v>
      </c>
      <c r="H198" s="60">
        <f t="shared" si="61"/>
        <v>5.0349839268188425</v>
      </c>
      <c r="I198" s="60">
        <f t="shared" si="61"/>
        <v>23.244419227151962</v>
      </c>
      <c r="J198" s="60">
        <f t="shared" si="61"/>
        <v>63.649876019528875</v>
      </c>
      <c r="K198" s="60">
        <f t="shared" si="61"/>
        <v>88.215190202138032</v>
      </c>
      <c r="L198" s="60">
        <f t="shared" si="61"/>
        <v>89.87023409076572</v>
      </c>
      <c r="M198" s="60">
        <f t="shared" si="61"/>
        <v>91.014898005211222</v>
      </c>
      <c r="N198" s="60">
        <f t="shared" si="61"/>
        <v>49.137140943346623</v>
      </c>
      <c r="O198" s="60">
        <f t="shared" si="61"/>
        <v>78.000455818625468</v>
      </c>
      <c r="P198" s="60">
        <f t="shared" si="61"/>
        <v>96.599085997935774</v>
      </c>
      <c r="Q198" s="60">
        <f t="shared" si="61"/>
        <v>94.676899214478411</v>
      </c>
      <c r="R198" s="60">
        <f t="shared" si="61"/>
        <v>97.958847755075581</v>
      </c>
      <c r="S198" s="60">
        <f t="shared" si="61"/>
        <v>97.003641566519875</v>
      </c>
      <c r="T198" s="60">
        <f t="shared" si="61"/>
        <v>95.434045090296777</v>
      </c>
      <c r="U198" s="60">
        <f t="shared" si="61"/>
        <v>96.053981358867745</v>
      </c>
      <c r="V198" s="60">
        <f t="shared" si="61"/>
        <v>18.900875658137672</v>
      </c>
    </row>
    <row r="199" spans="3:22" x14ac:dyDescent="0.2">
      <c r="C199" s="91" t="s">
        <v>202</v>
      </c>
      <c r="D199" s="64">
        <f t="shared" ref="D199:V199" si="62">+IFERROR(IF(D160&gt;0,+((D160/D42)*100)," "),"")</f>
        <v>71.610905573604086</v>
      </c>
      <c r="E199" s="64">
        <f t="shared" si="62"/>
        <v>62.75898471297873</v>
      </c>
      <c r="F199" s="64">
        <f t="shared" si="62"/>
        <v>52.329876563801236</v>
      </c>
      <c r="G199" s="64">
        <f t="shared" si="62"/>
        <v>64.476823338793849</v>
      </c>
      <c r="H199" s="64">
        <f t="shared" si="62"/>
        <v>62.768339267332387</v>
      </c>
      <c r="I199" s="64">
        <f t="shared" si="62"/>
        <v>66.656840906540907</v>
      </c>
      <c r="J199" s="64">
        <f t="shared" si="62"/>
        <v>61.958871072715269</v>
      </c>
      <c r="K199" s="64">
        <f t="shared" si="62"/>
        <v>77.37904928739205</v>
      </c>
      <c r="L199" s="64">
        <f t="shared" si="62"/>
        <v>85.235836167650078</v>
      </c>
      <c r="M199" s="64">
        <f t="shared" si="62"/>
        <v>85.127082496127727</v>
      </c>
      <c r="N199" s="64">
        <f t="shared" si="62"/>
        <v>78.731125382053719</v>
      </c>
      <c r="O199" s="64">
        <f t="shared" si="62"/>
        <v>85.905677148064953</v>
      </c>
      <c r="P199" s="64">
        <f t="shared" si="62"/>
        <v>86.176705340446617</v>
      </c>
      <c r="Q199" s="64">
        <f t="shared" si="62"/>
        <v>88.353332948790367</v>
      </c>
      <c r="R199" s="64">
        <f t="shared" si="62"/>
        <v>87.290332690460957</v>
      </c>
      <c r="S199" s="64">
        <f t="shared" si="62"/>
        <v>87.356702643653321</v>
      </c>
      <c r="T199" s="64">
        <f t="shared" si="62"/>
        <v>85.223334972240181</v>
      </c>
      <c r="U199" s="64">
        <f t="shared" si="62"/>
        <v>87.865760677232899</v>
      </c>
      <c r="V199" s="64">
        <f t="shared" si="62"/>
        <v>75.702092991969224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55" t="s">
        <v>215</v>
      </c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</row>
    <row r="205" spans="3:22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76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60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85.17598133539*Deflactores!$A$5</f>
        <v>317.17090679596623</v>
      </c>
      <c r="E208" s="56">
        <f>231.93612659275*Deflactores!$B$5</f>
        <v>802.30113399678044</v>
      </c>
      <c r="F208" s="56">
        <f>208.82006227523*Deflactores!$C$5</f>
        <v>675.13491585668601</v>
      </c>
      <c r="G208" s="56">
        <f>94.70168345692*Deflactores!$D$5</f>
        <v>287.51576742710563</v>
      </c>
      <c r="H208" s="56">
        <f>176.1071641476*Deflactores!$E$5</f>
        <v>506.80507105271403</v>
      </c>
      <c r="I208" s="56">
        <f>228.27832256779*Deflactores!$F$5</f>
        <v>626.52552768775149</v>
      </c>
      <c r="J208" s="56">
        <f>441.025180527129*Deflactores!$G$5</f>
        <v>1158.5448446970208</v>
      </c>
      <c r="K208" s="56">
        <f>812.52779644304*Deflactores!$H$5</f>
        <v>2019.4609530814341</v>
      </c>
      <c r="L208" s="56">
        <f>983.48876549538*Deflactores!$I$5</f>
        <v>2270.1486279593701</v>
      </c>
      <c r="M208" s="56">
        <f>883.38942666572*Deflactores!$J$5</f>
        <v>1999.0755865696403</v>
      </c>
      <c r="N208" s="56">
        <f>865.37989191571*Deflactores!$K$5</f>
        <v>1898.1268947210399</v>
      </c>
      <c r="O208" s="56">
        <f>1044.18205873286*Deflactores!$L$5</f>
        <v>2208.0259374068819</v>
      </c>
      <c r="P208" s="56">
        <f>1030.98084034772*Deflactores!$M$5</f>
        <v>2128.1829942068598</v>
      </c>
      <c r="Q208" s="56">
        <f>1348.89095007293*Deflactores!$N$5</f>
        <v>2731.4332117555045</v>
      </c>
      <c r="R208" s="56">
        <f>1550.46152286875*Deflactores!$O$5</f>
        <v>3028.7507403908053</v>
      </c>
      <c r="S208" s="56">
        <f>1723.24179892657*Deflactores!$P$5</f>
        <v>3152.8224760788153</v>
      </c>
      <c r="T208" s="56">
        <f>805.168596798269*Deflactores!$Q$5</f>
        <v>1393.0276915673719</v>
      </c>
      <c r="U208" s="56">
        <f>1192.60538529232*Deflactores!$R$5</f>
        <v>1982.2602814404595</v>
      </c>
      <c r="V208" s="56">
        <f>877.36275098968*Deflactores!$S$5</f>
        <v>1413.3430305506527</v>
      </c>
    </row>
    <row r="209" spans="3:22" x14ac:dyDescent="0.2">
      <c r="C209" s="88" t="s">
        <v>124</v>
      </c>
      <c r="D209" s="57">
        <f>9.29570017371*Deflactores!$A$5</f>
        <v>34.614519341898244</v>
      </c>
      <c r="E209" s="57">
        <f>29.42132663209*Deflactores!$B$5</f>
        <v>101.77269090150156</v>
      </c>
      <c r="F209" s="57">
        <f>26.9076005333*Deflactores!$C$5</f>
        <v>86.994805116048838</v>
      </c>
      <c r="G209" s="57">
        <f>36.42882186205*Deflactores!$D$5</f>
        <v>110.5984634253858</v>
      </c>
      <c r="H209" s="57">
        <f>33.2029284488499*Deflactores!$E$5</f>
        <v>95.552117900064886</v>
      </c>
      <c r="I209" s="57">
        <f>51.403110399*Deflactores!$F$5</f>
        <v>141.0793653346627</v>
      </c>
      <c r="J209" s="57">
        <f>84.44354048973*Deflactores!$G$5</f>
        <v>221.82776136593603</v>
      </c>
      <c r="K209" s="57">
        <f>291.64683329203*Deflactores!$H$5</f>
        <v>724.86060723264518</v>
      </c>
      <c r="L209" s="57">
        <f>115.584124060039*Deflactores!$I$5</f>
        <v>266.79831011248677</v>
      </c>
      <c r="M209" s="57">
        <f>98.78475401357*Deflactores!$J$5</f>
        <v>223.5460195841149</v>
      </c>
      <c r="N209" s="57">
        <f>236.56470782545*Deflactores!$K$5</f>
        <v>518.88175177179653</v>
      </c>
      <c r="O209" s="57">
        <f>212.31920758233*Deflactores!$L$5</f>
        <v>448.96990273934438</v>
      </c>
      <c r="P209" s="57">
        <f>94.587973996691*Deflactores!$M$5</f>
        <v>195.25146330395978</v>
      </c>
      <c r="Q209" s="57">
        <f>119.36918819974*Deflactores!$N$5</f>
        <v>241.71632635791255</v>
      </c>
      <c r="R209" s="57">
        <f>135.352189880691*Deflactores!$O$5</f>
        <v>264.40388185586897</v>
      </c>
      <c r="S209" s="57">
        <f>171.774005740596*Deflactores!$P$5</f>
        <v>314.2756555942384</v>
      </c>
      <c r="T209" s="57">
        <f>144.574528588456*Deflactores!$Q$5</f>
        <v>250.12937988374713</v>
      </c>
      <c r="U209" s="57">
        <f>163.24090228292*Deflactores!$R$5</f>
        <v>271.32692916913271</v>
      </c>
      <c r="V209" s="57">
        <f>158.12083363276*Deflactores!$S$5</f>
        <v>254.71673825636265</v>
      </c>
    </row>
    <row r="210" spans="3:22" x14ac:dyDescent="0.2">
      <c r="C210" s="87" t="s">
        <v>125</v>
      </c>
      <c r="D210" s="56">
        <f>20.545483391*Deflactores!$A$5</f>
        <v>76.505483066003777</v>
      </c>
      <c r="E210" s="56">
        <f>33.18002699995*Deflactores!$B$5</f>
        <v>114.77458763828382</v>
      </c>
      <c r="F210" s="56">
        <f>17.17255298646*Deflactores!$C$5</f>
        <v>55.520480116882901</v>
      </c>
      <c r="G210" s="56">
        <f>9.92716810509*Deflactores!$D$5</f>
        <v>30.139035040609677</v>
      </c>
      <c r="H210" s="56">
        <f>34.54573320167*Deflactores!$E$5</f>
        <v>99.416470957232576</v>
      </c>
      <c r="I210" s="56">
        <f>27.05380612204*Deflactores!$F$5</f>
        <v>74.251028156822713</v>
      </c>
      <c r="J210" s="56">
        <f>38.0651045518*Deflactores!$G$5</f>
        <v>99.994586677864831</v>
      </c>
      <c r="K210" s="56">
        <f>55.10427981698*Deflactores!$H$5</f>
        <v>136.9564732741614</v>
      </c>
      <c r="L210" s="56">
        <f>83.5915940049299*Deflactores!$I$5</f>
        <v>192.95120503348522</v>
      </c>
      <c r="M210" s="56">
        <f>67.77288090645*Deflactores!$J$5</f>
        <v>153.36736841298369</v>
      </c>
      <c r="N210" s="56">
        <f>211.80156890719*Deflactores!$K$5</f>
        <v>464.56620732991007</v>
      </c>
      <c r="O210" s="56">
        <f>225.14783206324*Deflactores!$L$5</f>
        <v>476.09729432609163</v>
      </c>
      <c r="P210" s="56">
        <f>302.43796730171*Deflactores!$M$5</f>
        <v>624.3019400796112</v>
      </c>
      <c r="Q210" s="56">
        <f>356.01186820313*Deflactores!$N$5</f>
        <v>720.90530412156534</v>
      </c>
      <c r="R210" s="56">
        <f>280.1938069688*Deflactores!$O$5</f>
        <v>547.34489556340338</v>
      </c>
      <c r="S210" s="56">
        <f>158.76243391372*Deflactores!$P$5</f>
        <v>290.46984022320783</v>
      </c>
      <c r="T210" s="56">
        <f>223.529243989709*Deflactores!$Q$5</f>
        <v>386.72947254896417</v>
      </c>
      <c r="U210" s="56">
        <f>314.70929897612*Deflactores!$R$5</f>
        <v>523.08647206672197</v>
      </c>
      <c r="V210" s="56">
        <f>185.78409540762*Deflactores!$S$5</f>
        <v>299.27946694263727</v>
      </c>
    </row>
    <row r="211" spans="3:22" x14ac:dyDescent="0.2">
      <c r="C211" s="88" t="s">
        <v>126</v>
      </c>
      <c r="D211" s="57">
        <f>8.82702869934999*Deflactores!$A$5</f>
        <v>32.869321292147056</v>
      </c>
      <c r="E211" s="57">
        <f>43.2465215259*Deflactores!$B$5</f>
        <v>149.59607100177516</v>
      </c>
      <c r="F211" s="57">
        <f>19.28475462221*Deflactores!$C$5</f>
        <v>62.349426809489948</v>
      </c>
      <c r="G211" s="57">
        <f>17.85314952197*Deflactores!$D$5</f>
        <v>54.202436518830311</v>
      </c>
      <c r="H211" s="57">
        <f>13.04125802136*Deflactores!$E$5</f>
        <v>37.530419220155302</v>
      </c>
      <c r="I211" s="57">
        <f>15.06320327854*Deflactores!$F$5</f>
        <v>41.341995493034901</v>
      </c>
      <c r="J211" s="57">
        <f>26.02885263156*Deflactores!$G$5</f>
        <v>68.376125357806742</v>
      </c>
      <c r="K211" s="57">
        <f>66.06942034174*Deflactores!$H$5</f>
        <v>164.2092924783054</v>
      </c>
      <c r="L211" s="57">
        <f>45.8878227172*Deflactores!$I$5</f>
        <v>105.92106533013951</v>
      </c>
      <c r="M211" s="57">
        <f>106.86529643657*Deflactores!$J$5</f>
        <v>241.83196980771004</v>
      </c>
      <c r="N211" s="57">
        <f>129.19738162402*Deflactores!$K$5</f>
        <v>283.38193096353632</v>
      </c>
      <c r="O211" s="57">
        <f>171.171783877*Deflactores!$L$5</f>
        <v>361.95961747444181</v>
      </c>
      <c r="P211" s="57">
        <f>248.8624937548*Deflactores!$M$5</f>
        <v>513.70976683354183</v>
      </c>
      <c r="Q211" s="57">
        <f>185.28793529968*Deflactores!$N$5</f>
        <v>375.19832139713577</v>
      </c>
      <c r="R211" s="57">
        <f>120.00725227439*Deflactores!$O$5</f>
        <v>234.4282968762802</v>
      </c>
      <c r="S211" s="57">
        <f>117.5430806656*Deflactores!$P$5</f>
        <v>215.05540711750135</v>
      </c>
      <c r="T211" s="57">
        <f>80.18175750539*Deflactores!$Q$5</f>
        <v>138.72300659477031</v>
      </c>
      <c r="U211" s="57">
        <f>103.449031383769*Deflactores!$R$5</f>
        <v>171.9453128372968</v>
      </c>
      <c r="V211" s="57">
        <f>62.00632806259*Deflactores!$S$5</f>
        <v>99.885949703750029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4.468227078*Deflactores!$F$5</f>
        <v>12.26335596119214</v>
      </c>
      <c r="J212" s="56">
        <f>31.797907981*Deflactores!$G$5</f>
        <v>83.531063508678031</v>
      </c>
      <c r="K212" s="56">
        <f>12.99541459514*Deflactores!$H$5</f>
        <v>32.29887329255147</v>
      </c>
      <c r="L212" s="56">
        <f>8.836132524*Deflactores!$I$5</f>
        <v>20.396098897705198</v>
      </c>
      <c r="M212" s="56">
        <f>9.923878953*Deflactores!$J$5</f>
        <v>22.457348413025127</v>
      </c>
      <c r="N212" s="56">
        <f>26.64836349315*Deflactores!$K$5</f>
        <v>58.450601775222594</v>
      </c>
      <c r="O212" s="56">
        <f>1.199999998*Deflactores!$L$5</f>
        <v>2.5375183363020022</v>
      </c>
      <c r="P212" s="56">
        <f>3.34611318076*Deflactores!$M$5</f>
        <v>6.9071518007872017</v>
      </c>
      <c r="Q212" s="56">
        <f>28.966133127*Deflactores!$N$5</f>
        <v>58.65489573856317</v>
      </c>
      <c r="R212" s="56">
        <f>43.05397549005*Deflactores!$O$5</f>
        <v>84.103835031638596</v>
      </c>
      <c r="S212" s="56">
        <f>43.87115787607*Deflactores!$P$5</f>
        <v>80.266142969277865</v>
      </c>
      <c r="T212" s="56">
        <f>58.97808824486*Deflactores!$Q$5</f>
        <v>102.03839350850687</v>
      </c>
      <c r="U212" s="56">
        <f>55.78819161467*Deflactores!$R$5</f>
        <v>92.726997358010479</v>
      </c>
      <c r="V212" s="56">
        <f>47.1439929030099*Deflactores!$S$5</f>
        <v>75.944224582862674</v>
      </c>
    </row>
    <row r="213" spans="3:22" x14ac:dyDescent="0.2">
      <c r="C213" s="88" t="s">
        <v>128</v>
      </c>
      <c r="D213" s="57">
        <f>4.00230913316*Deflactores!$A$5</f>
        <v>14.903450446243365</v>
      </c>
      <c r="E213" s="57">
        <f>13.31978643491*Deflactores!$B$5</f>
        <v>46.075097994920426</v>
      </c>
      <c r="F213" s="57">
        <f>6.94206668051*Deflactores!$C$5</f>
        <v>22.444354977924789</v>
      </c>
      <c r="G213" s="57">
        <f>6.1977747896*Deflactores!$D$5</f>
        <v>18.816539579075474</v>
      </c>
      <c r="H213" s="57">
        <f>20.14527360323*Deflactores!$E$5</f>
        <v>57.974511538351194</v>
      </c>
      <c r="I213" s="57">
        <f>25.50134206432*Deflactores!$F$5</f>
        <v>69.990183973116004</v>
      </c>
      <c r="J213" s="57">
        <f>36.76784992461*Deflactores!$G$5</f>
        <v>96.586782028719909</v>
      </c>
      <c r="K213" s="57">
        <f>37.23374662587*Deflactores!$H$5</f>
        <v>92.540954016633691</v>
      </c>
      <c r="L213" s="57">
        <f>53.27847909078*Deflactores!$I$5</f>
        <v>122.98062819942236</v>
      </c>
      <c r="M213" s="57">
        <f>65.48189343284*Deflactores!$J$5</f>
        <v>148.18295371502097</v>
      </c>
      <c r="N213" s="57">
        <f>80.80112123074*Deflactores!$K$5</f>
        <v>177.22942578682134</v>
      </c>
      <c r="O213" s="57">
        <f>86.72865335379*Deflactores!$L$5</f>
        <v>183.39629044567903</v>
      </c>
      <c r="P213" s="57">
        <f>133.11844140186*Deflactores!$M$5</f>
        <v>274.78726288571164</v>
      </c>
      <c r="Q213" s="57">
        <f>146.218453403599*Deflactores!$N$5</f>
        <v>296.08467591581183</v>
      </c>
      <c r="R213" s="57">
        <f>147.157542852489*Deflactores!$O$5</f>
        <v>287.46506139920342</v>
      </c>
      <c r="S213" s="57">
        <f>144.082696596529*Deflactores!$P$5</f>
        <v>263.61196932812925</v>
      </c>
      <c r="T213" s="57">
        <f>96.27892908392*Deflactores!$Q$5</f>
        <v>166.57283314534769</v>
      </c>
      <c r="U213" s="57">
        <f>115.018286045119*Deflactores!$R$5</f>
        <v>191.17487047965375</v>
      </c>
      <c r="V213" s="57">
        <f>102.970329599139*Deflactores!$S$5</f>
        <v>165.87483059690385</v>
      </c>
    </row>
    <row r="214" spans="3:22" x14ac:dyDescent="0.2">
      <c r="C214" s="87" t="s">
        <v>129</v>
      </c>
      <c r="D214" s="56">
        <f>244.6461160135*Deflactores!$A$5</f>
        <v>910.9919163076662</v>
      </c>
      <c r="E214" s="56">
        <f>449.080126806259*Deflactores!$B$5</f>
        <v>1553.4341298400466</v>
      </c>
      <c r="F214" s="56">
        <f>499.79202845867*Deflactores!$C$5</f>
        <v>1615.8746693339717</v>
      </c>
      <c r="G214" s="56">
        <f>450.310883844659*Deflactores!$D$5</f>
        <v>1367.150768848499</v>
      </c>
      <c r="H214" s="56">
        <f>374.99270866831*Deflactores!$E$5</f>
        <v>1079.16226623017</v>
      </c>
      <c r="I214" s="56">
        <f>401.08193256991*Deflactores!$F$5</f>
        <v>1100.7968983772562</v>
      </c>
      <c r="J214" s="56">
        <f>701.92558791006*Deflactores!$G$5</f>
        <v>1843.9134705690619</v>
      </c>
      <c r="K214" s="56">
        <f>893.12280245156*Deflactores!$H$5</f>
        <v>2219.7722142592902</v>
      </c>
      <c r="L214" s="56">
        <f>2816.40542888519*Deflactores!$I$5</f>
        <v>6500.9984297487836</v>
      </c>
      <c r="M214" s="56">
        <f>2122.8875783146*Deflactores!$J$5</f>
        <v>4804.0112352924361</v>
      </c>
      <c r="N214" s="56">
        <f>1265.90113373242*Deflactores!$K$5</f>
        <v>2776.6314082895337</v>
      </c>
      <c r="O214" s="56">
        <f>887.247306605568*Deflactores!$L$5</f>
        <v>1876.1719275821144</v>
      </c>
      <c r="P214" s="56">
        <f>1231.66916956715*Deflactores!$M$5</f>
        <v>2542.4501393038818</v>
      </c>
      <c r="Q214" s="56">
        <f>1957.3398087138*Deflactores!$N$5</f>
        <v>3963.5101413668622</v>
      </c>
      <c r="R214" s="56">
        <f>1402.1110770805*Deflactores!$O$5</f>
        <v>2738.9554014602927</v>
      </c>
      <c r="S214" s="56">
        <f>789.902979163621*Deflactores!$P$5</f>
        <v>1445.196993352876</v>
      </c>
      <c r="T214" s="56">
        <f>551.002589893771*Deflactores!$Q$5</f>
        <v>953.29334613837636</v>
      </c>
      <c r="U214" s="56">
        <f>572.810591552245*Deflactores!$R$5</f>
        <v>952.08331139986944</v>
      </c>
      <c r="V214" s="56">
        <f>517.827005093498*Deflactores!$S$5</f>
        <v>834.1671536137751</v>
      </c>
    </row>
    <row r="215" spans="3:22" x14ac:dyDescent="0.2">
      <c r="C215" s="88" t="s">
        <v>130</v>
      </c>
      <c r="D215" s="57">
        <f>10.204497662*Deflactores!$A$5</f>
        <v>37.998620340040461</v>
      </c>
      <c r="E215" s="57">
        <f>34.11236281302*Deflactores!$B$5</f>
        <v>117.9996741786195</v>
      </c>
      <c r="F215" s="57">
        <f>4.56509332260999*Deflactores!$C$5</f>
        <v>14.759376386814751</v>
      </c>
      <c r="G215" s="57">
        <f>9.86552869346*Deflactores!$D$5</f>
        <v>29.951896838925894</v>
      </c>
      <c r="H215" s="57">
        <f>57.49341087405*Deflactores!$E$5</f>
        <v>165.45580257407653</v>
      </c>
      <c r="I215" s="57">
        <f>45.7553892235*Deflactores!$F$5</f>
        <v>125.57880685012836</v>
      </c>
      <c r="J215" s="57">
        <f>68.22095723447*Deflactores!$G$5</f>
        <v>179.21207630326973</v>
      </c>
      <c r="K215" s="57">
        <f>52.31563545877*Deflactores!$H$5</f>
        <v>130.02556159570693</v>
      </c>
      <c r="L215" s="57">
        <f>119.81433866492*Deflactores!$I$5</f>
        <v>276.56274893290094</v>
      </c>
      <c r="M215" s="57">
        <f>101.11486193845*Deflactores!$J$5</f>
        <v>228.81896232725089</v>
      </c>
      <c r="N215" s="57">
        <f>111.57337177835*Deflactores!$K$5</f>
        <v>244.72537400698408</v>
      </c>
      <c r="O215" s="57">
        <f>129.64465920981*Deflactores!$L$5</f>
        <v>274.14641708067495</v>
      </c>
      <c r="P215" s="57">
        <f>193.71980723772*Deflactores!$M$5</f>
        <v>399.88250340840432</v>
      </c>
      <c r="Q215" s="57">
        <f>256.20865386694*Deflactores!$N$5</f>
        <v>518.80904551512742</v>
      </c>
      <c r="R215" s="57">
        <f>226.49123761855*Deflactores!$O$5</f>
        <v>442.43955332729871</v>
      </c>
      <c r="S215" s="57">
        <f>325.0860494505*Deflactores!$P$5</f>
        <v>594.77352743280335</v>
      </c>
      <c r="T215" s="57">
        <f>167.41430137339*Deflactores!$Q$5</f>
        <v>289.64462685815363</v>
      </c>
      <c r="U215" s="57">
        <f>304.53929787559*Deflactores!$R$5</f>
        <v>506.18264998743035</v>
      </c>
      <c r="V215" s="57">
        <f>366.44756503056*Deflactores!$S$5</f>
        <v>590.31012145658212</v>
      </c>
    </row>
    <row r="216" spans="3:22" x14ac:dyDescent="0.2">
      <c r="C216" s="87" t="s">
        <v>131</v>
      </c>
      <c r="D216" s="56">
        <f>25.77763027999*Deflactores!$A$5</f>
        <v>95.98849631989566</v>
      </c>
      <c r="E216" s="56">
        <f>43.016165678*Deflactores!$B$5</f>
        <v>148.79923628392427</v>
      </c>
      <c r="F216" s="56">
        <f>27.08931768163*Deflactores!$C$5</f>
        <v>87.582313760145468</v>
      </c>
      <c r="G216" s="56">
        <f>88.58845763186*Deflactores!$D$5</f>
        <v>268.95591980468311</v>
      </c>
      <c r="H216" s="56">
        <f>130.01027692254*Deflactores!$E$5</f>
        <v>374.14643494052797</v>
      </c>
      <c r="I216" s="56">
        <f>242.80600887575*Deflactores!$F$5</f>
        <v>666.39776009156992</v>
      </c>
      <c r="J216" s="56">
        <f>265.78978819268*Deflactores!$G$5</f>
        <v>698.21271546376192</v>
      </c>
      <c r="K216" s="56">
        <f>521.53111320727*Deflactores!$H$5</f>
        <v>1296.2162322935462</v>
      </c>
      <c r="L216" s="56">
        <f>546.293519663619*Deflactores!$I$5</f>
        <v>1260.9879519089286</v>
      </c>
      <c r="M216" s="56">
        <f>665.10949108433*Deflactores!$J$5</f>
        <v>1505.1166630337907</v>
      </c>
      <c r="N216" s="56">
        <f>740.309051157519*Deflactores!$K$5</f>
        <v>1623.7961310803958</v>
      </c>
      <c r="O216" s="56">
        <f>687.1192400851*Deflactores!$L$5</f>
        <v>1452.9813948731683</v>
      </c>
      <c r="P216" s="56">
        <f>807.936964437329*Deflactores!$M$5</f>
        <v>1667.7688283001646</v>
      </c>
      <c r="Q216" s="56">
        <f>1036.67519938735*Deflactores!$N$5</f>
        <v>2099.2127415909877</v>
      </c>
      <c r="R216" s="56">
        <f>1602.25301233616*Deflactores!$O$5</f>
        <v>3129.9228815608249</v>
      </c>
      <c r="S216" s="56">
        <f>2213.33604975656*Deflactores!$P$5</f>
        <v>4049.4930247947959</v>
      </c>
      <c r="T216" s="56">
        <f>2289.40894861273*Deflactores!$Q$5</f>
        <v>3960.9220670322738</v>
      </c>
      <c r="U216" s="56">
        <f>3050.69171137115*Deflactores!$R$5</f>
        <v>5070.6336605116076</v>
      </c>
      <c r="V216" s="56">
        <f>3207.39197363786*Deflactores!$S$5</f>
        <v>5166.7854454405633</v>
      </c>
    </row>
    <row r="217" spans="3:22" x14ac:dyDescent="0.2">
      <c r="C217" s="88" t="s">
        <v>132</v>
      </c>
      <c r="D217" s="57">
        <f>0*Deflactores!$A$5</f>
        <v>0</v>
      </c>
      <c r="E217" s="57">
        <f>0*Deflactores!$B$5</f>
        <v>0</v>
      </c>
      <c r="F217" s="57">
        <f>0*Deflactores!$C$5</f>
        <v>0</v>
      </c>
      <c r="G217" s="57">
        <f>0*Deflactores!$D$5</f>
        <v>0</v>
      </c>
      <c r="H217" s="57">
        <f>0.58*Deflactores!$E$5</f>
        <v>1.6691367590486526</v>
      </c>
      <c r="I217" s="57">
        <f>0.6801182*Deflactores!$F$5</f>
        <v>1.8666310902933185</v>
      </c>
      <c r="J217" s="57">
        <f>0*Deflactores!$G$5</f>
        <v>0</v>
      </c>
      <c r="K217" s="57">
        <f>1.27239166024*Deflactores!$H$5</f>
        <v>3.1624090721938392</v>
      </c>
      <c r="L217" s="57">
        <f>1.50062830176*Deflactores!$I$5</f>
        <v>3.4638415809473386</v>
      </c>
      <c r="M217" s="57">
        <f>0.55841199934*Deflactores!$J$5</f>
        <v>1.2636644286558274</v>
      </c>
      <c r="N217" s="57">
        <f>1.44621028513999*Deflactores!$K$5</f>
        <v>3.1721220510099131</v>
      </c>
      <c r="O217" s="57">
        <f>2.96630026456*Deflactores!$L$5</f>
        <v>6.2725344373696243</v>
      </c>
      <c r="P217" s="57">
        <f>8.61586341154*Deflactores!$M$5</f>
        <v>17.785135547877182</v>
      </c>
      <c r="Q217" s="57">
        <f>6.61722459908*Deflactores!$N$5</f>
        <v>13.399531695720389</v>
      </c>
      <c r="R217" s="57">
        <f>8.0745218024*Deflactores!$O$5</f>
        <v>15.77318335644433</v>
      </c>
      <c r="S217" s="57">
        <f>7.92558658693*Deflactores!$P$5</f>
        <v>14.500557926895125</v>
      </c>
      <c r="T217" s="57">
        <f>11.94767269407*Deflactores!$Q$5</f>
        <v>20.670750174317575</v>
      </c>
      <c r="U217" s="57">
        <f>17.25193889509*Deflactores!$R$5</f>
        <v>28.674894203326495</v>
      </c>
      <c r="V217" s="57">
        <f>15.8286580128*Deflactores!$S$5</f>
        <v>25.498373916746971</v>
      </c>
    </row>
    <row r="218" spans="3:22" x14ac:dyDescent="0.2">
      <c r="C218" s="87" t="s">
        <v>133</v>
      </c>
      <c r="D218" s="56">
        <f>3.744977924*Deflactores!$A$5</f>
        <v>13.945222884006077</v>
      </c>
      <c r="E218" s="56">
        <f>23.12764849674*Deflactores!$B$5</f>
        <v>80.0019336711362</v>
      </c>
      <c r="F218" s="56">
        <f>6.87315140566*Deflactores!$C$5</f>
        <v>22.221545407904781</v>
      </c>
      <c r="G218" s="56">
        <f>8.3630042725*Deflactores!$D$5</f>
        <v>25.390209589017612</v>
      </c>
      <c r="H218" s="56">
        <f>26.2506366374899*Deflactores!$E$5</f>
        <v>75.544659586316754</v>
      </c>
      <c r="I218" s="56">
        <f>30.58735645222*Deflactores!$F$5</f>
        <v>83.949099617680844</v>
      </c>
      <c r="J218" s="56">
        <f>24.03153530397*Deflactores!$G$5</f>
        <v>63.129300924023454</v>
      </c>
      <c r="K218" s="56">
        <f>38.9731977815*Deflactores!$H$5</f>
        <v>96.864195269381909</v>
      </c>
      <c r="L218" s="56">
        <f>43.497448232*Deflactores!$I$5</f>
        <v>100.40345745471802</v>
      </c>
      <c r="M218" s="56">
        <f>47.87255974*Deflactores!$J$5</f>
        <v>108.333722992413</v>
      </c>
      <c r="N218" s="56">
        <f>40.70301312603*Deflactores!$K$5</f>
        <v>89.27811315290684</v>
      </c>
      <c r="O218" s="56">
        <f>53.37841477363*Deflactores!$L$5</f>
        <v>112.87392206380638</v>
      </c>
      <c r="P218" s="56">
        <f>70.41540246006*Deflactores!$M$5</f>
        <v>145.35368280480284</v>
      </c>
      <c r="Q218" s="56">
        <f>84.91096676486*Deflactores!$N$5</f>
        <v>171.94024072240003</v>
      </c>
      <c r="R218" s="56">
        <f>90.1646576626184*Deflactores!$O$5</f>
        <v>176.13224812406796</v>
      </c>
      <c r="S218" s="56">
        <f>66.16032581798*Deflactores!$P$5</f>
        <v>121.04613664406203</v>
      </c>
      <c r="T218" s="56">
        <f>68.82541995169*Deflactores!$Q$5</f>
        <v>119.07532938778888</v>
      </c>
      <c r="U218" s="56">
        <f>79.0435148838*Deflactores!$R$5</f>
        <v>131.38027212681035</v>
      </c>
      <c r="V218" s="56">
        <f>72.7597986213*Deflactores!$S$5</f>
        <v>117.2087077661825</v>
      </c>
    </row>
    <row r="219" spans="3:22" x14ac:dyDescent="0.2">
      <c r="C219" s="88" t="s">
        <v>134</v>
      </c>
      <c r="D219" s="57">
        <f>592.8436799809*Deflactores!$A$5</f>
        <v>2207.5797028671673</v>
      </c>
      <c r="E219" s="57">
        <f>1514.31713775285*Deflactores!$B$5</f>
        <v>5238.2454372153315</v>
      </c>
      <c r="F219" s="57">
        <f>796.06963176685*Deflactores!$C$5</f>
        <v>2573.7680470116761</v>
      </c>
      <c r="G219" s="57">
        <f>1083.97933999087*Deflactores!$D$5</f>
        <v>3290.9779471278116</v>
      </c>
      <c r="H219" s="57">
        <f>877.03483475819*Deflactores!$E$5</f>
        <v>2523.9501407949238</v>
      </c>
      <c r="I219" s="57">
        <f>1127.85403245863*Deflactores!$F$5</f>
        <v>3095.4728197245245</v>
      </c>
      <c r="J219" s="57">
        <f>242.964850308169*Deflactores!$G$5</f>
        <v>638.25306852246138</v>
      </c>
      <c r="K219" s="57">
        <f>680.293917187689*Deflactores!$H$5</f>
        <v>1690.8061587474085</v>
      </c>
      <c r="L219" s="57">
        <f>728.50955074138*Deflactores!$I$5</f>
        <v>1681.5900853100391</v>
      </c>
      <c r="M219" s="57">
        <f>803.547264480089*Deflactores!$J$5</f>
        <v>1818.3959085179511</v>
      </c>
      <c r="N219" s="57">
        <f>572.44169023261*Deflactores!$K$5</f>
        <v>1255.5953495576732</v>
      </c>
      <c r="O219" s="57">
        <f>955.94283161844*Deflactores!$L$5</f>
        <v>2021.4353897759331</v>
      </c>
      <c r="P219" s="57">
        <f>714.99224019504*Deflactores!$M$5</f>
        <v>1475.9094126906834</v>
      </c>
      <c r="Q219" s="57">
        <f>1020.80587985304*Deflactores!$N$5</f>
        <v>2067.0782043834906</v>
      </c>
      <c r="R219" s="57">
        <f>615.74194771123*Deflactores!$O$5</f>
        <v>1202.8217743639773</v>
      </c>
      <c r="S219" s="57">
        <f>587.933010320839*Deflactores!$P$5</f>
        <v>1075.6751667252277</v>
      </c>
      <c r="T219" s="57">
        <f>498.674829446969*Deflactores!$Q$5</f>
        <v>862.76073019935438</v>
      </c>
      <c r="U219" s="57">
        <f>540.44411851995*Deflactores!$R$5</f>
        <v>898.28615876793992</v>
      </c>
      <c r="V219" s="57">
        <f>708.90494584852*Deflactores!$S$5</f>
        <v>1141.974472255295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33.24488528352*Deflactores!$A$5</f>
        <v>123.79441065882767</v>
      </c>
      <c r="E221" s="57">
        <f>107.10643787493*Deflactores!$B$5</f>
        <v>370.49690286626588</v>
      </c>
      <c r="F221" s="57">
        <f>44.90793575091*Deflactores!$C$5</f>
        <v>145.1915830985962</v>
      </c>
      <c r="G221" s="57">
        <f>36.98771295925*Deflactores!$D$5</f>
        <v>112.29526539187599</v>
      </c>
      <c r="H221" s="57">
        <f>109.72355920479*Deflactores!$E$5</f>
        <v>315.76487241787265</v>
      </c>
      <c r="I221" s="57">
        <f>257.73248803341*Deflactores!$F$5</f>
        <v>707.36450684868271</v>
      </c>
      <c r="J221" s="57">
        <f>816.880948499949*Deflactores!$G$5</f>
        <v>2145.8938251205195</v>
      </c>
      <c r="K221" s="57">
        <f>1193.56327865999*Deflactores!$H$5</f>
        <v>2966.4885888672188</v>
      </c>
      <c r="L221" s="57">
        <f>1601.15101811754*Deflactores!$I$5</f>
        <v>3695.8742330975379</v>
      </c>
      <c r="M221" s="57">
        <f>1536.20389325318*Deflactores!$J$5</f>
        <v>3476.3690919268233</v>
      </c>
      <c r="N221" s="57">
        <f>2347.73948457492*Deflactores!$K$5</f>
        <v>5149.5389471150575</v>
      </c>
      <c r="O221" s="57">
        <f>2280.13714374659*Deflactores!$L$5</f>
        <v>4821.5748509861633</v>
      </c>
      <c r="P221" s="57">
        <f>3166.63367220219*Deflactores!$M$5</f>
        <v>6536.6645686554102</v>
      </c>
      <c r="Q221" s="57">
        <f>4010.88070260739*Deflactores!$N$5</f>
        <v>8121.8224192984271</v>
      </c>
      <c r="R221" s="57">
        <f>6575.19230356333*Deflactores!$O$5</f>
        <v>12844.316523754957</v>
      </c>
      <c r="S221" s="57">
        <f>7824.12886819458*Deflactores!$P$5</f>
        <v>14314.93210456423</v>
      </c>
      <c r="T221" s="57">
        <f>5838.21405649818*Deflactores!$Q$5</f>
        <v>10100.734035504707</v>
      </c>
      <c r="U221" s="57">
        <f>6614.38388050578*Deflactores!$R$5</f>
        <v>10993.938660869688</v>
      </c>
      <c r="V221" s="57">
        <f>6792.01465063813*Deflactores!$S$5</f>
        <v>10941.251562194759</v>
      </c>
    </row>
    <row r="222" spans="3:22" x14ac:dyDescent="0.2">
      <c r="C222" s="87" t="s">
        <v>137</v>
      </c>
      <c r="D222" s="56">
        <f>12.51854688887*Deflactores!$A$5</f>
        <v>46.615475469268212</v>
      </c>
      <c r="E222" s="56">
        <f>15.17908863866*Deflactores!$B$5</f>
        <v>52.506697454760527</v>
      </c>
      <c r="F222" s="56">
        <f>13.610224804*Deflactores!$C$5</f>
        <v>44.003137810236538</v>
      </c>
      <c r="G222" s="56">
        <f>8.28242896455*Deflactores!$D$5</f>
        <v>25.145581714884223</v>
      </c>
      <c r="H222" s="56">
        <f>31.64981887*Deflactores!$E$5</f>
        <v>91.082544988187394</v>
      </c>
      <c r="I222" s="56">
        <f>106.01119014057*Deflactores!$F$5</f>
        <v>290.95498905246831</v>
      </c>
      <c r="J222" s="56">
        <f>38.014173044*Deflactores!$G$5</f>
        <v>99.860792875606649</v>
      </c>
      <c r="K222" s="56">
        <f>53.03455770853*Deflactores!$H$5</f>
        <v>131.81237481987898</v>
      </c>
      <c r="L222" s="56">
        <f>73.65447563507*Deflactores!$I$5</f>
        <v>170.01374359553523</v>
      </c>
      <c r="M222" s="56">
        <f>64.16050132605*Deflactores!$J$5</f>
        <v>145.19269526135113</v>
      </c>
      <c r="N222" s="56">
        <f>93.05815089069*Deflactores!$K$5</f>
        <v>204.11403203234141</v>
      </c>
      <c r="O222" s="56">
        <f>116.683537001609*Deflactores!$L$5</f>
        <v>246.73884598302806</v>
      </c>
      <c r="P222" s="56">
        <f>137.917532579829*Deflactores!$M$5</f>
        <v>284.69369745064216</v>
      </c>
      <c r="Q222" s="56">
        <f>164.29446332762*Deflactores!$N$5</f>
        <v>332.68764507341763</v>
      </c>
      <c r="R222" s="56">
        <f>326.79412363594*Deflactores!$O$5</f>
        <v>638.3763346067276</v>
      </c>
      <c r="S222" s="56">
        <f>160.7990158964*Deflactores!$P$5</f>
        <v>294.19594613206539</v>
      </c>
      <c r="T222" s="56">
        <f>131.352035602*Deflactores!$Q$5</f>
        <v>227.25305440988689</v>
      </c>
      <c r="U222" s="56">
        <f>121.498361427389*Deflactores!$R$5</f>
        <v>201.94557150903526</v>
      </c>
      <c r="V222" s="56">
        <f>385.555699327379*Deflactores!$S$5</f>
        <v>621.09140138301098</v>
      </c>
    </row>
    <row r="223" spans="3:22" x14ac:dyDescent="0.2">
      <c r="C223" s="88" t="s">
        <v>138</v>
      </c>
      <c r="D223" s="57">
        <f>3.738*Deflactores!$A$5</f>
        <v>13.919239097873708</v>
      </c>
      <c r="E223" s="57">
        <f>17.09997932237*Deflactores!$B$5</f>
        <v>59.151340514314661</v>
      </c>
      <c r="F223" s="57">
        <f>0.0569237327999999*Deflactores!$C$5</f>
        <v>0.18403978590679254</v>
      </c>
      <c r="G223" s="57">
        <f>0*Deflactores!$D$5</f>
        <v>0</v>
      </c>
      <c r="H223" s="57">
        <f>0*Deflactores!$E$5</f>
        <v>0</v>
      </c>
      <c r="I223" s="57">
        <f>0*Deflactores!$F$5</f>
        <v>0</v>
      </c>
      <c r="J223" s="57">
        <f>0*Deflactores!$G$5</f>
        <v>0</v>
      </c>
      <c r="K223" s="57">
        <f>0*Deflactores!$H$5</f>
        <v>0</v>
      </c>
      <c r="L223" s="57">
        <f>31.9168157266099*Deflactores!$I$5</f>
        <v>73.672336657653346</v>
      </c>
      <c r="M223" s="57">
        <f>1.031*Deflactores!$J$5</f>
        <v>2.3331125181479129</v>
      </c>
      <c r="N223" s="57">
        <f>6.828781434*Deflactores!$K$5</f>
        <v>14.978270028152709</v>
      </c>
      <c r="O223" s="57">
        <f>0*Deflactores!$L$5</f>
        <v>0</v>
      </c>
      <c r="P223" s="57">
        <f>43.97807110646*Deflactores!$M$5</f>
        <v>90.780914042225945</v>
      </c>
      <c r="Q223" s="57">
        <f>27.26212360938*Deflactores!$N$5</f>
        <v>55.204366109520066</v>
      </c>
      <c r="R223" s="57">
        <f>12.17846894599*Deflactores!$O$5</f>
        <v>23.790043347058333</v>
      </c>
      <c r="S223" s="57">
        <f>12.17252577943*Deflactores!$P$5</f>
        <v>22.270706810815376</v>
      </c>
      <c r="T223" s="57">
        <f>8.00388973008*Deflactores!$Q$5</f>
        <v>13.847584317855139</v>
      </c>
      <c r="U223" s="57">
        <f>6.77227321476*Deflactores!$R$5</f>
        <v>11.256370610293178</v>
      </c>
      <c r="V223" s="57">
        <f>6.81710210028*Deflactores!$S$5</f>
        <v>10.981664916950965</v>
      </c>
    </row>
    <row r="224" spans="3:22" x14ac:dyDescent="0.2">
      <c r="C224" s="87" t="s">
        <v>139</v>
      </c>
      <c r="D224" s="56">
        <f>23.89119645812*Deflactores!$A$5</f>
        <v>88.963958222270136</v>
      </c>
      <c r="E224" s="56">
        <f>67.49547760803*Deflactores!$B$5</f>
        <v>233.47677233422192</v>
      </c>
      <c r="F224" s="56">
        <f>27.8589949408*Deflactores!$C$5</f>
        <v>90.070752782453809</v>
      </c>
      <c r="G224" s="56">
        <f>31.43848371822*Deflactores!$D$5</f>
        <v>95.447720072478717</v>
      </c>
      <c r="H224" s="56">
        <f>38.49519131349*Deflactores!$E$5</f>
        <v>110.78230839302852</v>
      </c>
      <c r="I224" s="56">
        <f>48.37323454161*Deflactores!$F$5</f>
        <v>132.7636630418358</v>
      </c>
      <c r="J224" s="56">
        <f>87.60938787441*Deflactores!$G$5</f>
        <v>230.14423926462362</v>
      </c>
      <c r="K224" s="56">
        <f>241.42612837933*Deflactores!$H$5</f>
        <v>600.04179727759117</v>
      </c>
      <c r="L224" s="56">
        <f>237.32280710842*Deflactores!$I$5</f>
        <v>547.80294787533774</v>
      </c>
      <c r="M224" s="56">
        <f>294.144115054189*Deflactores!$J$5</f>
        <v>665.63658290249123</v>
      </c>
      <c r="N224" s="56">
        <f>119.431716322559*Deflactores!$K$5</f>
        <v>261.96189090169412</v>
      </c>
      <c r="O224" s="56">
        <f>1700.09746528703*Deflactores!$L$5</f>
        <v>3595.0237490470358</v>
      </c>
      <c r="P224" s="56">
        <f>100.49045998807*Deflactores!$M$5</f>
        <v>207.43556005803751</v>
      </c>
      <c r="Q224" s="56">
        <f>144.59504494084*Deflactores!$N$5</f>
        <v>292.79735918262071</v>
      </c>
      <c r="R224" s="56">
        <f>122.96392936391*Deflactores!$O$5</f>
        <v>240.20402093772685</v>
      </c>
      <c r="S224" s="56">
        <f>179.7938523895*Deflactores!$P$5</f>
        <v>328.94867059719405</v>
      </c>
      <c r="T224" s="56">
        <f>138.19754743653*Deflactores!$Q$5</f>
        <v>239.09652121469279</v>
      </c>
      <c r="U224" s="56">
        <f>150.84373001022*Deflactores!$R$5</f>
        <v>250.7212682343343</v>
      </c>
      <c r="V224" s="56">
        <f>147.50327126382*Deflactores!$S$5</f>
        <v>237.61291460001195</v>
      </c>
    </row>
    <row r="225" spans="2:22" x14ac:dyDescent="0.2">
      <c r="C225" s="88" t="s">
        <v>140</v>
      </c>
      <c r="D225" s="57">
        <f>189.94669026396*Deflactores!$A$5</f>
        <v>707.30695495821806</v>
      </c>
      <c r="E225" s="57">
        <f>354.4745658765*Deflactores!$B$5</f>
        <v>1226.1795967434343</v>
      </c>
      <c r="F225" s="57">
        <f>199.94825103964*Deflactores!$C$5</f>
        <v>646.45151510114988</v>
      </c>
      <c r="G225" s="57">
        <f>285.19464139875*Deflactores!$D$5</f>
        <v>865.85531739951421</v>
      </c>
      <c r="H225" s="57">
        <f>523.061931669*Deflactores!$E$5</f>
        <v>1505.2791334615906</v>
      </c>
      <c r="I225" s="57">
        <f>496.30815724548*Deflactores!$F$5</f>
        <v>1362.1518093187303</v>
      </c>
      <c r="J225" s="57">
        <f>461.683144663299*Deflactores!$G$5</f>
        <v>1212.8119906756017</v>
      </c>
      <c r="K225" s="57">
        <f>2190.12838342285*Deflactores!$H$5</f>
        <v>5443.3568573525881</v>
      </c>
      <c r="L225" s="57">
        <f>1378.66138472129*Deflactores!$I$5</f>
        <v>3182.3101195966879</v>
      </c>
      <c r="M225" s="57">
        <f>6060.41510677628*Deflactores!$J$5</f>
        <v>13714.481426568826</v>
      </c>
      <c r="N225" s="57">
        <f>1011.26112385888*Deflactores!$K$5</f>
        <v>2218.1032338677551</v>
      </c>
      <c r="O225" s="57">
        <f>1528.16885819228*Deflactores!$L$5</f>
        <v>3231.4637542429437</v>
      </c>
      <c r="P225" s="57">
        <f>1831.25750095824*Deflactores!$M$5</f>
        <v>3780.1391830314215</v>
      </c>
      <c r="Q225" s="57">
        <f>2269.48559619472*Deflactores!$N$5</f>
        <v>4595.5889397225501</v>
      </c>
      <c r="R225" s="57">
        <f>1950.67295895613*Deflactores!$O$5</f>
        <v>3810.5442034880057</v>
      </c>
      <c r="S225" s="57">
        <f>2270.41757195972*Deflactores!$P$5</f>
        <v>4153.9286915033326</v>
      </c>
      <c r="T225" s="57">
        <f>2181.171244276*Deflactores!$Q$5</f>
        <v>3773.6592750998616</v>
      </c>
      <c r="U225" s="57">
        <f>2509.54624670779*Deflactores!$R$5</f>
        <v>4171.181776164387</v>
      </c>
      <c r="V225" s="57">
        <f>3052.35025836841*Deflactores!$S$5</f>
        <v>4917.0288567621446</v>
      </c>
    </row>
    <row r="226" spans="2:22" x14ac:dyDescent="0.2">
      <c r="C226" s="87" t="s">
        <v>141</v>
      </c>
      <c r="D226" s="56">
        <f>0.50997717775*Deflactores!$A$5</f>
        <v>1.8990086333764284</v>
      </c>
      <c r="E226" s="56">
        <f>2.01979671507*Deflactores!$B$5</f>
        <v>6.9867735516209439</v>
      </c>
      <c r="F226" s="56">
        <f>1.23149935904999*Deflactores!$C$5</f>
        <v>3.9815533387492961</v>
      </c>
      <c r="G226" s="56">
        <f>1.65200836502*Deflactores!$D$5</f>
        <v>5.0155228030428001</v>
      </c>
      <c r="H226" s="56">
        <f>3.22899349088999*Deflactores!$E$5</f>
        <v>9.2924685006436434</v>
      </c>
      <c r="I226" s="56">
        <f>3.07963480564999*Deflactores!$F$5</f>
        <v>8.4522691422986362</v>
      </c>
      <c r="J226" s="56">
        <f>13.57879981068*Deflactores!$G$5</f>
        <v>35.670635629088501</v>
      </c>
      <c r="K226" s="56">
        <f>18.65052181389*Deflactores!$H$5</f>
        <v>46.354107173470346</v>
      </c>
      <c r="L226" s="56">
        <f>25.4897290661799*Deflactores!$I$5</f>
        <v>58.836944047345305</v>
      </c>
      <c r="M226" s="56">
        <f>43.52419929584*Deflactores!$J$5</f>
        <v>98.49355404412114</v>
      </c>
      <c r="N226" s="56">
        <f>45.45448734348*Deflactores!$K$5</f>
        <v>99.700011195568905</v>
      </c>
      <c r="O226" s="56">
        <f>33.7686809774399*Deflactores!$L$5</f>
        <v>71.407206096500644</v>
      </c>
      <c r="P226" s="56">
        <f>51.5896616035099*Deflactores!$M$5</f>
        <v>106.49299793432304</v>
      </c>
      <c r="Q226" s="56">
        <f>63.4253531940899*Deflactores!$N$5</f>
        <v>128.43300355176495</v>
      </c>
      <c r="R226" s="56">
        <f>42.4448101772*Deflactores!$O$5</f>
        <v>82.913860391764217</v>
      </c>
      <c r="S226" s="56">
        <f>37.2615806565999*Deflactores!$P$5</f>
        <v>68.173339958171326</v>
      </c>
      <c r="T226" s="56">
        <f>45.0541537793662*Deflactores!$Q$5</f>
        <v>77.948499338352264</v>
      </c>
      <c r="U226" s="56">
        <f>163.5910267423*Deflactores!$R$5</f>
        <v>271.90888009602679</v>
      </c>
      <c r="V226" s="56">
        <f>187.07936476754*Deflactores!$S$5</f>
        <v>301.3660154318041</v>
      </c>
    </row>
    <row r="227" spans="2:22" x14ac:dyDescent="0.2">
      <c r="C227" s="88" t="s">
        <v>142</v>
      </c>
      <c r="D227" s="57">
        <f>69.03060881731*Deflactores!$A$5</f>
        <v>257.05017367574288</v>
      </c>
      <c r="E227" s="57">
        <f>232.68500429713*Deflactores!$B$5</f>
        <v>804.89161198861109</v>
      </c>
      <c r="F227" s="57">
        <f>72.5329934791799*Deflactores!$C$5</f>
        <v>234.50599485434782</v>
      </c>
      <c r="G227" s="57">
        <f>68.71112946582*Deflactores!$D$5</f>
        <v>208.60804579187109</v>
      </c>
      <c r="H227" s="57">
        <f>156.24348952418*Deflactores!$E$5</f>
        <v>449.64095125317573</v>
      </c>
      <c r="I227" s="57">
        <f>46.1036618070999*Deflactores!$F$5</f>
        <v>126.53466486487393</v>
      </c>
      <c r="J227" s="57">
        <f>69.4911722902*Deflactores!$G$5</f>
        <v>182.54884973356144</v>
      </c>
      <c r="K227" s="57">
        <f>146.83347061191*Deflactores!$H$5</f>
        <v>364.94069717277608</v>
      </c>
      <c r="L227" s="57">
        <f>163.894795252379*Deflactores!$I$5</f>
        <v>378.31194175813681</v>
      </c>
      <c r="M227" s="57">
        <f>314.99199521697*Deflactores!$J$5</f>
        <v>712.81451712618843</v>
      </c>
      <c r="N227" s="57">
        <f>307.27383550356*Deflactores!$K$5</f>
        <v>673.97536811521547</v>
      </c>
      <c r="O227" s="57">
        <f>269.300489123239*Deflactores!$L$5</f>
        <v>569.46244188686819</v>
      </c>
      <c r="P227" s="57">
        <f>437.978348760996*Deflactores!$M$5</f>
        <v>904.08864761209645</v>
      </c>
      <c r="Q227" s="57">
        <f>259.20447634869*Deflactores!$N$5</f>
        <v>524.87542843713709</v>
      </c>
      <c r="R227" s="57">
        <f>223.63837592285*Deflactores!$O$5</f>
        <v>436.86662755930121</v>
      </c>
      <c r="S227" s="57">
        <f>148.488417348233*Deflactores!$P$5</f>
        <v>271.67262304367387</v>
      </c>
      <c r="T227" s="57">
        <f>198.10426050026*Deflactores!$Q$5</f>
        <v>342.74153486823093</v>
      </c>
      <c r="U227" s="57">
        <f>216.478404007859*Deflactores!$R$5</f>
        <v>359.81435883690824</v>
      </c>
      <c r="V227" s="57">
        <f>171.78009306865*Deflactores!$S$5</f>
        <v>276.72042955100869</v>
      </c>
    </row>
    <row r="228" spans="2:22" x14ac:dyDescent="0.2">
      <c r="C228" s="87" t="s">
        <v>143</v>
      </c>
      <c r="D228" s="56">
        <f>478.51529897662*Deflactores!$A$5</f>
        <v>1781.8536271926421</v>
      </c>
      <c r="E228" s="56">
        <f>385.81379488361*Deflactores!$B$5</f>
        <v>1334.5865937057399</v>
      </c>
      <c r="F228" s="56">
        <f>537.47258786779*Deflactores!$C$5</f>
        <v>1737.699464465865</v>
      </c>
      <c r="G228" s="56">
        <f>451.080899457589*Deflactores!$D$5</f>
        <v>1369.4885480917069</v>
      </c>
      <c r="H228" s="56">
        <f>443.31571099111*Deflactores!$E$5</f>
        <v>1275.7837053087078</v>
      </c>
      <c r="I228" s="56">
        <f>448.66862352781*Deflactores!$F$5</f>
        <v>1231.4018385570603</v>
      </c>
      <c r="J228" s="56">
        <f>40.8277992175699*Deflactores!$G$5</f>
        <v>107.25200825790722</v>
      </c>
      <c r="K228" s="56">
        <f>115.79532016356*Deflactores!$H$5</f>
        <v>287.79831120062573</v>
      </c>
      <c r="L228" s="56">
        <f>49.31787309361*Deflactores!$I$5</f>
        <v>113.83851637688993</v>
      </c>
      <c r="M228" s="56">
        <f>32.04724265598*Deflactores!$J$5</f>
        <v>72.521651806780525</v>
      </c>
      <c r="N228" s="56">
        <f>45.79105077182*Deflactores!$K$5</f>
        <v>100.43823044595784</v>
      </c>
      <c r="O228" s="56">
        <f>56.45846049696*Deflactores!$L$5</f>
        <v>119.38698249099352</v>
      </c>
      <c r="P228" s="56">
        <f>70.5048495064*Deflactores!$M$5</f>
        <v>145.53832220395853</v>
      </c>
      <c r="Q228" s="56">
        <f>97.2449330888499*Deflactores!$N$5</f>
        <v>196.91587366604051</v>
      </c>
      <c r="R228" s="56">
        <f>95.93667375844*Deflactores!$O$5</f>
        <v>187.40759921528442</v>
      </c>
      <c r="S228" s="56">
        <f>66.5919597266899*Deflactores!$P$5</f>
        <v>121.83584885372757</v>
      </c>
      <c r="T228" s="56">
        <f>51.2266688448*Deflactores!$Q$5</f>
        <v>88.627609833915187</v>
      </c>
      <c r="U228" s="56">
        <f>33.12447223452*Deflactores!$R$5</f>
        <v>55.057042726728945</v>
      </c>
      <c r="V228" s="56">
        <f>23.04919355997*Deflactores!$S$5</f>
        <v>37.129929485893761</v>
      </c>
    </row>
    <row r="229" spans="2:22" x14ac:dyDescent="0.2">
      <c r="C229" s="88" t="s">
        <v>144</v>
      </c>
      <c r="D229" s="57">
        <f>3.30990141816*Deflactores!$A$5</f>
        <v>12.325122854403507</v>
      </c>
      <c r="E229" s="57">
        <f>34.91933000916*Deflactores!$B$5</f>
        <v>120.79109225596856</v>
      </c>
      <c r="F229" s="57">
        <f>15.15585196482*Deflactores!$C$5</f>
        <v>49.000295898383506</v>
      </c>
      <c r="G229" s="57">
        <f>15.02365065738*Deflactores!$D$5</f>
        <v>45.612034450035061</v>
      </c>
      <c r="H229" s="57">
        <f>24.71888923175*Deflactores!$E$5</f>
        <v>71.136563206147997</v>
      </c>
      <c r="I229" s="57">
        <f>25.54293371844*Deflactores!$F$5</f>
        <v>70.104335123132458</v>
      </c>
      <c r="J229" s="57">
        <f>39.96841163936*Deflactores!$G$5</f>
        <v>104.99445224457095</v>
      </c>
      <c r="K229" s="57">
        <f>51.29681523284*Deflactores!$H$5</f>
        <v>127.49338032943875</v>
      </c>
      <c r="L229" s="57">
        <f>60.72293143023*Deflactores!$I$5</f>
        <v>140.16436619138494</v>
      </c>
      <c r="M229" s="57">
        <f>58.95885193803*Deflactores!$J$5</f>
        <v>133.42156693719414</v>
      </c>
      <c r="N229" s="57">
        <f>56.35410637401*Deflactores!$K$5</f>
        <v>123.60726882581369</v>
      </c>
      <c r="O229" s="57">
        <f>35.96286998739*Deflactores!$L$5</f>
        <v>76.047035142617631</v>
      </c>
      <c r="P229" s="57">
        <f>38.0838349023699*Deflactores!$M$5</f>
        <v>78.613846757879301</v>
      </c>
      <c r="Q229" s="57">
        <f>104.62414360902*Deflactores!$N$5</f>
        <v>211.85838676558976</v>
      </c>
      <c r="R229" s="57">
        <f>116.67564795315*Deflactores!$O$5</f>
        <v>227.92017080813073</v>
      </c>
      <c r="S229" s="57">
        <f>66.749551135*Deflactores!$P$5</f>
        <v>122.12417619958613</v>
      </c>
      <c r="T229" s="57">
        <f>58.830486963*Deflactores!$Q$5</f>
        <v>101.78302752210423</v>
      </c>
      <c r="U229" s="57">
        <f>89.7059556029899*Deflactores!$R$5</f>
        <v>149.10259084305781</v>
      </c>
      <c r="V229" s="57">
        <f>114.282096487289*Deflactores!$S$5</f>
        <v>184.09694781871019</v>
      </c>
    </row>
    <row r="230" spans="2:22" x14ac:dyDescent="0.2">
      <c r="C230" s="87" t="s">
        <v>145</v>
      </c>
      <c r="D230" s="56">
        <f>5*Deflactores!$A$5</f>
        <v>18.618564871420155</v>
      </c>
      <c r="E230" s="56">
        <f>0*Deflactores!$B$5</f>
        <v>0</v>
      </c>
      <c r="F230" s="56">
        <f>0*Deflactores!$C$5</f>
        <v>0</v>
      </c>
      <c r="G230" s="56">
        <f>4.231592073*Deflactores!$D$5</f>
        <v>12.8471786128333</v>
      </c>
      <c r="H230" s="56">
        <f>8.5*Deflactores!$E$5</f>
        <v>24.461486986057842</v>
      </c>
      <c r="I230" s="56">
        <f>53.168448274*Deflactores!$F$5</f>
        <v>145.92445632376919</v>
      </c>
      <c r="J230" s="56">
        <f>77.858463147*Deflactores!$G$5</f>
        <v>204.52918581015388</v>
      </c>
      <c r="K230" s="56">
        <f>1.044812*Deflactores!$H$5</f>
        <v>2.5967813612624293</v>
      </c>
      <c r="L230" s="56">
        <f>64.179985083*Deflactores!$I$5</f>
        <v>148.14414784416743</v>
      </c>
      <c r="M230" s="56">
        <f>36.650694512*Deflactores!$J$5</f>
        <v>82.939082604037083</v>
      </c>
      <c r="N230" s="56">
        <f>44.932082771*Deflactores!$K$5</f>
        <v>98.554167412725249</v>
      </c>
      <c r="O230" s="56">
        <f>27.938228371*Deflactores!$L$5</f>
        <v>59.078139077801332</v>
      </c>
      <c r="P230" s="56">
        <f>30.112488*Deflactores!$M$5</f>
        <v>62.159142407771768</v>
      </c>
      <c r="Q230" s="56">
        <f>38.546132739*Deflactores!$N$5</f>
        <v>78.053890970466</v>
      </c>
      <c r="R230" s="56">
        <f>35.786248664*Deflactores!$O$5</f>
        <v>69.906686195188286</v>
      </c>
      <c r="S230" s="56">
        <f>33.859673928*Deflactores!$P$5</f>
        <v>61.949252310033593</v>
      </c>
      <c r="T230" s="56">
        <f>21.84*Deflactores!$Q$5</f>
        <v>37.785533247087024</v>
      </c>
      <c r="U230" s="56">
        <f>36.261372*Deflactores!$R$5</f>
        <v>60.270965025467149</v>
      </c>
      <c r="V230" s="56">
        <f>35.5*Deflactores!$S$5</f>
        <v>57.186924710390791</v>
      </c>
    </row>
    <row r="231" spans="2:22" x14ac:dyDescent="0.2">
      <c r="C231" s="88" t="s">
        <v>146</v>
      </c>
      <c r="D231" s="57">
        <f>0*Deflactores!$A$5</f>
        <v>0</v>
      </c>
      <c r="E231" s="57">
        <f>0*Deflactores!$B$5</f>
        <v>0</v>
      </c>
      <c r="F231" s="57">
        <f>0*Deflactores!$C$5</f>
        <v>0</v>
      </c>
      <c r="G231" s="57">
        <f>0*Deflactores!$D$5</f>
        <v>0</v>
      </c>
      <c r="H231" s="57">
        <f>1.62340268986*Deflactores!$E$5</f>
        <v>4.6718639730754923</v>
      </c>
      <c r="I231" s="57">
        <f>1.00402834921*Deflactores!$F$5</f>
        <v>2.7556247313647289</v>
      </c>
      <c r="J231" s="57">
        <f>1.96082205932999*Deflactores!$G$5</f>
        <v>5.1509537062934569</v>
      </c>
      <c r="K231" s="57">
        <f>0.84736601081*Deflactores!$H$5</f>
        <v>2.106048038344416</v>
      </c>
      <c r="L231" s="57">
        <f>4.50922967657*Deflactores!$I$5</f>
        <v>10.408478390968613</v>
      </c>
      <c r="M231" s="57">
        <f>6.64943371594*Deflactores!$J$5</f>
        <v>15.047407411497971</v>
      </c>
      <c r="N231" s="57">
        <f>3.97496821388*Deflactores!$K$5</f>
        <v>8.718707405743352</v>
      </c>
      <c r="O231" s="57">
        <f>3.20910731386*Deflactores!$L$5</f>
        <v>6.7859738880438023</v>
      </c>
      <c r="P231" s="57">
        <f>7.40002793792*Deflactores!$M$5</f>
        <v>15.27536982047644</v>
      </c>
      <c r="Q231" s="57">
        <f>11.94781988074*Deflactores!$N$5</f>
        <v>24.19370671036193</v>
      </c>
      <c r="R231" s="57">
        <f>39.7231694753259*Deflactores!$O$5</f>
        <v>77.597268416216863</v>
      </c>
      <c r="S231" s="57">
        <f>27.061998484287*Deflactores!$P$5</f>
        <v>49.512307049433737</v>
      </c>
      <c r="T231" s="57">
        <f>53.773683418188*Deflactores!$Q$5</f>
        <v>93.034217152759851</v>
      </c>
      <c r="U231" s="57">
        <f>48.6802644574899*Deflactores!$R$5</f>
        <v>80.912727641631022</v>
      </c>
      <c r="V231" s="57">
        <f>57.533753142195*Deflactores!$S$5</f>
        <v>92.681081950673658</v>
      </c>
    </row>
    <row r="232" spans="2:22" x14ac:dyDescent="0.2">
      <c r="C232" s="90" t="s">
        <v>147</v>
      </c>
      <c r="D232" s="58">
        <f>489.58197559456*Deflactores!$A$5</f>
        <v>1823.062754497071</v>
      </c>
      <c r="E232" s="58">
        <f>921.69894482047*Deflactores!$B$5</f>
        <v>3188.292050472719</v>
      </c>
      <c r="F232" s="58">
        <f>774.25242346665*Deflactores!$C$5</f>
        <v>2503.2309591021376</v>
      </c>
      <c r="G232" s="58">
        <f>835.96432195239*Deflactores!$D$5</f>
        <v>2538.0005380491311</v>
      </c>
      <c r="H232" s="58">
        <f>1164.19175778483*Deflactores!$E$5</f>
        <v>3350.3366508622848</v>
      </c>
      <c r="I232" s="58">
        <f>1375.07276763686*Deflactores!$F$5</f>
        <v>3773.981610088721</v>
      </c>
      <c r="J232" s="58">
        <f>1489.53926603968*Deflactores!$G$5</f>
        <v>3912.9240547703866</v>
      </c>
      <c r="K232" s="58">
        <f>1731.75551338667*Deflactores!$H$5</f>
        <v>4304.1144621481699</v>
      </c>
      <c r="L232" s="58">
        <f>1165.71968438876*Deflactores!$I$5</f>
        <v>2690.7851263226298</v>
      </c>
      <c r="M232" s="58">
        <f>1405.18071963139*Deflactores!$J$5</f>
        <v>3179.8687945995048</v>
      </c>
      <c r="N232" s="58">
        <f>2040.33261257751*Deflactores!$K$5</f>
        <v>4475.2717763484115</v>
      </c>
      <c r="O232" s="58">
        <f>2523.37737402437*Deflactores!$L$5</f>
        <v>5335.9303055569126</v>
      </c>
      <c r="P232" s="58">
        <f>3297.61244630149*Deflactores!$M$5</f>
        <v>6807.0350631703013</v>
      </c>
      <c r="Q232" s="58">
        <f>4402.14297601206*Deflactores!$N$5</f>
        <v>8914.1079395079705</v>
      </c>
      <c r="R232" s="58">
        <f>6626.36259600607*Deflactores!$O$5</f>
        <v>12944.27518692462</v>
      </c>
      <c r="S232" s="58">
        <f>7078.9036062747*Deflactores!$P$5</f>
        <v>12951.476925502131</v>
      </c>
      <c r="T232" s="58">
        <f>7099.38734047325*Deflactores!$Q$5</f>
        <v>12282.698552536664</v>
      </c>
      <c r="U232" s="58">
        <f>3142.1313713618*Deflactores!$R$5</f>
        <v>5222.6178862942688</v>
      </c>
      <c r="V232" s="58">
        <f>3454.66944035939*Deflactores!$S$5</f>
        <v>5565.1245404259244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12.311477938*Deflactores!$S$5</f>
        <v>19.832551039832204</v>
      </c>
    </row>
    <row r="234" spans="2:22" x14ac:dyDescent="0.2">
      <c r="C234" s="87" t="s">
        <v>149</v>
      </c>
      <c r="D234" s="56">
        <f>0.9*Deflactores!$A$5</f>
        <v>3.3513416768556281</v>
      </c>
      <c r="E234" s="56">
        <f>7*Deflactores!$B$5</f>
        <v>24.214028320989534</v>
      </c>
      <c r="F234" s="56">
        <f>0.38702772838*Deflactores!$C$5</f>
        <v>1.2512970736003382</v>
      </c>
      <c r="G234" s="56">
        <f>0.24037830266*Deflactores!$D$5</f>
        <v>0.72979222374177133</v>
      </c>
      <c r="H234" s="56">
        <f>0.605019502299999*Deflactores!$E$5</f>
        <v>1.7411384331556021</v>
      </c>
      <c r="I234" s="56">
        <f>1.19005012462*Deflactores!$F$5</f>
        <v>3.2661742644486353</v>
      </c>
      <c r="J234" s="56">
        <f>0.807912724299999*Deflactores!$G$5</f>
        <v>2.1223348757187632</v>
      </c>
      <c r="K234" s="56">
        <f>1.19006984709*Deflactores!$H$5</f>
        <v>2.9578059952639721</v>
      </c>
      <c r="L234" s="56">
        <f>1.92006559438999*Deflactores!$I$5</f>
        <v>4.432012268590479</v>
      </c>
      <c r="M234" s="56">
        <f>3.05148939007*Deflactores!$J$5</f>
        <v>6.9054006740716369</v>
      </c>
      <c r="N234" s="56">
        <f>6.25642824614*Deflactores!$K$5</f>
        <v>13.722868799969088</v>
      </c>
      <c r="O234" s="56">
        <f>19.44710051079*Deflactores!$L$5</f>
        <v>41.122811846902742</v>
      </c>
      <c r="P234" s="56">
        <f>9.783529715*Deflactores!$M$5</f>
        <v>20.19546896308773</v>
      </c>
      <c r="Q234" s="56">
        <f>5.51859364191*Deflactores!$N$5</f>
        <v>11.174861803973668</v>
      </c>
      <c r="R234" s="56">
        <f>7.60710882539999*Deflactores!$O$5</f>
        <v>14.860114970498392</v>
      </c>
      <c r="S234" s="56">
        <f>8.1561896*Deflactores!$P$5</f>
        <v>14.92246642697415</v>
      </c>
      <c r="T234" s="56">
        <f>13.23162612418*Deflactores!$Q$5</f>
        <v>22.892126777849295</v>
      </c>
      <c r="U234" s="56">
        <f>15.3048944705*Deflactores!$R$5</f>
        <v>25.43866126604286</v>
      </c>
      <c r="V234" s="56">
        <f>14.28308803855*Deflactores!$S$5</f>
        <v>23.008616346265974</v>
      </c>
    </row>
    <row r="235" spans="2:22" x14ac:dyDescent="0.2">
      <c r="C235" s="88" t="s">
        <v>150</v>
      </c>
      <c r="D235" s="57">
        <f>239.15476422431*Deflactores!$A$5</f>
        <v>890.54369840390154</v>
      </c>
      <c r="E235" s="57">
        <f>594.4040249575*Deflactores!$B$5</f>
        <v>2056.1308420615824</v>
      </c>
      <c r="F235" s="57">
        <f>256.27602103435*Deflactores!$C$5</f>
        <v>828.5644971653461</v>
      </c>
      <c r="G235" s="57">
        <f>238.58582148553*Deflactores!$D$5</f>
        <v>724.35022332885558</v>
      </c>
      <c r="H235" s="57">
        <f>409.78370103496*Deflactores!$E$5</f>
        <v>1179.2845494076814</v>
      </c>
      <c r="I235" s="57">
        <f>767.08849781248*Deflactores!$F$5</f>
        <v>2105.3270431862775</v>
      </c>
      <c r="J235" s="57">
        <f>1051.26897507379*Deflactores!$G$5</f>
        <v>2761.6161281447294</v>
      </c>
      <c r="K235" s="57">
        <f>1609.2470181785*Deflactores!$H$5</f>
        <v>3999.6311896045127</v>
      </c>
      <c r="L235" s="57">
        <f>1270.22957897993*Deflactores!$I$5</f>
        <v>2932.0212259488617</v>
      </c>
      <c r="M235" s="57">
        <f>1947.25148996654*Deflactores!$J$5</f>
        <v>4406.553663649961</v>
      </c>
      <c r="N235" s="57">
        <f>1934.3605943792*Deflactores!$K$5</f>
        <v>4242.8324283705033</v>
      </c>
      <c r="O235" s="57">
        <f>3164.36580043212*Deflactores!$L$5</f>
        <v>6691.363545621829</v>
      </c>
      <c r="P235" s="57">
        <f>4944.76015204961*Deflactores!$M$5</f>
        <v>10207.12903110254</v>
      </c>
      <c r="Q235" s="57">
        <f>4996.5949702616*Deflactores!$N$5</f>
        <v>10117.84195507068</v>
      </c>
      <c r="R235" s="57">
        <f>4721.09369190794*Deflactores!$O$5</f>
        <v>9222.4255835537933</v>
      </c>
      <c r="S235" s="57">
        <f>3977.45884045568*Deflactores!$P$5</f>
        <v>7277.1108718918722</v>
      </c>
      <c r="T235" s="57">
        <f>2735.05237667384*Deflactores!$Q$5</f>
        <v>4731.9328072955022</v>
      </c>
      <c r="U235" s="57">
        <f>2315.20575671139*Deflactores!$R$5</f>
        <v>3848.1634172450067</v>
      </c>
      <c r="V235" s="57">
        <f>2102.86130212911*Deflactores!$S$5</f>
        <v>3387.4977735563871</v>
      </c>
    </row>
    <row r="236" spans="2:22" x14ac:dyDescent="0.2">
      <c r="C236" s="87" t="s">
        <v>151</v>
      </c>
      <c r="D236" s="56">
        <f>61.406353339*Deflactores!$A$5</f>
        <v>228.65963463190383</v>
      </c>
      <c r="E236" s="56">
        <f>21.2143876185*Deflactores!$B$5</f>
        <v>73.383683229544104</v>
      </c>
      <c r="F236" s="56">
        <f>55.4416432174*Deflactores!$C$5</f>
        <v>179.2480507893026</v>
      </c>
      <c r="G236" s="56">
        <f>35.2659554043*Deflactores!$D$5</f>
        <v>107.06798297550738</v>
      </c>
      <c r="H236" s="56">
        <f>9.5346043585*Deflactores!$E$5</f>
        <v>27.438894168548011</v>
      </c>
      <c r="I236" s="56">
        <f>22.65820576873*Deflactores!$F$5</f>
        <v>62.187001227396706</v>
      </c>
      <c r="J236" s="56">
        <f>105.59388483823*Deflactores!$G$5</f>
        <v>277.38835856184636</v>
      </c>
      <c r="K236" s="56">
        <f>276.6781556009*Deflactores!$H$5</f>
        <v>687.6573752339018</v>
      </c>
      <c r="L236" s="56">
        <f>203.12475467744*Deflactores!$I$5</f>
        <v>468.86492181057883</v>
      </c>
      <c r="M236" s="56">
        <f>240.12921720191*Deflactores!$J$5</f>
        <v>543.40298993873466</v>
      </c>
      <c r="N236" s="56">
        <f>175.59608600289*Deflactores!$K$5</f>
        <v>385.15299068481102</v>
      </c>
      <c r="O236" s="56">
        <f>468.302105733759*Deflactores!$L$5</f>
        <v>990.27098517399543</v>
      </c>
      <c r="P236" s="56">
        <f>732.85055749066*Deflactores!$M$5</f>
        <v>1512.7731114970263</v>
      </c>
      <c r="Q236" s="56">
        <f>551.64323463517*Deflactores!$N$5</f>
        <v>1117.0485294169046</v>
      </c>
      <c r="R236" s="56">
        <f>713.7241593518*Deflactores!$O$5</f>
        <v>1394.2252317696255</v>
      </c>
      <c r="S236" s="56">
        <f>542.36887843788*Deflactores!$P$5</f>
        <v>992.31157886826077</v>
      </c>
      <c r="T236" s="56">
        <f>330.25736957812*Deflactores!$Q$5</f>
        <v>571.38053197296529</v>
      </c>
      <c r="U236" s="56">
        <f>357.64562416536*Deflactores!$R$5</f>
        <v>594.4520495689402</v>
      </c>
      <c r="V236" s="56">
        <f>347.59598352293*Deflactores!$S$5</f>
        <v>559.94212223549391</v>
      </c>
    </row>
    <row r="237" spans="2:22" x14ac:dyDescent="0.2">
      <c r="C237" s="79" t="s">
        <v>202</v>
      </c>
      <c r="D237" s="44">
        <f t="shared" ref="D237:V237" si="63">+SUM(D208:D236)</f>
        <v>9740.5316045048112</v>
      </c>
      <c r="E237" s="44">
        <f t="shared" si="63"/>
        <v>17904.087978222091</v>
      </c>
      <c r="F237" s="44">
        <f t="shared" si="63"/>
        <v>11680.033076043623</v>
      </c>
      <c r="G237" s="44">
        <f t="shared" si="63"/>
        <v>11594.162735105425</v>
      </c>
      <c r="H237" s="44">
        <f t="shared" si="63"/>
        <v>13433.904162913741</v>
      </c>
      <c r="I237" s="44">
        <f t="shared" si="63"/>
        <v>16062.683458129093</v>
      </c>
      <c r="J237" s="44">
        <f t="shared" si="63"/>
        <v>16434.489605089213</v>
      </c>
      <c r="K237" s="44">
        <f t="shared" si="63"/>
        <v>27574.523701188304</v>
      </c>
      <c r="L237" s="44">
        <f t="shared" si="63"/>
        <v>27418.683512251231</v>
      </c>
      <c r="M237" s="44">
        <f t="shared" si="63"/>
        <v>38510.382941064716</v>
      </c>
      <c r="N237" s="44">
        <f t="shared" si="63"/>
        <v>27464.505502036547</v>
      </c>
      <c r="O237" s="44">
        <f t="shared" si="63"/>
        <v>35280.524773583449</v>
      </c>
      <c r="P237" s="44">
        <f t="shared" si="63"/>
        <v>40751.305205873476</v>
      </c>
      <c r="Q237" s="44">
        <f t="shared" si="63"/>
        <v>47980.546945848502</v>
      </c>
      <c r="R237" s="44">
        <f t="shared" si="63"/>
        <v>54368.171209248998</v>
      </c>
      <c r="S237" s="44">
        <f t="shared" si="63"/>
        <v>52662.552407899318</v>
      </c>
      <c r="T237" s="44">
        <f t="shared" si="63"/>
        <v>41349.002538131404</v>
      </c>
      <c r="U237" s="44">
        <f t="shared" si="63"/>
        <v>37116.544037280073</v>
      </c>
      <c r="V237" s="44">
        <f t="shared" si="63"/>
        <v>37417.541847491586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55" t="s">
        <v>216</v>
      </c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</row>
    <row r="243" spans="3:22" ht="11.25" hidden="1" customHeight="1" x14ac:dyDescent="0.2">
      <c r="H243" s="27"/>
      <c r="I243" s="27"/>
      <c r="J243" s="27"/>
      <c r="L243" s="177"/>
      <c r="M243" s="156"/>
      <c r="N243" s="156"/>
      <c r="O243" s="156"/>
      <c r="P243" s="156"/>
      <c r="Q243" s="156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76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60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37.09905393619367</v>
      </c>
      <c r="E247" s="60">
        <f t="shared" si="64"/>
        <v>50.494226667437879</v>
      </c>
      <c r="F247" s="60">
        <f t="shared" si="64"/>
        <v>42.816291273955478</v>
      </c>
      <c r="G247" s="60">
        <f t="shared" si="64"/>
        <v>41.042579723748254</v>
      </c>
      <c r="H247" s="60">
        <f t="shared" si="64"/>
        <v>53.654693945053609</v>
      </c>
      <c r="I247" s="60">
        <f t="shared" si="64"/>
        <v>64.404010138229822</v>
      </c>
      <c r="J247" s="60">
        <f t="shared" si="64"/>
        <v>77.443944816447058</v>
      </c>
      <c r="K247" s="60">
        <f t="shared" si="64"/>
        <v>87.739084491309967</v>
      </c>
      <c r="L247" s="60">
        <f t="shared" si="64"/>
        <v>90.671464761177234</v>
      </c>
      <c r="M247" s="60">
        <f t="shared" si="64"/>
        <v>71.729109364817916</v>
      </c>
      <c r="N247" s="60">
        <f t="shared" si="64"/>
        <v>71.909992329072409</v>
      </c>
      <c r="O247" s="60">
        <f t="shared" si="64"/>
        <v>74.414337929759981</v>
      </c>
      <c r="P247" s="60">
        <f t="shared" si="64"/>
        <v>58.182898160258588</v>
      </c>
      <c r="Q247" s="60">
        <f t="shared" si="64"/>
        <v>59.300007202663373</v>
      </c>
      <c r="R247" s="60">
        <f t="shared" si="64"/>
        <v>52.458935018140082</v>
      </c>
      <c r="S247" s="60">
        <f t="shared" si="64"/>
        <v>53.494753071783229</v>
      </c>
      <c r="T247" s="60">
        <f t="shared" si="64"/>
        <v>39.802235291524148</v>
      </c>
      <c r="U247" s="60">
        <f t="shared" si="64"/>
        <v>54.104335627640751</v>
      </c>
      <c r="V247" s="60">
        <f t="shared" si="64"/>
        <v>51.973485058378529</v>
      </c>
    </row>
    <row r="248" spans="3:22" x14ac:dyDescent="0.2">
      <c r="C248" s="88" t="s">
        <v>124</v>
      </c>
      <c r="D248" s="62">
        <f t="shared" ref="D248:V248" si="65">+IFERROR(IF(D209&gt;0,+((D209/D14)*100)," "),"")</f>
        <v>19.37480557724944</v>
      </c>
      <c r="E248" s="62">
        <f t="shared" si="65"/>
        <v>47.815378586134251</v>
      </c>
      <c r="F248" s="62">
        <f t="shared" si="65"/>
        <v>40.890487156243275</v>
      </c>
      <c r="G248" s="62">
        <f t="shared" si="65"/>
        <v>39.721485667466958</v>
      </c>
      <c r="H248" s="62">
        <f t="shared" si="65"/>
        <v>15.258944135550042</v>
      </c>
      <c r="I248" s="62">
        <f t="shared" si="65"/>
        <v>27.700395701711567</v>
      </c>
      <c r="J248" s="62">
        <f t="shared" si="65"/>
        <v>27.831578512743661</v>
      </c>
      <c r="K248" s="62">
        <f t="shared" si="65"/>
        <v>78.084255761543659</v>
      </c>
      <c r="L248" s="62">
        <f t="shared" si="65"/>
        <v>28.92605264189546</v>
      </c>
      <c r="M248" s="62">
        <f t="shared" si="65"/>
        <v>22.825100789482345</v>
      </c>
      <c r="N248" s="62">
        <f t="shared" si="65"/>
        <v>48.18421038463336</v>
      </c>
      <c r="O248" s="62">
        <f t="shared" si="65"/>
        <v>81.665706162248611</v>
      </c>
      <c r="P248" s="62">
        <f t="shared" si="65"/>
        <v>67.152424491630953</v>
      </c>
      <c r="Q248" s="62">
        <f t="shared" si="65"/>
        <v>47.69597284533166</v>
      </c>
      <c r="R248" s="62">
        <f t="shared" si="65"/>
        <v>50.574527039737184</v>
      </c>
      <c r="S248" s="62">
        <f t="shared" si="65"/>
        <v>44.116626433629094</v>
      </c>
      <c r="T248" s="62">
        <f t="shared" si="65"/>
        <v>41.29650877973198</v>
      </c>
      <c r="U248" s="62">
        <f t="shared" si="65"/>
        <v>45.329455090273498</v>
      </c>
      <c r="V248" s="62">
        <f t="shared" si="65"/>
        <v>52.804062194177078</v>
      </c>
    </row>
    <row r="249" spans="3:22" x14ac:dyDescent="0.2">
      <c r="C249" s="87" t="s">
        <v>125</v>
      </c>
      <c r="D249" s="60">
        <f t="shared" ref="D249:V249" si="66">+IFERROR(IF(D210&gt;0,+((D210/D15)*100)," "),"")</f>
        <v>64.104460357979349</v>
      </c>
      <c r="E249" s="60">
        <f t="shared" si="66"/>
        <v>51.928768749157804</v>
      </c>
      <c r="F249" s="60">
        <f t="shared" si="66"/>
        <v>27.848722067416581</v>
      </c>
      <c r="G249" s="60">
        <f t="shared" si="66"/>
        <v>24.225124449428922</v>
      </c>
      <c r="H249" s="60">
        <f t="shared" si="66"/>
        <v>56.75939133023715</v>
      </c>
      <c r="I249" s="60">
        <f t="shared" si="66"/>
        <v>51.467405519330825</v>
      </c>
      <c r="J249" s="60">
        <f t="shared" si="66"/>
        <v>48.942487004883461</v>
      </c>
      <c r="K249" s="60">
        <f t="shared" si="66"/>
        <v>74.050466162196514</v>
      </c>
      <c r="L249" s="60">
        <f t="shared" si="66"/>
        <v>64.582906990435134</v>
      </c>
      <c r="M249" s="60">
        <f t="shared" si="66"/>
        <v>42.050995854762832</v>
      </c>
      <c r="N249" s="60">
        <f t="shared" si="66"/>
        <v>64.109691535495443</v>
      </c>
      <c r="O249" s="60">
        <f t="shared" si="66"/>
        <v>60.999650063014386</v>
      </c>
      <c r="P249" s="60">
        <f t="shared" si="66"/>
        <v>74.080908886874823</v>
      </c>
      <c r="Q249" s="60">
        <f t="shared" si="66"/>
        <v>86.30124621956476</v>
      </c>
      <c r="R249" s="60">
        <f t="shared" si="66"/>
        <v>79.154578023594865</v>
      </c>
      <c r="S249" s="60">
        <f t="shared" si="66"/>
        <v>47.621802803948341</v>
      </c>
      <c r="T249" s="60">
        <f t="shared" si="66"/>
        <v>78.529510000672971</v>
      </c>
      <c r="U249" s="60">
        <f t="shared" si="66"/>
        <v>88.178664485980946</v>
      </c>
      <c r="V249" s="60">
        <f t="shared" si="66"/>
        <v>59.722672579745272</v>
      </c>
    </row>
    <row r="250" spans="3:22" x14ac:dyDescent="0.2">
      <c r="C250" s="88" t="s">
        <v>126</v>
      </c>
      <c r="D250" s="62">
        <f t="shared" ref="D250:V250" si="67">+IFERROR(IF(D211&gt;0,+((D211/D16)*100)," "),"")</f>
        <v>9.2591284270818441</v>
      </c>
      <c r="E250" s="62">
        <f t="shared" si="67"/>
        <v>31.314973751384805</v>
      </c>
      <c r="F250" s="62">
        <f t="shared" si="67"/>
        <v>14.956042422316587</v>
      </c>
      <c r="G250" s="62">
        <f t="shared" si="67"/>
        <v>34.912227342854798</v>
      </c>
      <c r="H250" s="62">
        <f t="shared" si="67"/>
        <v>33.675702551095569</v>
      </c>
      <c r="I250" s="62">
        <f t="shared" si="67"/>
        <v>35.200937030409293</v>
      </c>
      <c r="J250" s="62">
        <f t="shared" si="67"/>
        <v>48.851667995885997</v>
      </c>
      <c r="K250" s="62">
        <f t="shared" si="67"/>
        <v>77.953690895266007</v>
      </c>
      <c r="L250" s="62">
        <f t="shared" si="67"/>
        <v>73.699785081176742</v>
      </c>
      <c r="M250" s="62">
        <f t="shared" si="67"/>
        <v>63.64109504267914</v>
      </c>
      <c r="N250" s="62">
        <f t="shared" si="67"/>
        <v>63.740708552930357</v>
      </c>
      <c r="O250" s="62">
        <f t="shared" si="67"/>
        <v>89.912688904760884</v>
      </c>
      <c r="P250" s="62">
        <f t="shared" si="67"/>
        <v>92.87084648000139</v>
      </c>
      <c r="Q250" s="62">
        <f t="shared" si="67"/>
        <v>57.177061627286406</v>
      </c>
      <c r="R250" s="62">
        <f t="shared" si="67"/>
        <v>53.065372403758829</v>
      </c>
      <c r="S250" s="62">
        <f t="shared" si="67"/>
        <v>51.774004073405003</v>
      </c>
      <c r="T250" s="62">
        <f t="shared" si="67"/>
        <v>38.476878263530729</v>
      </c>
      <c r="U250" s="62">
        <f t="shared" si="67"/>
        <v>42.704209240596448</v>
      </c>
      <c r="V250" s="62">
        <f t="shared" si="67"/>
        <v>46.60214137420693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>
        <f t="shared" si="68"/>
        <v>51.065452319999991</v>
      </c>
      <c r="J251" s="60">
        <f t="shared" si="68"/>
        <v>74.81860701411766</v>
      </c>
      <c r="K251" s="60">
        <f t="shared" si="68"/>
        <v>93.492191331942436</v>
      </c>
      <c r="L251" s="60">
        <f t="shared" si="68"/>
        <v>46.262473947643976</v>
      </c>
      <c r="M251" s="60">
        <f t="shared" si="68"/>
        <v>46.481868632318495</v>
      </c>
      <c r="N251" s="60">
        <f t="shared" si="68"/>
        <v>66.620908732875009</v>
      </c>
      <c r="O251" s="60">
        <f t="shared" si="68"/>
        <v>2.3999999959999996</v>
      </c>
      <c r="P251" s="60">
        <f t="shared" si="68"/>
        <v>7.5522709230646647</v>
      </c>
      <c r="Q251" s="60">
        <f t="shared" si="68"/>
        <v>46.351510708886131</v>
      </c>
      <c r="R251" s="60">
        <f t="shared" si="68"/>
        <v>71.512180167422613</v>
      </c>
      <c r="S251" s="60">
        <f t="shared" si="68"/>
        <v>79.385243161525352</v>
      </c>
      <c r="T251" s="60">
        <f t="shared" si="68"/>
        <v>89.423839948414482</v>
      </c>
      <c r="U251" s="60">
        <f t="shared" si="68"/>
        <v>80.536720004597242</v>
      </c>
      <c r="V251" s="60">
        <f t="shared" si="68"/>
        <v>65.555159428505732</v>
      </c>
    </row>
    <row r="252" spans="3:22" x14ac:dyDescent="0.2">
      <c r="C252" s="88" t="s">
        <v>128</v>
      </c>
      <c r="D252" s="62">
        <f t="shared" ref="D252:V252" si="69">+IFERROR(IF(D213&gt;0,+((D213/D18)*100)," "),"")</f>
        <v>16.305735460650538</v>
      </c>
      <c r="E252" s="62">
        <f t="shared" si="69"/>
        <v>53.521620087283438</v>
      </c>
      <c r="F252" s="62">
        <f t="shared" si="69"/>
        <v>40.770932521935748</v>
      </c>
      <c r="G252" s="62">
        <f t="shared" si="69"/>
        <v>50.935888801920846</v>
      </c>
      <c r="H252" s="62">
        <f t="shared" si="69"/>
        <v>55.837152726441495</v>
      </c>
      <c r="I252" s="62">
        <f t="shared" si="69"/>
        <v>76.308080396416074</v>
      </c>
      <c r="J252" s="62">
        <f t="shared" si="69"/>
        <v>76.109056966743864</v>
      </c>
      <c r="K252" s="62">
        <f t="shared" si="69"/>
        <v>64.22510089821921</v>
      </c>
      <c r="L252" s="62">
        <f t="shared" si="69"/>
        <v>73.797837843266905</v>
      </c>
      <c r="M252" s="62">
        <f t="shared" si="69"/>
        <v>76.718050621999339</v>
      </c>
      <c r="N252" s="62">
        <f t="shared" si="69"/>
        <v>84.053743124518533</v>
      </c>
      <c r="O252" s="62">
        <f t="shared" si="69"/>
        <v>77.954135825294813</v>
      </c>
      <c r="P252" s="62">
        <f t="shared" si="69"/>
        <v>71.923311547673308</v>
      </c>
      <c r="Q252" s="62">
        <f t="shared" si="69"/>
        <v>76.668966831799963</v>
      </c>
      <c r="R252" s="62">
        <f t="shared" si="69"/>
        <v>80.195007942244359</v>
      </c>
      <c r="S252" s="62">
        <f t="shared" si="69"/>
        <v>70.031985838674601</v>
      </c>
      <c r="T252" s="62">
        <f t="shared" si="69"/>
        <v>61.918567936031529</v>
      </c>
      <c r="U252" s="62">
        <f t="shared" si="69"/>
        <v>64.759390978192357</v>
      </c>
      <c r="V252" s="62">
        <f t="shared" si="69"/>
        <v>77.662020867903152</v>
      </c>
    </row>
    <row r="253" spans="3:22" x14ac:dyDescent="0.2">
      <c r="C253" s="87" t="s">
        <v>129</v>
      </c>
      <c r="D253" s="60">
        <f t="shared" ref="D253:V253" si="70">+IFERROR(IF(D214&gt;0,+((D214/D19)*100)," "),"")</f>
        <v>52.071635720486562</v>
      </c>
      <c r="E253" s="60">
        <f t="shared" si="70"/>
        <v>51.971062190948828</v>
      </c>
      <c r="F253" s="60">
        <f t="shared" si="70"/>
        <v>50.108144028353117</v>
      </c>
      <c r="G253" s="60">
        <f t="shared" si="70"/>
        <v>49.211638386810698</v>
      </c>
      <c r="H253" s="60">
        <f t="shared" si="70"/>
        <v>43.28460547313081</v>
      </c>
      <c r="I253" s="60">
        <f t="shared" si="70"/>
        <v>52.148887308081314</v>
      </c>
      <c r="J253" s="60">
        <f t="shared" si="70"/>
        <v>62.611370148941667</v>
      </c>
      <c r="K253" s="60">
        <f t="shared" si="70"/>
        <v>80.155032590702262</v>
      </c>
      <c r="L253" s="60">
        <f t="shared" si="70"/>
        <v>83.400112903769369</v>
      </c>
      <c r="M253" s="60">
        <f t="shared" si="70"/>
        <v>68.255839550938575</v>
      </c>
      <c r="N253" s="60">
        <f t="shared" si="70"/>
        <v>60.960546471461029</v>
      </c>
      <c r="O253" s="60">
        <f t="shared" si="70"/>
        <v>61.009428493815008</v>
      </c>
      <c r="P253" s="60">
        <f t="shared" si="70"/>
        <v>65.89610708298278</v>
      </c>
      <c r="Q253" s="60">
        <f t="shared" si="70"/>
        <v>68.33837070910846</v>
      </c>
      <c r="R253" s="60">
        <f t="shared" si="70"/>
        <v>60.177438815691673</v>
      </c>
      <c r="S253" s="60">
        <f t="shared" si="70"/>
        <v>57.434229861293218</v>
      </c>
      <c r="T253" s="60">
        <f t="shared" si="70"/>
        <v>56.420859046274387</v>
      </c>
      <c r="U253" s="60">
        <f t="shared" si="70"/>
        <v>61.998403821807749</v>
      </c>
      <c r="V253" s="60">
        <f t="shared" si="70"/>
        <v>66.796623616317973</v>
      </c>
    </row>
    <row r="254" spans="3:22" x14ac:dyDescent="0.2">
      <c r="C254" s="88" t="s">
        <v>130</v>
      </c>
      <c r="D254" s="62">
        <f t="shared" ref="D254:V254" si="71">+IFERROR(IF(D215&gt;0,+((D215/D20)*100)," "),"")</f>
        <v>40.736598923351139</v>
      </c>
      <c r="E254" s="62">
        <f t="shared" si="71"/>
        <v>57.622234481452708</v>
      </c>
      <c r="F254" s="62">
        <f t="shared" si="71"/>
        <v>27.186120310921808</v>
      </c>
      <c r="G254" s="62">
        <f t="shared" si="71"/>
        <v>48.734918681668653</v>
      </c>
      <c r="H254" s="62">
        <f t="shared" si="71"/>
        <v>84.806046071997528</v>
      </c>
      <c r="I254" s="62">
        <f t="shared" si="71"/>
        <v>87.570122915789483</v>
      </c>
      <c r="J254" s="62">
        <f t="shared" si="71"/>
        <v>92.403385143431834</v>
      </c>
      <c r="K254" s="62">
        <f t="shared" si="71"/>
        <v>84.999339203715181</v>
      </c>
      <c r="L254" s="62">
        <f t="shared" si="71"/>
        <v>91.890617744669768</v>
      </c>
      <c r="M254" s="62">
        <f t="shared" si="71"/>
        <v>83.898951778422358</v>
      </c>
      <c r="N254" s="62">
        <f t="shared" si="71"/>
        <v>86.905621909193968</v>
      </c>
      <c r="O254" s="62">
        <f t="shared" si="71"/>
        <v>81.014747109725903</v>
      </c>
      <c r="P254" s="62">
        <f t="shared" si="71"/>
        <v>62.189977282187279</v>
      </c>
      <c r="Q254" s="62">
        <f t="shared" si="71"/>
        <v>70.374619261157363</v>
      </c>
      <c r="R254" s="62">
        <f t="shared" si="71"/>
        <v>69.114650835189323</v>
      </c>
      <c r="S254" s="62">
        <f t="shared" si="71"/>
        <v>79.740545089734013</v>
      </c>
      <c r="T254" s="62">
        <f t="shared" si="71"/>
        <v>48.491657135704628</v>
      </c>
      <c r="U254" s="62">
        <f t="shared" si="71"/>
        <v>57.023578287916351</v>
      </c>
      <c r="V254" s="62">
        <f t="shared" si="71"/>
        <v>68.995378630883096</v>
      </c>
    </row>
    <row r="255" spans="3:22" x14ac:dyDescent="0.2">
      <c r="C255" s="87" t="s">
        <v>131</v>
      </c>
      <c r="D255" s="60">
        <f t="shared" ref="D255:V255" si="72">+IFERROR(IF(D216&gt;0,+((D216/D21)*100)," "),"")</f>
        <v>21.982564330784875</v>
      </c>
      <c r="E255" s="60">
        <f t="shared" si="72"/>
        <v>32.004789746542919</v>
      </c>
      <c r="F255" s="60">
        <f t="shared" si="72"/>
        <v>19.832426537184126</v>
      </c>
      <c r="G255" s="60">
        <f t="shared" si="72"/>
        <v>73.08809219348214</v>
      </c>
      <c r="H255" s="60">
        <f t="shared" si="72"/>
        <v>48.610973483176636</v>
      </c>
      <c r="I255" s="60">
        <f t="shared" si="72"/>
        <v>51.103543563274435</v>
      </c>
      <c r="J255" s="60">
        <f t="shared" si="72"/>
        <v>52.216045919445477</v>
      </c>
      <c r="K255" s="60">
        <f t="shared" si="72"/>
        <v>83.239318708319928</v>
      </c>
      <c r="L255" s="60">
        <f t="shared" si="72"/>
        <v>65.526445383021951</v>
      </c>
      <c r="M255" s="60">
        <f t="shared" si="72"/>
        <v>69.276226032480054</v>
      </c>
      <c r="N255" s="60">
        <f t="shared" si="72"/>
        <v>71.713559840607005</v>
      </c>
      <c r="O255" s="60">
        <f t="shared" si="72"/>
        <v>72.966309087416889</v>
      </c>
      <c r="P255" s="60">
        <f t="shared" si="72"/>
        <v>66.876073739831767</v>
      </c>
      <c r="Q255" s="60">
        <f t="shared" si="72"/>
        <v>66.638409099017736</v>
      </c>
      <c r="R255" s="60">
        <f t="shared" si="72"/>
        <v>84.396276245071689</v>
      </c>
      <c r="S255" s="60">
        <f t="shared" si="72"/>
        <v>90.179592413987677</v>
      </c>
      <c r="T255" s="60">
        <f t="shared" si="72"/>
        <v>88.527405409336026</v>
      </c>
      <c r="U255" s="60">
        <f t="shared" si="72"/>
        <v>93.576025235248423</v>
      </c>
      <c r="V255" s="60">
        <f t="shared" si="72"/>
        <v>93.882935177313513</v>
      </c>
    </row>
    <row r="256" spans="3:22" x14ac:dyDescent="0.2">
      <c r="C256" s="88" t="s">
        <v>132</v>
      </c>
      <c r="D256" s="62" t="str">
        <f t="shared" ref="D256:V256" si="73">+IFERROR(IF(D217&gt;0,+((D217/D22)*100)," "),"")</f>
        <v xml:space="preserve"> </v>
      </c>
      <c r="E256" s="62" t="str">
        <f t="shared" si="73"/>
        <v xml:space="preserve"> </v>
      </c>
      <c r="F256" s="62" t="str">
        <f t="shared" si="73"/>
        <v xml:space="preserve"> </v>
      </c>
      <c r="G256" s="62" t="str">
        <f t="shared" si="73"/>
        <v xml:space="preserve"> </v>
      </c>
      <c r="H256" s="62">
        <f t="shared" si="73"/>
        <v>28.999999999999996</v>
      </c>
      <c r="I256" s="62">
        <f t="shared" si="73"/>
        <v>9.5599208460129752</v>
      </c>
      <c r="J256" s="62" t="str">
        <f t="shared" si="73"/>
        <v xml:space="preserve"> </v>
      </c>
      <c r="K256" s="62">
        <f t="shared" si="73"/>
        <v>40.727023666115478</v>
      </c>
      <c r="L256" s="62">
        <f t="shared" si="73"/>
        <v>54.410018192893396</v>
      </c>
      <c r="M256" s="62">
        <f t="shared" si="73"/>
        <v>99.999999881807682</v>
      </c>
      <c r="N256" s="62">
        <f t="shared" si="73"/>
        <v>42.125888543458743</v>
      </c>
      <c r="O256" s="62">
        <f t="shared" si="73"/>
        <v>74.157506613999999</v>
      </c>
      <c r="P256" s="62">
        <f t="shared" si="73"/>
        <v>87.808186107929657</v>
      </c>
      <c r="Q256" s="62">
        <f t="shared" si="73"/>
        <v>94.963184166355731</v>
      </c>
      <c r="R256" s="62">
        <f t="shared" si="73"/>
        <v>88.931445705582078</v>
      </c>
      <c r="S256" s="62">
        <f t="shared" si="73"/>
        <v>88.001867394991805</v>
      </c>
      <c r="T256" s="62">
        <f t="shared" si="73"/>
        <v>78.62835366927014</v>
      </c>
      <c r="U256" s="62">
        <f t="shared" si="73"/>
        <v>84.153494581497995</v>
      </c>
      <c r="V256" s="62">
        <f t="shared" si="73"/>
        <v>73.619341543945495</v>
      </c>
    </row>
    <row r="257" spans="3:22" x14ac:dyDescent="0.2">
      <c r="C257" s="87" t="s">
        <v>133</v>
      </c>
      <c r="D257" s="60">
        <f t="shared" ref="D257:V257" si="74">+IFERROR(IF(D218&gt;0,+((D218/D23)*100)," "),"")</f>
        <v>13.181733438083853</v>
      </c>
      <c r="E257" s="60">
        <f t="shared" si="74"/>
        <v>60.527737494739597</v>
      </c>
      <c r="F257" s="60">
        <f t="shared" si="74"/>
        <v>23.815772359565401</v>
      </c>
      <c r="G257" s="60">
        <f t="shared" si="74"/>
        <v>28.446408802057999</v>
      </c>
      <c r="H257" s="60">
        <f t="shared" si="74"/>
        <v>66.82566113793807</v>
      </c>
      <c r="I257" s="60">
        <f t="shared" si="74"/>
        <v>68.964335956587504</v>
      </c>
      <c r="J257" s="60">
        <f t="shared" si="74"/>
        <v>48.531429967239035</v>
      </c>
      <c r="K257" s="60">
        <f t="shared" si="74"/>
        <v>53.790709313158523</v>
      </c>
      <c r="L257" s="60">
        <f t="shared" si="74"/>
        <v>46.510888711626272</v>
      </c>
      <c r="M257" s="60">
        <f t="shared" si="74"/>
        <v>48.924808282070067</v>
      </c>
      <c r="N257" s="60">
        <f t="shared" si="74"/>
        <v>35.742914505480869</v>
      </c>
      <c r="O257" s="60">
        <f t="shared" si="74"/>
        <v>43.401319456881964</v>
      </c>
      <c r="P257" s="60">
        <f t="shared" si="74"/>
        <v>52.636010749196437</v>
      </c>
      <c r="Q257" s="60">
        <f t="shared" si="74"/>
        <v>56.931491513600953</v>
      </c>
      <c r="R257" s="60">
        <f t="shared" si="74"/>
        <v>60.19647339097741</v>
      </c>
      <c r="S257" s="60">
        <f t="shared" si="74"/>
        <v>42.149999884037101</v>
      </c>
      <c r="T257" s="60">
        <f t="shared" si="74"/>
        <v>39.556123288841455</v>
      </c>
      <c r="U257" s="60">
        <f t="shared" si="74"/>
        <v>48.527672376332596</v>
      </c>
      <c r="V257" s="60">
        <f t="shared" si="74"/>
        <v>62.346337336715493</v>
      </c>
    </row>
    <row r="258" spans="3:22" x14ac:dyDescent="0.2">
      <c r="C258" s="88" t="s">
        <v>134</v>
      </c>
      <c r="D258" s="62">
        <f t="shared" ref="D258:V258" si="75">+IFERROR(IF(D219&gt;0,+((D219/D24)*100)," "),"")</f>
        <v>67.944615954121318</v>
      </c>
      <c r="E258" s="62">
        <f t="shared" si="75"/>
        <v>84.84898338653575</v>
      </c>
      <c r="F258" s="62">
        <f t="shared" si="75"/>
        <v>70.308907558722865</v>
      </c>
      <c r="G258" s="62">
        <f t="shared" si="75"/>
        <v>83.661170790971511</v>
      </c>
      <c r="H258" s="62">
        <f t="shared" si="75"/>
        <v>58.675862982520954</v>
      </c>
      <c r="I258" s="62">
        <f t="shared" si="75"/>
        <v>58.548836685356655</v>
      </c>
      <c r="J258" s="62">
        <f t="shared" si="75"/>
        <v>28.444023824791049</v>
      </c>
      <c r="K258" s="62">
        <f t="shared" si="75"/>
        <v>72.553133935924535</v>
      </c>
      <c r="L258" s="62">
        <f t="shared" si="75"/>
        <v>75.171582404185372</v>
      </c>
      <c r="M258" s="62">
        <f t="shared" si="75"/>
        <v>79.84355856993362</v>
      </c>
      <c r="N258" s="62">
        <f t="shared" si="75"/>
        <v>70.039898084028295</v>
      </c>
      <c r="O258" s="62">
        <f t="shared" si="75"/>
        <v>67.38735422355812</v>
      </c>
      <c r="P258" s="62">
        <f t="shared" si="75"/>
        <v>29.008562581960813</v>
      </c>
      <c r="Q258" s="62">
        <f t="shared" si="75"/>
        <v>39.583015894306428</v>
      </c>
      <c r="R258" s="62">
        <f t="shared" si="75"/>
        <v>21.287667194908757</v>
      </c>
      <c r="S258" s="62">
        <f t="shared" si="75"/>
        <v>18.968699636782215</v>
      </c>
      <c r="T258" s="62">
        <f t="shared" si="75"/>
        <v>24.697960907519242</v>
      </c>
      <c r="U258" s="62">
        <f t="shared" si="75"/>
        <v>35.895371569898025</v>
      </c>
      <c r="V258" s="62">
        <f t="shared" si="75"/>
        <v>46.932427007518164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+IFERROR(IF(D221&gt;0,+((D221/D26)*100)," "),"")</f>
        <v>48.619920933476486</v>
      </c>
      <c r="E260" s="62">
        <f t="shared" si="76"/>
        <v>74.360781760674854</v>
      </c>
      <c r="F260" s="62">
        <f t="shared" si="76"/>
        <v>41.732509131122868</v>
      </c>
      <c r="G260" s="62">
        <f t="shared" si="76"/>
        <v>42.9710373270876</v>
      </c>
      <c r="H260" s="62">
        <f t="shared" si="76"/>
        <v>50.953399122689135</v>
      </c>
      <c r="I260" s="62">
        <f t="shared" si="76"/>
        <v>59.043625544929682</v>
      </c>
      <c r="J260" s="62">
        <f t="shared" si="76"/>
        <v>74.239090312660494</v>
      </c>
      <c r="K260" s="62">
        <f t="shared" si="76"/>
        <v>79.970612521255674</v>
      </c>
      <c r="L260" s="62">
        <f t="shared" si="76"/>
        <v>76.987851713821229</v>
      </c>
      <c r="M260" s="62">
        <f t="shared" si="76"/>
        <v>76.468511549550684</v>
      </c>
      <c r="N260" s="62">
        <f t="shared" si="76"/>
        <v>80.276527697437217</v>
      </c>
      <c r="O260" s="62">
        <f t="shared" si="76"/>
        <v>78.716489385122273</v>
      </c>
      <c r="P260" s="62">
        <f t="shared" si="76"/>
        <v>71.482334337969505</v>
      </c>
      <c r="Q260" s="62">
        <f t="shared" si="76"/>
        <v>80.816333135680907</v>
      </c>
      <c r="R260" s="62">
        <f t="shared" si="76"/>
        <v>87.897360069528474</v>
      </c>
      <c r="S260" s="62">
        <f t="shared" si="76"/>
        <v>92.119931162950735</v>
      </c>
      <c r="T260" s="62">
        <f t="shared" si="76"/>
        <v>79.835485383952516</v>
      </c>
      <c r="U260" s="62">
        <f t="shared" si="76"/>
        <v>85.668729821362007</v>
      </c>
      <c r="V260" s="62">
        <f t="shared" si="76"/>
        <v>91.12555284782502</v>
      </c>
    </row>
    <row r="261" spans="3:22" x14ac:dyDescent="0.2">
      <c r="C261" s="87" t="s">
        <v>137</v>
      </c>
      <c r="D261" s="60">
        <f t="shared" ref="D261:V261" si="77">+IFERROR(IF(D222&gt;0,+((D222/D27)*100)," "),"")</f>
        <v>32.406282394175513</v>
      </c>
      <c r="E261" s="60">
        <f t="shared" si="77"/>
        <v>65.174274962043782</v>
      </c>
      <c r="F261" s="60">
        <f t="shared" si="77"/>
        <v>37.802410270753548</v>
      </c>
      <c r="G261" s="60">
        <f t="shared" si="77"/>
        <v>43.987619972117479</v>
      </c>
      <c r="H261" s="60">
        <f t="shared" si="77"/>
        <v>64.170805190269846</v>
      </c>
      <c r="I261" s="60">
        <f t="shared" si="77"/>
        <v>76.040258308395295</v>
      </c>
      <c r="J261" s="60">
        <f t="shared" si="77"/>
        <v>94.900199825249018</v>
      </c>
      <c r="K261" s="60">
        <f t="shared" si="77"/>
        <v>63.974206993177482</v>
      </c>
      <c r="L261" s="60">
        <f t="shared" si="77"/>
        <v>82.722889694994024</v>
      </c>
      <c r="M261" s="60">
        <f t="shared" si="77"/>
        <v>76.800504452379286</v>
      </c>
      <c r="N261" s="60">
        <f t="shared" si="77"/>
        <v>76.244560896430428</v>
      </c>
      <c r="O261" s="60">
        <f t="shared" si="77"/>
        <v>84.996398485756828</v>
      </c>
      <c r="P261" s="60">
        <f t="shared" si="77"/>
        <v>81.589882727259379</v>
      </c>
      <c r="Q261" s="60">
        <f t="shared" si="77"/>
        <v>74.627379937321564</v>
      </c>
      <c r="R261" s="60">
        <f t="shared" si="77"/>
        <v>81.285901790146326</v>
      </c>
      <c r="S261" s="60">
        <f t="shared" si="77"/>
        <v>75.20849884827598</v>
      </c>
      <c r="T261" s="60">
        <f t="shared" si="77"/>
        <v>80.539652375745902</v>
      </c>
      <c r="U261" s="60">
        <f t="shared" si="77"/>
        <v>65.915171467104486</v>
      </c>
      <c r="V261" s="60">
        <f t="shared" si="77"/>
        <v>93.021752929747208</v>
      </c>
    </row>
    <row r="262" spans="3:22" x14ac:dyDescent="0.2">
      <c r="C262" s="88" t="s">
        <v>138</v>
      </c>
      <c r="D262" s="62">
        <f t="shared" ref="D262:V262" si="78">+IFERROR(IF(D223&gt;0,+((D223/D28)*100)," "),"")</f>
        <v>53.400000000000006</v>
      </c>
      <c r="E262" s="62">
        <f t="shared" si="78"/>
        <v>94.999885124277782</v>
      </c>
      <c r="F262" s="62">
        <f t="shared" si="78"/>
        <v>0.94872887999999833</v>
      </c>
      <c r="G262" s="62" t="str">
        <f t="shared" si="78"/>
        <v xml:space="preserve"> </v>
      </c>
      <c r="H262" s="62" t="str">
        <f t="shared" si="78"/>
        <v xml:space="preserve"> </v>
      </c>
      <c r="I262" s="62" t="str">
        <f t="shared" si="78"/>
        <v xml:space="preserve"> </v>
      </c>
      <c r="J262" s="62" t="str">
        <f t="shared" si="78"/>
        <v xml:space="preserve"> </v>
      </c>
      <c r="K262" s="62" t="str">
        <f t="shared" si="78"/>
        <v xml:space="preserve"> </v>
      </c>
      <c r="L262" s="62">
        <f t="shared" si="78"/>
        <v>70.926257170244227</v>
      </c>
      <c r="M262" s="62">
        <f t="shared" si="78"/>
        <v>5.5729729729729716</v>
      </c>
      <c r="N262" s="62">
        <f t="shared" si="78"/>
        <v>44.056654412903228</v>
      </c>
      <c r="O262" s="62" t="str">
        <f t="shared" si="78"/>
        <v xml:space="preserve"> </v>
      </c>
      <c r="P262" s="62">
        <f t="shared" si="78"/>
        <v>67.193385953338435</v>
      </c>
      <c r="Q262" s="62">
        <f t="shared" si="78"/>
        <v>78.822926384171424</v>
      </c>
      <c r="R262" s="62">
        <f t="shared" si="78"/>
        <v>60.248886620839436</v>
      </c>
      <c r="S262" s="62">
        <f t="shared" si="78"/>
        <v>72.150588462035444</v>
      </c>
      <c r="T262" s="62">
        <f t="shared" si="78"/>
        <v>75.210390246946062</v>
      </c>
      <c r="U262" s="62">
        <f t="shared" si="78"/>
        <v>78.465566416782536</v>
      </c>
      <c r="V262" s="62">
        <f t="shared" si="78"/>
        <v>96.85860163507715</v>
      </c>
    </row>
    <row r="263" spans="3:22" x14ac:dyDescent="0.2">
      <c r="C263" s="87" t="s">
        <v>139</v>
      </c>
      <c r="D263" s="60">
        <f t="shared" ref="D263:V263" si="79">+IFERROR(IF(D224&gt;0,+((D224/D29)*100)," "),"")</f>
        <v>38.025381854028275</v>
      </c>
      <c r="E263" s="60">
        <f t="shared" si="79"/>
        <v>49.825398340540659</v>
      </c>
      <c r="F263" s="60">
        <f t="shared" si="79"/>
        <v>25.079850553987615</v>
      </c>
      <c r="G263" s="60">
        <f t="shared" si="79"/>
        <v>72.05835974032351</v>
      </c>
      <c r="H263" s="60">
        <f t="shared" si="79"/>
        <v>36.388776556411138</v>
      </c>
      <c r="I263" s="60">
        <f t="shared" si="79"/>
        <v>62.531483736695328</v>
      </c>
      <c r="J263" s="60">
        <f t="shared" si="79"/>
        <v>55.849817627236007</v>
      </c>
      <c r="K263" s="60">
        <f t="shared" si="79"/>
        <v>63.128341327781655</v>
      </c>
      <c r="L263" s="60">
        <f t="shared" si="79"/>
        <v>48.328366771458775</v>
      </c>
      <c r="M263" s="60">
        <f t="shared" si="79"/>
        <v>70.009970079630207</v>
      </c>
      <c r="N263" s="60">
        <f t="shared" si="79"/>
        <v>55.666333018247308</v>
      </c>
      <c r="O263" s="60">
        <f t="shared" si="79"/>
        <v>44.904459964663801</v>
      </c>
      <c r="P263" s="60">
        <f t="shared" si="79"/>
        <v>44.826223268434063</v>
      </c>
      <c r="Q263" s="60">
        <f t="shared" si="79"/>
        <v>35.834342006400618</v>
      </c>
      <c r="R263" s="60">
        <f t="shared" si="79"/>
        <v>33.566088451803765</v>
      </c>
      <c r="S263" s="60">
        <f t="shared" si="79"/>
        <v>48.703877748665249</v>
      </c>
      <c r="T263" s="60">
        <f t="shared" si="79"/>
        <v>32.986188403640504</v>
      </c>
      <c r="U263" s="60">
        <f t="shared" si="79"/>
        <v>26.653220835643353</v>
      </c>
      <c r="V263" s="60">
        <f t="shared" si="79"/>
        <v>31.526014489967924</v>
      </c>
    </row>
    <row r="264" spans="3:22" x14ac:dyDescent="0.2">
      <c r="C264" s="88" t="s">
        <v>140</v>
      </c>
      <c r="D264" s="62">
        <f t="shared" ref="D264:V264" si="80">+IFERROR(IF(D225&gt;0,+((D225/D30)*100)," "),"")</f>
        <v>74.944152717230935</v>
      </c>
      <c r="E264" s="62">
        <f t="shared" si="80"/>
        <v>72.11725373738534</v>
      </c>
      <c r="F264" s="62">
        <f t="shared" si="80"/>
        <v>67.235722057023111</v>
      </c>
      <c r="G264" s="62">
        <f t="shared" si="80"/>
        <v>85.057424264260618</v>
      </c>
      <c r="H264" s="62">
        <f t="shared" si="80"/>
        <v>83.022277123325082</v>
      </c>
      <c r="I264" s="62">
        <f t="shared" si="80"/>
        <v>77.6114283499614</v>
      </c>
      <c r="J264" s="62">
        <f t="shared" si="80"/>
        <v>64.61622824557233</v>
      </c>
      <c r="K264" s="62">
        <f t="shared" si="80"/>
        <v>57.566196152092274</v>
      </c>
      <c r="L264" s="62">
        <f t="shared" si="80"/>
        <v>93.694629555582125</v>
      </c>
      <c r="M264" s="62">
        <f t="shared" si="80"/>
        <v>88.317252966996676</v>
      </c>
      <c r="N264" s="62">
        <f t="shared" si="80"/>
        <v>92.477087896334453</v>
      </c>
      <c r="O264" s="62">
        <f t="shared" si="80"/>
        <v>91.267035767127553</v>
      </c>
      <c r="P264" s="62">
        <f t="shared" si="80"/>
        <v>89.600605292327373</v>
      </c>
      <c r="Q264" s="62">
        <f t="shared" si="80"/>
        <v>85.147323986789345</v>
      </c>
      <c r="R264" s="62">
        <f t="shared" si="80"/>
        <v>86.157790462005806</v>
      </c>
      <c r="S264" s="62">
        <f t="shared" si="80"/>
        <v>91.62016812999812</v>
      </c>
      <c r="T264" s="62">
        <f t="shared" si="80"/>
        <v>88.401053673014701</v>
      </c>
      <c r="U264" s="62">
        <f t="shared" si="80"/>
        <v>83.028390926945718</v>
      </c>
      <c r="V264" s="62">
        <f t="shared" si="80"/>
        <v>92.667416238096195</v>
      </c>
    </row>
    <row r="265" spans="3:22" x14ac:dyDescent="0.2">
      <c r="C265" s="87" t="s">
        <v>141</v>
      </c>
      <c r="D265" s="60">
        <f t="shared" ref="D265:V265" si="81">+IFERROR(IF(D226&gt;0,+((D226/D31)*100)," "),"")</f>
        <v>6.4027266509730065</v>
      </c>
      <c r="E265" s="60">
        <f t="shared" si="81"/>
        <v>9.7236506598786843</v>
      </c>
      <c r="F265" s="60">
        <f t="shared" si="81"/>
        <v>5.8642826621428101</v>
      </c>
      <c r="G265" s="60">
        <f t="shared" si="81"/>
        <v>8.8870284793393672</v>
      </c>
      <c r="H265" s="60">
        <f t="shared" si="81"/>
        <v>13.299353192915728</v>
      </c>
      <c r="I265" s="60">
        <f t="shared" si="81"/>
        <v>9.9031270868852239</v>
      </c>
      <c r="J265" s="60">
        <f t="shared" si="81"/>
        <v>38.332145079577437</v>
      </c>
      <c r="K265" s="60">
        <f t="shared" si="81"/>
        <v>40.434998631730942</v>
      </c>
      <c r="L265" s="60">
        <f t="shared" si="81"/>
        <v>48.649877015191258</v>
      </c>
      <c r="M265" s="60">
        <f t="shared" si="81"/>
        <v>64.838482182440018</v>
      </c>
      <c r="N265" s="60">
        <f t="shared" si="81"/>
        <v>45.327537195557824</v>
      </c>
      <c r="O265" s="60">
        <f t="shared" si="81"/>
        <v>38.662446130293262</v>
      </c>
      <c r="P265" s="60">
        <f t="shared" si="81"/>
        <v>61.266372930044255</v>
      </c>
      <c r="Q265" s="60">
        <f t="shared" si="81"/>
        <v>56.901586322244555</v>
      </c>
      <c r="R265" s="60">
        <f t="shared" si="81"/>
        <v>54.043194695113016</v>
      </c>
      <c r="S265" s="60">
        <f t="shared" si="81"/>
        <v>22.954811427255407</v>
      </c>
      <c r="T265" s="60">
        <f t="shared" si="81"/>
        <v>48.03892611447624</v>
      </c>
      <c r="U265" s="60">
        <f t="shared" si="81"/>
        <v>70.922382253126614</v>
      </c>
      <c r="V265" s="60">
        <f t="shared" si="81"/>
        <v>83.1352783129702</v>
      </c>
    </row>
    <row r="266" spans="3:22" x14ac:dyDescent="0.2">
      <c r="C266" s="88" t="s">
        <v>142</v>
      </c>
      <c r="D266" s="62">
        <f t="shared" ref="D266:V266" si="82">+IFERROR(IF(D227&gt;0,+((D227/D32)*100)," "),"")</f>
        <v>14.821739429873707</v>
      </c>
      <c r="E266" s="62">
        <f t="shared" si="82"/>
        <v>22.116944681124842</v>
      </c>
      <c r="F266" s="62">
        <f t="shared" si="82"/>
        <v>8.538299869721067</v>
      </c>
      <c r="G266" s="62">
        <f t="shared" si="82"/>
        <v>17.888580250148948</v>
      </c>
      <c r="H266" s="62">
        <f t="shared" si="82"/>
        <v>55.125929844005015</v>
      </c>
      <c r="I266" s="62">
        <f t="shared" si="82"/>
        <v>18.433763303284934</v>
      </c>
      <c r="J266" s="62">
        <f t="shared" si="82"/>
        <v>21.112968061446399</v>
      </c>
      <c r="K266" s="62">
        <f t="shared" si="82"/>
        <v>40.795998023634006</v>
      </c>
      <c r="L266" s="62">
        <f t="shared" si="82"/>
        <v>28.647091715634065</v>
      </c>
      <c r="M266" s="62">
        <f t="shared" si="82"/>
        <v>28.910241184259849</v>
      </c>
      <c r="N266" s="62">
        <f t="shared" si="82"/>
        <v>35.957926240754503</v>
      </c>
      <c r="O266" s="62">
        <f t="shared" si="82"/>
        <v>32.085981372711117</v>
      </c>
      <c r="P266" s="62">
        <f t="shared" si="82"/>
        <v>47.290047621372381</v>
      </c>
      <c r="Q266" s="62">
        <f t="shared" si="82"/>
        <v>51.989228250017419</v>
      </c>
      <c r="R266" s="62">
        <f t="shared" si="82"/>
        <v>75.802264085224806</v>
      </c>
      <c r="S266" s="62">
        <f t="shared" si="82"/>
        <v>63.946657576604139</v>
      </c>
      <c r="T266" s="62">
        <f t="shared" si="82"/>
        <v>52.426503193430122</v>
      </c>
      <c r="U266" s="62">
        <f t="shared" si="82"/>
        <v>62.21255271857401</v>
      </c>
      <c r="V266" s="62">
        <f t="shared" si="82"/>
        <v>56.878400706374102</v>
      </c>
    </row>
    <row r="267" spans="3:22" x14ac:dyDescent="0.2">
      <c r="C267" s="87" t="s">
        <v>143</v>
      </c>
      <c r="D267" s="60">
        <f t="shared" ref="D267:V267" si="83">+IFERROR(IF(D228&gt;0,+((D228/D33)*100)," "),"")</f>
        <v>64.58012444228919</v>
      </c>
      <c r="E267" s="60">
        <f t="shared" si="83"/>
        <v>49.997195680537992</v>
      </c>
      <c r="F267" s="60">
        <f t="shared" si="83"/>
        <v>48.183877831121997</v>
      </c>
      <c r="G267" s="60">
        <f t="shared" si="83"/>
        <v>59.3923786215259</v>
      </c>
      <c r="H267" s="60">
        <f t="shared" si="83"/>
        <v>63.74048505913148</v>
      </c>
      <c r="I267" s="60">
        <f t="shared" si="83"/>
        <v>76.773198671949146</v>
      </c>
      <c r="J267" s="60">
        <f t="shared" si="83"/>
        <v>85.00096669103047</v>
      </c>
      <c r="K267" s="60">
        <f t="shared" si="83"/>
        <v>84.314733808307835</v>
      </c>
      <c r="L267" s="60">
        <f t="shared" si="83"/>
        <v>42.110741797044469</v>
      </c>
      <c r="M267" s="60">
        <f t="shared" si="83"/>
        <v>54.791765842045962</v>
      </c>
      <c r="N267" s="60">
        <f t="shared" si="83"/>
        <v>58.623818828911908</v>
      </c>
      <c r="O267" s="60">
        <f t="shared" si="83"/>
        <v>66.016694115934854</v>
      </c>
      <c r="P267" s="60">
        <f t="shared" si="83"/>
        <v>18.0093831212988</v>
      </c>
      <c r="Q267" s="60">
        <f t="shared" si="83"/>
        <v>71.812399696194717</v>
      </c>
      <c r="R267" s="60">
        <f t="shared" si="83"/>
        <v>74.054383446350613</v>
      </c>
      <c r="S267" s="60">
        <f t="shared" si="83"/>
        <v>47.669214715740651</v>
      </c>
      <c r="T267" s="60">
        <f t="shared" si="83"/>
        <v>61.476874216850895</v>
      </c>
      <c r="U267" s="60">
        <f t="shared" si="83"/>
        <v>52.235287848021414</v>
      </c>
      <c r="V267" s="60">
        <f t="shared" si="83"/>
        <v>3.1667350353548898</v>
      </c>
    </row>
    <row r="268" spans="3:22" x14ac:dyDescent="0.2">
      <c r="C268" s="88" t="s">
        <v>144</v>
      </c>
      <c r="D268" s="62">
        <f t="shared" ref="D268:V268" si="84">+IFERROR(IF(D229&gt;0,+((D229/D34)*100)," "),"")</f>
        <v>13.985294214522401</v>
      </c>
      <c r="E268" s="62">
        <f t="shared" si="84"/>
        <v>73.747265066863761</v>
      </c>
      <c r="F268" s="62">
        <f t="shared" si="84"/>
        <v>36.320299679476683</v>
      </c>
      <c r="G268" s="62">
        <f t="shared" si="84"/>
        <v>39.971840485615687</v>
      </c>
      <c r="H268" s="62">
        <f t="shared" si="84"/>
        <v>36.577170716514388</v>
      </c>
      <c r="I268" s="62">
        <f t="shared" si="84"/>
        <v>36.465909737511701</v>
      </c>
      <c r="J268" s="62">
        <f t="shared" si="84"/>
        <v>48.076967916871489</v>
      </c>
      <c r="K268" s="62">
        <f t="shared" si="84"/>
        <v>55.1907993192712</v>
      </c>
      <c r="L268" s="62">
        <f t="shared" si="84"/>
        <v>58.402309997319236</v>
      </c>
      <c r="M268" s="62">
        <f t="shared" si="84"/>
        <v>67.290691103497537</v>
      </c>
      <c r="N268" s="62">
        <f t="shared" si="84"/>
        <v>37.075140650558545</v>
      </c>
      <c r="O268" s="62">
        <f t="shared" si="84"/>
        <v>15.606057493292205</v>
      </c>
      <c r="P268" s="62">
        <f t="shared" si="84"/>
        <v>18.940680530956236</v>
      </c>
      <c r="Q268" s="62">
        <f t="shared" si="84"/>
        <v>31.521835747942418</v>
      </c>
      <c r="R268" s="62">
        <f t="shared" si="84"/>
        <v>43.474231170922565</v>
      </c>
      <c r="S268" s="62">
        <f t="shared" si="84"/>
        <v>26.711259359461227</v>
      </c>
      <c r="T268" s="62">
        <f t="shared" si="84"/>
        <v>35.53712567133563</v>
      </c>
      <c r="U268" s="62">
        <f t="shared" si="84"/>
        <v>38.015504430966644</v>
      </c>
      <c r="V268" s="62">
        <f t="shared" si="84"/>
        <v>51.204978626295251</v>
      </c>
    </row>
    <row r="269" spans="3:22" x14ac:dyDescent="0.2">
      <c r="C269" s="87" t="s">
        <v>145</v>
      </c>
      <c r="D269" s="60">
        <f t="shared" ref="D269:V269" si="85">+IFERROR(IF(D230&gt;0,+((D230/D35)*100)," "),"")</f>
        <v>16.744298652558683</v>
      </c>
      <c r="E269" s="60" t="str">
        <f t="shared" si="85"/>
        <v xml:space="preserve"> </v>
      </c>
      <c r="F269" s="60" t="str">
        <f t="shared" si="85"/>
        <v xml:space="preserve"> </v>
      </c>
      <c r="G269" s="60">
        <f t="shared" si="85"/>
        <v>76.167329565111018</v>
      </c>
      <c r="H269" s="60">
        <f t="shared" si="85"/>
        <v>85.000000000000014</v>
      </c>
      <c r="I269" s="60">
        <f t="shared" si="85"/>
        <v>93.277979428070168</v>
      </c>
      <c r="J269" s="60">
        <f t="shared" si="85"/>
        <v>99.829380949005923</v>
      </c>
      <c r="K269" s="60">
        <f t="shared" si="85"/>
        <v>1.2642962257982533</v>
      </c>
      <c r="L269" s="60">
        <f t="shared" si="85"/>
        <v>64.415053448272744</v>
      </c>
      <c r="M269" s="60">
        <f t="shared" si="85"/>
        <v>34.809944639465087</v>
      </c>
      <c r="N269" s="60">
        <f t="shared" si="85"/>
        <v>63.751536281214527</v>
      </c>
      <c r="O269" s="60">
        <f t="shared" si="85"/>
        <v>62.686599811080136</v>
      </c>
      <c r="P269" s="60">
        <f t="shared" si="85"/>
        <v>65.597194573703177</v>
      </c>
      <c r="Q269" s="60">
        <f t="shared" si="85"/>
        <v>82.912838464694772</v>
      </c>
      <c r="R269" s="60">
        <f t="shared" si="85"/>
        <v>74.350221607246738</v>
      </c>
      <c r="S269" s="60">
        <f t="shared" si="85"/>
        <v>67.371891771417381</v>
      </c>
      <c r="T269" s="60">
        <f t="shared" si="85"/>
        <v>62.04545454545454</v>
      </c>
      <c r="U269" s="60">
        <f t="shared" si="85"/>
        <v>72.084677729212927</v>
      </c>
      <c r="V269" s="60">
        <f t="shared" si="85"/>
        <v>71</v>
      </c>
    </row>
    <row r="270" spans="3:22" x14ac:dyDescent="0.2">
      <c r="C270" s="88" t="s">
        <v>146</v>
      </c>
      <c r="D270" s="62" t="str">
        <f t="shared" ref="D270:V270" si="86">+IFERROR(IF(D231&gt;0,+((D231/D36)*100)," "),"")</f>
        <v xml:space="preserve"> </v>
      </c>
      <c r="E270" s="62" t="str">
        <f t="shared" si="86"/>
        <v xml:space="preserve"> </v>
      </c>
      <c r="F270" s="62" t="str">
        <f t="shared" si="86"/>
        <v xml:space="preserve"> </v>
      </c>
      <c r="G270" s="62" t="str">
        <f t="shared" si="86"/>
        <v xml:space="preserve"> </v>
      </c>
      <c r="H270" s="62">
        <f t="shared" si="86"/>
        <v>81.170134493000006</v>
      </c>
      <c r="I270" s="62">
        <f t="shared" si="86"/>
        <v>97.007569971980672</v>
      </c>
      <c r="J270" s="62">
        <f t="shared" si="86"/>
        <v>99.734089129472309</v>
      </c>
      <c r="K270" s="62">
        <f t="shared" si="86"/>
        <v>28.178776996845428</v>
      </c>
      <c r="L270" s="62">
        <f t="shared" si="86"/>
        <v>59.669573594945078</v>
      </c>
      <c r="M270" s="62">
        <f t="shared" si="86"/>
        <v>65.815125068691103</v>
      </c>
      <c r="N270" s="62">
        <f t="shared" si="86"/>
        <v>68.228084687263987</v>
      </c>
      <c r="O270" s="62">
        <f t="shared" si="86"/>
        <v>82.645050575843428</v>
      </c>
      <c r="P270" s="62">
        <f t="shared" si="86"/>
        <v>49.595679039155705</v>
      </c>
      <c r="Q270" s="62">
        <f t="shared" si="86"/>
        <v>75.955625433820714</v>
      </c>
      <c r="R270" s="62">
        <f t="shared" si="86"/>
        <v>89.394323102465194</v>
      </c>
      <c r="S270" s="62">
        <f t="shared" si="86"/>
        <v>83.168661390475663</v>
      </c>
      <c r="T270" s="62">
        <f t="shared" si="86"/>
        <v>87.153457728019447</v>
      </c>
      <c r="U270" s="62">
        <f t="shared" si="86"/>
        <v>98.822436202125147</v>
      </c>
      <c r="V270" s="62">
        <f t="shared" si="86"/>
        <v>97.52271188910467</v>
      </c>
    </row>
    <row r="271" spans="3:22" x14ac:dyDescent="0.2">
      <c r="C271" s="90" t="s">
        <v>147</v>
      </c>
      <c r="D271" s="61">
        <f t="shared" ref="D271:V271" si="87">+IFERROR(IF(D232&gt;0,+((D232/D37)*100)," "),"")</f>
        <v>54.532886807486626</v>
      </c>
      <c r="E271" s="61">
        <f t="shared" si="87"/>
        <v>74.583154527591986</v>
      </c>
      <c r="F271" s="61">
        <f t="shared" si="87"/>
        <v>66.952346070329767</v>
      </c>
      <c r="G271" s="61">
        <f t="shared" si="87"/>
        <v>69.97257009175685</v>
      </c>
      <c r="H271" s="61">
        <f t="shared" si="87"/>
        <v>71.354758959650951</v>
      </c>
      <c r="I271" s="61">
        <f t="shared" si="87"/>
        <v>81.396746605067676</v>
      </c>
      <c r="J271" s="61">
        <f t="shared" si="87"/>
        <v>64.389678281487335</v>
      </c>
      <c r="K271" s="61">
        <f t="shared" si="87"/>
        <v>64.916572046197203</v>
      </c>
      <c r="L271" s="61">
        <f t="shared" si="87"/>
        <v>66.37644388175417</v>
      </c>
      <c r="M271" s="61">
        <f t="shared" si="87"/>
        <v>69.347914305119303</v>
      </c>
      <c r="N271" s="61">
        <f t="shared" si="87"/>
        <v>80.040133610082236</v>
      </c>
      <c r="O271" s="61">
        <f t="shared" si="87"/>
        <v>70.306731080275526</v>
      </c>
      <c r="P271" s="61">
        <f t="shared" si="87"/>
        <v>84.578459917293316</v>
      </c>
      <c r="Q271" s="61">
        <f t="shared" si="87"/>
        <v>88.603147408003082</v>
      </c>
      <c r="R271" s="61">
        <f t="shared" si="87"/>
        <v>90.089012730036771</v>
      </c>
      <c r="S271" s="61">
        <f t="shared" si="87"/>
        <v>92.961580871726213</v>
      </c>
      <c r="T271" s="61">
        <f t="shared" si="87"/>
        <v>95.176475573454724</v>
      </c>
      <c r="U271" s="61">
        <f t="shared" si="87"/>
        <v>88.348874767093946</v>
      </c>
      <c r="V271" s="61">
        <f t="shared" si="87"/>
        <v>93.049068151889685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+IFERROR(IF(D233&gt;0,+((D233/D38)*100),"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 t="str">
        <f t="shared" si="88"/>
        <v xml:space="preserve"> </v>
      </c>
      <c r="V272" s="63">
        <f t="shared" si="88"/>
        <v>56.255603915121867</v>
      </c>
    </row>
    <row r="273" spans="3:22" x14ac:dyDescent="0.2">
      <c r="C273" s="87" t="s">
        <v>149</v>
      </c>
      <c r="D273" s="60">
        <f t="shared" ref="D273:V273" si="89">+IFERROR(IF(D234&gt;0,+((D234/D39)*100)," "),"")</f>
        <v>51.428571428571423</v>
      </c>
      <c r="E273" s="60">
        <f t="shared" si="89"/>
        <v>77.777777777777786</v>
      </c>
      <c r="F273" s="60">
        <f t="shared" si="89"/>
        <v>19.351386419000001</v>
      </c>
      <c r="G273" s="60">
        <f t="shared" si="89"/>
        <v>63.019711678876924</v>
      </c>
      <c r="H273" s="60">
        <f t="shared" si="89"/>
        <v>49.510597569558023</v>
      </c>
      <c r="I273" s="60">
        <f t="shared" si="89"/>
        <v>29.897187521355328</v>
      </c>
      <c r="J273" s="60">
        <f t="shared" si="89"/>
        <v>32.516238536495898</v>
      </c>
      <c r="K273" s="60">
        <f t="shared" si="89"/>
        <v>54.094083958636361</v>
      </c>
      <c r="L273" s="60">
        <f t="shared" si="89"/>
        <v>87.674228054337462</v>
      </c>
      <c r="M273" s="60">
        <f t="shared" si="89"/>
        <v>23.349065652077435</v>
      </c>
      <c r="N273" s="60">
        <f t="shared" si="89"/>
        <v>39.831332538742025</v>
      </c>
      <c r="O273" s="60">
        <f t="shared" si="89"/>
        <v>61.996424746127452</v>
      </c>
      <c r="P273" s="60">
        <f t="shared" si="89"/>
        <v>54.531685608383043</v>
      </c>
      <c r="Q273" s="60">
        <f t="shared" si="89"/>
        <v>30.393752502671145</v>
      </c>
      <c r="R273" s="60">
        <f t="shared" si="89"/>
        <v>81.79686909032246</v>
      </c>
      <c r="S273" s="60">
        <f t="shared" si="89"/>
        <v>69.896217327962972</v>
      </c>
      <c r="T273" s="60">
        <f t="shared" si="89"/>
        <v>95.542105019712608</v>
      </c>
      <c r="U273" s="60">
        <f t="shared" si="89"/>
        <v>93.562137611566214</v>
      </c>
      <c r="V273" s="60">
        <f t="shared" si="89"/>
        <v>91.347454838513684</v>
      </c>
    </row>
    <row r="274" spans="3:22" x14ac:dyDescent="0.2">
      <c r="C274" s="88" t="s">
        <v>150</v>
      </c>
      <c r="D274" s="62">
        <f t="shared" ref="D274:V274" si="90">+IFERROR(IF(D235&gt;0,+((D235/D40)*100)," "),"")</f>
        <v>39.934363425481898</v>
      </c>
      <c r="E274" s="62">
        <f t="shared" si="90"/>
        <v>63.828793038900379</v>
      </c>
      <c r="F274" s="62">
        <f t="shared" si="90"/>
        <v>35.935872829804879</v>
      </c>
      <c r="G274" s="62">
        <f t="shared" si="90"/>
        <v>69.678124781356161</v>
      </c>
      <c r="H274" s="62">
        <f t="shared" si="90"/>
        <v>67.638693144251704</v>
      </c>
      <c r="I274" s="62">
        <f t="shared" si="90"/>
        <v>72.668925199291465</v>
      </c>
      <c r="J274" s="62">
        <f t="shared" si="90"/>
        <v>54.052168338443728</v>
      </c>
      <c r="K274" s="62">
        <f t="shared" si="90"/>
        <v>71.333859926937095</v>
      </c>
      <c r="L274" s="62">
        <f t="shared" si="90"/>
        <v>73.657934192652874</v>
      </c>
      <c r="M274" s="62">
        <f t="shared" si="90"/>
        <v>71.118898543595023</v>
      </c>
      <c r="N274" s="62">
        <f t="shared" si="90"/>
        <v>67.918614653948467</v>
      </c>
      <c r="O274" s="62">
        <f t="shared" si="90"/>
        <v>73.093816304230089</v>
      </c>
      <c r="P274" s="62">
        <f t="shared" si="90"/>
        <v>72.675639193685498</v>
      </c>
      <c r="Q274" s="62">
        <f t="shared" si="90"/>
        <v>69.905493600792568</v>
      </c>
      <c r="R274" s="62">
        <f t="shared" si="90"/>
        <v>79.12760523902547</v>
      </c>
      <c r="S274" s="62">
        <f t="shared" si="90"/>
        <v>73.07408639784569</v>
      </c>
      <c r="T274" s="62">
        <f t="shared" si="90"/>
        <v>67.578064561984746</v>
      </c>
      <c r="U274" s="62">
        <f t="shared" si="90"/>
        <v>58.894220643998182</v>
      </c>
      <c r="V274" s="62">
        <f t="shared" si="90"/>
        <v>67.183184142142593</v>
      </c>
    </row>
    <row r="275" spans="3:22" x14ac:dyDescent="0.2">
      <c r="C275" s="87" t="s">
        <v>151</v>
      </c>
      <c r="D275" s="60">
        <f t="shared" ref="D275:V275" si="91">+IFERROR(IF(D236&gt;0,+((D236/D41)*100)," "),"")</f>
        <v>43.040842892925745</v>
      </c>
      <c r="E275" s="60">
        <f t="shared" si="91"/>
        <v>14.16483335458843</v>
      </c>
      <c r="F275" s="60">
        <f t="shared" si="91"/>
        <v>37.349530596469954</v>
      </c>
      <c r="G275" s="60">
        <f t="shared" si="91"/>
        <v>18.079571394020729</v>
      </c>
      <c r="H275" s="60">
        <f t="shared" si="91"/>
        <v>4.2751927339771134</v>
      </c>
      <c r="I275" s="60">
        <f t="shared" si="91"/>
        <v>12.835692263832318</v>
      </c>
      <c r="J275" s="60">
        <f t="shared" si="91"/>
        <v>53.492342876509625</v>
      </c>
      <c r="K275" s="60">
        <f t="shared" si="91"/>
        <v>74.879067821623821</v>
      </c>
      <c r="L275" s="60">
        <f t="shared" si="91"/>
        <v>46.878533200932424</v>
      </c>
      <c r="M275" s="60">
        <f t="shared" si="91"/>
        <v>33.620806969470536</v>
      </c>
      <c r="N275" s="60">
        <f t="shared" si="91"/>
        <v>28.177398627722845</v>
      </c>
      <c r="O275" s="60">
        <f t="shared" si="91"/>
        <v>57.31661559294318</v>
      </c>
      <c r="P275" s="60">
        <f t="shared" si="91"/>
        <v>42.709448037640371</v>
      </c>
      <c r="Q275" s="60">
        <f t="shared" si="91"/>
        <v>25.901049819547545</v>
      </c>
      <c r="R275" s="60">
        <f t="shared" si="91"/>
        <v>32.499995098232475</v>
      </c>
      <c r="S275" s="60">
        <f t="shared" si="91"/>
        <v>23.725694563739744</v>
      </c>
      <c r="T275" s="60">
        <f t="shared" si="91"/>
        <v>22.109144252663988</v>
      </c>
      <c r="U275" s="60">
        <f t="shared" si="91"/>
        <v>18.815770110885683</v>
      </c>
      <c r="V275" s="60">
        <f t="shared" si="91"/>
        <v>18.897253307643833</v>
      </c>
    </row>
    <row r="276" spans="3:22" x14ac:dyDescent="0.2">
      <c r="C276" s="91" t="s">
        <v>202</v>
      </c>
      <c r="D276" s="64">
        <f t="shared" ref="D276:V276" si="92">+IFERROR(IF(D237&gt;0,+((D237/D42)*100)," "),"")</f>
        <v>49.518796976516235</v>
      </c>
      <c r="E276" s="64">
        <f t="shared" si="92"/>
        <v>59.611200935830141</v>
      </c>
      <c r="F276" s="64">
        <f t="shared" si="92"/>
        <v>46.97035582062437</v>
      </c>
      <c r="G276" s="64">
        <f t="shared" si="92"/>
        <v>60.898613511667044</v>
      </c>
      <c r="H276" s="64">
        <f t="shared" si="92"/>
        <v>58.614949680972359</v>
      </c>
      <c r="I276" s="64">
        <f t="shared" si="92"/>
        <v>63.866228077868456</v>
      </c>
      <c r="J276" s="64">
        <f t="shared" si="92"/>
        <v>58.20127621985192</v>
      </c>
      <c r="K276" s="64">
        <f t="shared" si="92"/>
        <v>68.800021416312688</v>
      </c>
      <c r="L276" s="64">
        <f t="shared" si="92"/>
        <v>73.238123681284733</v>
      </c>
      <c r="M276" s="64">
        <f t="shared" si="92"/>
        <v>71.808440762541906</v>
      </c>
      <c r="N276" s="64">
        <f t="shared" si="92"/>
        <v>68.787668702205664</v>
      </c>
      <c r="O276" s="64">
        <f t="shared" si="92"/>
        <v>66.636864632228907</v>
      </c>
      <c r="P276" s="64">
        <f t="shared" si="92"/>
        <v>66.140001945763387</v>
      </c>
      <c r="Q276" s="64">
        <f t="shared" si="92"/>
        <v>68.237607228302934</v>
      </c>
      <c r="R276" s="64">
        <f t="shared" si="92"/>
        <v>72.14262016793225</v>
      </c>
      <c r="S276" s="64">
        <f t="shared" si="92"/>
        <v>72.450871376606244</v>
      </c>
      <c r="T276" s="64">
        <f t="shared" si="92"/>
        <v>71.538721199321799</v>
      </c>
      <c r="U276" s="64">
        <f t="shared" si="92"/>
        <v>70.439284678588706</v>
      </c>
      <c r="V276" s="64">
        <f t="shared" si="92"/>
        <v>75.046546211201559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D2:V2"/>
    <mergeCell ref="K206:K207"/>
    <mergeCell ref="H245:H246"/>
    <mergeCell ref="D204:V204"/>
    <mergeCell ref="D51:D52"/>
    <mergeCell ref="A5:C6"/>
    <mergeCell ref="H206:H207"/>
    <mergeCell ref="I168:I169"/>
    <mergeCell ref="N51:N52"/>
    <mergeCell ref="K168:K169"/>
    <mergeCell ref="E129:E130"/>
    <mergeCell ref="O6:O7"/>
    <mergeCell ref="E6:E7"/>
    <mergeCell ref="T129:T130"/>
    <mergeCell ref="E11:E12"/>
    <mergeCell ref="V90:V91"/>
    <mergeCell ref="T51:T52"/>
    <mergeCell ref="L51:L52"/>
    <mergeCell ref="V51:V52"/>
    <mergeCell ref="F90:F91"/>
    <mergeCell ref="D245:D246"/>
    <mergeCell ref="E168:E169"/>
    <mergeCell ref="G168:G169"/>
    <mergeCell ref="D129:D130"/>
    <mergeCell ref="C206:C207"/>
    <mergeCell ref="Q245:Q246"/>
    <mergeCell ref="S90:S91"/>
    <mergeCell ref="E206:E207"/>
    <mergeCell ref="U90:U91"/>
    <mergeCell ref="K51:K52"/>
    <mergeCell ref="D4:V4"/>
    <mergeCell ref="H168:H169"/>
    <mergeCell ref="D127:V127"/>
    <mergeCell ref="M51:M52"/>
    <mergeCell ref="H6:H7"/>
    <mergeCell ref="Q206:Q207"/>
    <mergeCell ref="L88:Q88"/>
    <mergeCell ref="R168:R169"/>
    <mergeCell ref="J6:J7"/>
    <mergeCell ref="T168:T169"/>
    <mergeCell ref="R90:R91"/>
    <mergeCell ref="V6:V7"/>
    <mergeCell ref="Q51:Q52"/>
    <mergeCell ref="G245:G246"/>
    <mergeCell ref="C90:C91"/>
    <mergeCell ref="E90:E91"/>
    <mergeCell ref="M6:M7"/>
    <mergeCell ref="N245:N246"/>
    <mergeCell ref="O11:O12"/>
    <mergeCell ref="P245:P246"/>
    <mergeCell ref="F245:F246"/>
    <mergeCell ref="J90:J91"/>
    <mergeCell ref="O129:O130"/>
    <mergeCell ref="T90:T91"/>
    <mergeCell ref="L90:L91"/>
    <mergeCell ref="Q129:Q130"/>
    <mergeCell ref="L11:L12"/>
    <mergeCell ref="N11:N12"/>
    <mergeCell ref="I90:I91"/>
    <mergeCell ref="R245:R246"/>
    <mergeCell ref="T245:T246"/>
    <mergeCell ref="L243:Q243"/>
    <mergeCell ref="D48:V48"/>
    <mergeCell ref="O90:O91"/>
    <mergeCell ref="R11:R12"/>
    <mergeCell ref="D242:V242"/>
    <mergeCell ref="F206:F207"/>
    <mergeCell ref="L245:L246"/>
    <mergeCell ref="F51:F52"/>
    <mergeCell ref="H51:H52"/>
    <mergeCell ref="L206:L207"/>
    <mergeCell ref="M168:M169"/>
    <mergeCell ref="G6:G7"/>
    <mergeCell ref="R51:R52"/>
    <mergeCell ref="L129:L130"/>
    <mergeCell ref="O168:O169"/>
    <mergeCell ref="Q6:Q7"/>
    <mergeCell ref="I129:I130"/>
    <mergeCell ref="F6:F7"/>
    <mergeCell ref="M245:M246"/>
    <mergeCell ref="O245:O246"/>
    <mergeCell ref="R129:R130"/>
    <mergeCell ref="Q11:Q12"/>
    <mergeCell ref="N168:N169"/>
    <mergeCell ref="P168:P169"/>
    <mergeCell ref="N90:N91"/>
    <mergeCell ref="J129:J130"/>
    <mergeCell ref="J51:J52"/>
    <mergeCell ref="N206:N207"/>
    <mergeCell ref="I6:I7"/>
    <mergeCell ref="V245:V246"/>
    <mergeCell ref="D206:D207"/>
    <mergeCell ref="C129:C130"/>
    <mergeCell ref="V11:V12"/>
    <mergeCell ref="J206:J207"/>
    <mergeCell ref="C51:C52"/>
    <mergeCell ref="G206:G207"/>
    <mergeCell ref="O51:O52"/>
    <mergeCell ref="G129:G130"/>
    <mergeCell ref="S206:S207"/>
    <mergeCell ref="D168:D169"/>
    <mergeCell ref="U206:U207"/>
    <mergeCell ref="P206:P207"/>
    <mergeCell ref="V168:V169"/>
    <mergeCell ref="S129:S130"/>
    <mergeCell ref="F11:F12"/>
    <mergeCell ref="U129:U130"/>
    <mergeCell ref="S51:S52"/>
    <mergeCell ref="I245:I246"/>
    <mergeCell ref="U51:U52"/>
    <mergeCell ref="C245:C246"/>
    <mergeCell ref="G90:G91"/>
    <mergeCell ref="V129:V130"/>
    <mergeCell ref="G11:G12"/>
    <mergeCell ref="D11:D12"/>
    <mergeCell ref="P90:P91"/>
    <mergeCell ref="C168:C169"/>
    <mergeCell ref="P11:P12"/>
    <mergeCell ref="L6:L7"/>
    <mergeCell ref="N6:N7"/>
    <mergeCell ref="A7:C7"/>
    <mergeCell ref="I11:I12"/>
    <mergeCell ref="F168:F169"/>
    <mergeCell ref="D87:V87"/>
    <mergeCell ref="D90:D91"/>
    <mergeCell ref="S11:S12"/>
    <mergeCell ref="U11:U12"/>
    <mergeCell ref="L166:Q166"/>
    <mergeCell ref="E51:E52"/>
    <mergeCell ref="M11:M12"/>
    <mergeCell ref="F129:F130"/>
    <mergeCell ref="H129:H130"/>
    <mergeCell ref="C11:C12"/>
    <mergeCell ref="S6:S7"/>
    <mergeCell ref="U168:U169"/>
    <mergeCell ref="T6:T7"/>
    <mergeCell ref="D6:D7"/>
    <mergeCell ref="J245:J246"/>
    <mergeCell ref="D165:V165"/>
    <mergeCell ref="D9:V9"/>
    <mergeCell ref="K129:K130"/>
    <mergeCell ref="M129:M130"/>
    <mergeCell ref="P6:P7"/>
    <mergeCell ref="R6:R7"/>
    <mergeCell ref="T206:T207"/>
    <mergeCell ref="H11:H12"/>
    <mergeCell ref="J11:J12"/>
    <mergeCell ref="M90:M91"/>
    <mergeCell ref="E245:E246"/>
    <mergeCell ref="K90:K91"/>
    <mergeCell ref="J168:J169"/>
    <mergeCell ref="H90:H91"/>
    <mergeCell ref="L168:L169"/>
    <mergeCell ref="S245:S246"/>
    <mergeCell ref="K245:K246"/>
    <mergeCell ref="U245:U246"/>
    <mergeCell ref="S168:S169"/>
    <mergeCell ref="P129:P130"/>
    <mergeCell ref="U6:U7"/>
    <mergeCell ref="P51:P52"/>
    <mergeCell ref="V206:V207"/>
    <mergeCell ref="T11:T12"/>
    <mergeCell ref="G51:G52"/>
    <mergeCell ref="Q90:Q91"/>
    <mergeCell ref="I51:I52"/>
    <mergeCell ref="M206:M207"/>
    <mergeCell ref="N129:N130"/>
    <mergeCell ref="Q168:Q169"/>
    <mergeCell ref="K6:K7"/>
    <mergeCell ref="O206:O207"/>
    <mergeCell ref="K11:K12"/>
    <mergeCell ref="I206:I207"/>
    <mergeCell ref="R206:R207"/>
  </mergeCells>
  <pageMargins left="0.7" right="0.7" top="0.75" bottom="0.75" header="0.3" footer="0.3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K300"/>
  <sheetViews>
    <sheetView showGridLines="0" zoomScaleNormal="100" workbookViewId="0">
      <pane xSplit="3" ySplit="9" topLeftCell="D274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19.5" customHeight="1" x14ac:dyDescent="0.2">
      <c r="A7" s="165" t="s">
        <v>34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19.5" customHeight="1" x14ac:dyDescent="0.25">
      <c r="A8" s="175"/>
      <c r="B8" s="175"/>
      <c r="C8" s="175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s="102" customFormat="1" ht="16.5" customHeight="1" x14ac:dyDescent="0.25">
      <c r="A9" s="162" t="s">
        <v>227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1" ht="16.5" customHeight="1" x14ac:dyDescent="0.2"/>
    <row r="11" spans="1:11" ht="16.5" customHeight="1" x14ac:dyDescent="0.2">
      <c r="D11" s="155" t="s">
        <v>210</v>
      </c>
      <c r="E11" s="178"/>
      <c r="F11" s="178"/>
      <c r="G11" s="178"/>
      <c r="H11" s="178"/>
      <c r="I11" s="178"/>
      <c r="J11" s="178"/>
      <c r="K11" s="178"/>
    </row>
    <row r="12" spans="1:1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1466.674192823*Deflactores!$T$5</f>
        <v>2276.1699541274402</v>
      </c>
      <c r="E15" s="42">
        <f>1041.206232414*Deflactores!$U$5</f>
        <v>1590.2717482232777</v>
      </c>
      <c r="F15" s="42">
        <f>1680.586588003*Deflactores!$V$5</f>
        <v>2430.2408392637353</v>
      </c>
      <c r="G15" s="42">
        <f>1758.986807812*Deflactores!$W$5</f>
        <v>2248.5968984219094</v>
      </c>
      <c r="H15" s="42">
        <f>4376.210043642*Deflactores!$X$5</f>
        <v>5119.2518648481573</v>
      </c>
      <c r="I15" s="42">
        <f>6710.197926328*Deflactores!$Y$5</f>
        <v>7461.5306841167303</v>
      </c>
      <c r="J15" s="42">
        <f>4095.977895684*Deflactores!$Z$5</f>
        <v>4333.5446136336723</v>
      </c>
      <c r="K15" s="42">
        <f>3140.53295549*Deflactores!$AA$5</f>
        <v>3140.5329554899999</v>
      </c>
    </row>
    <row r="16" spans="1:11" x14ac:dyDescent="0.2">
      <c r="C16" s="88" t="s">
        <v>124</v>
      </c>
      <c r="D16" s="50">
        <f>203.928186782*Deflactores!$T$5</f>
        <v>316.4814747707872</v>
      </c>
      <c r="E16" s="50">
        <f>258.852998999*Deflactores!$U$5</f>
        <v>395.35550060682016</v>
      </c>
      <c r="F16" s="50">
        <f>609.433485249*Deflactores!$V$5</f>
        <v>881.2816639378708</v>
      </c>
      <c r="G16" s="50">
        <f>753.48938061*Deflactores!$W$5</f>
        <v>963.22148449823806</v>
      </c>
      <c r="H16" s="50">
        <f>1324.016221117*Deflactores!$X$5</f>
        <v>1548.8224837127793</v>
      </c>
      <c r="I16" s="50">
        <f>1253.139971971*Deflactores!$Y$5</f>
        <v>1393.4525411937518</v>
      </c>
      <c r="J16" s="50">
        <f>807.783551153*Deflactores!$Z$5</f>
        <v>854.63499711987401</v>
      </c>
      <c r="K16" s="50">
        <f>920.309079644*Deflactores!$AA$5</f>
        <v>920.30907964400001</v>
      </c>
    </row>
    <row r="17" spans="3:11" x14ac:dyDescent="0.2">
      <c r="C17" s="87" t="s">
        <v>125</v>
      </c>
      <c r="D17" s="42">
        <f>327.50009532*Deflactores!$T$5</f>
        <v>508.25594435970135</v>
      </c>
      <c r="E17" s="42">
        <f>245.873068343*Deflactores!$U$5</f>
        <v>375.53078541252364</v>
      </c>
      <c r="F17" s="42">
        <f>386.465162527*Deflactores!$V$5</f>
        <v>558.85452593183243</v>
      </c>
      <c r="G17" s="42">
        <f>302.901433272*Deflactores!$W$5</f>
        <v>387.21337781389792</v>
      </c>
      <c r="H17" s="42">
        <f>457.611289945*Deflactores!$X$5</f>
        <v>535.3096460326467</v>
      </c>
      <c r="I17" s="42">
        <f>347.851577998*Deflactores!$Y$5</f>
        <v>386.80009908006258</v>
      </c>
      <c r="J17" s="42">
        <f>254.424632408*Deflactores!$Z$5</f>
        <v>269.18126108766404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199.642718299*Deflactores!$T$5</f>
        <v>309.83074439856341</v>
      </c>
      <c r="E18" s="50">
        <f>213.766834282*Deflactores!$U$5</f>
        <v>326.49377873741292</v>
      </c>
      <c r="F18" s="50">
        <f>322.983198554*Deflactores!$V$5</f>
        <v>467.05535146193694</v>
      </c>
      <c r="G18" s="50">
        <f>313.100437191*Deflactores!$W$5</f>
        <v>400.25125193404733</v>
      </c>
      <c r="H18" s="50">
        <f>465.736688699*Deflactores!$X$5</f>
        <v>544.81466574359092</v>
      </c>
      <c r="I18" s="50">
        <f>188.19075652*Deflactores!$Y$5</f>
        <v>209.26224824630941</v>
      </c>
      <c r="J18" s="50">
        <f>227.83641067*Deflactores!$Z$5</f>
        <v>241.05092248886001</v>
      </c>
      <c r="K18" s="50">
        <f>208.787069182*Deflactores!$AA$5</f>
        <v>208.78706918200001</v>
      </c>
    </row>
    <row r="19" spans="3:11" x14ac:dyDescent="0.2">
      <c r="C19" s="87" t="s">
        <v>127</v>
      </c>
      <c r="D19" s="42">
        <f>90*Deflactores!$T$5</f>
        <v>139.67334863728101</v>
      </c>
      <c r="E19" s="42">
        <f>83.141129558*Deflactores!$U$5</f>
        <v>126.98443913932235</v>
      </c>
      <c r="F19" s="42">
        <f>115.71346817*Deflactores!$V$5</f>
        <v>167.32943009722288</v>
      </c>
      <c r="G19" s="42">
        <f>209.033450966*Deflactores!$W$5</f>
        <v>267.21745008039466</v>
      </c>
      <c r="H19" s="42">
        <f>276.516725483*Deflactores!$X$5</f>
        <v>323.46682368392169</v>
      </c>
      <c r="I19" s="42">
        <f>263*Deflactores!$Y$5</f>
        <v>292.44779237034641</v>
      </c>
      <c r="J19" s="42">
        <f>200*Deflactores!$Z$5</f>
        <v>211.60000000000002</v>
      </c>
      <c r="K19" s="42">
        <f>200*Deflactores!$AA$5</f>
        <v>200</v>
      </c>
    </row>
    <row r="20" spans="3:11" x14ac:dyDescent="0.2">
      <c r="C20" s="88" t="s">
        <v>128</v>
      </c>
      <c r="D20" s="50">
        <f>139.471230582*Deflactores!$T$5</f>
        <v>216.44904237722551</v>
      </c>
      <c r="E20" s="50">
        <f>134.204512594*Deflactores!$U$5</f>
        <v>204.97538164701788</v>
      </c>
      <c r="F20" s="50">
        <f>361.082271087*Deflactores!$V$5</f>
        <v>522.14916374672384</v>
      </c>
      <c r="G20" s="50">
        <f>358.382491445*Deflactores!$W$5</f>
        <v>458.13746591672759</v>
      </c>
      <c r="H20" s="50">
        <f>492.687188011*Deflactores!$X$5</f>
        <v>576.34112185188269</v>
      </c>
      <c r="I20" s="50">
        <f>970.553083497*Deflactores!$Y$5</f>
        <v>1079.224740102396</v>
      </c>
      <c r="J20" s="50">
        <f>718.534204271*Deflactores!$Z$5</f>
        <v>760.20918811871809</v>
      </c>
      <c r="K20" s="50">
        <f>719.777640058*Deflactores!$AA$5</f>
        <v>719.77764005799997</v>
      </c>
    </row>
    <row r="21" spans="3:11" x14ac:dyDescent="0.2">
      <c r="C21" s="87" t="s">
        <v>129</v>
      </c>
      <c r="D21" s="42">
        <f>1056.435357489*Deflactores!$T$5</f>
        <v>1639.5095999923519</v>
      </c>
      <c r="E21" s="42">
        <f>1336.703475162*Deflactores!$U$5</f>
        <v>2041.5953210091657</v>
      </c>
      <c r="F21" s="42">
        <f>2030.060887*Deflactores!$V$5</f>
        <v>2935.6040974013508</v>
      </c>
      <c r="G21" s="42">
        <f>2023.015793576*Deflactores!$W$5</f>
        <v>2586.1177688717048</v>
      </c>
      <c r="H21" s="42">
        <f>1918.920645*Deflactores!$X$5</f>
        <v>2244.7364254565236</v>
      </c>
      <c r="I21" s="42">
        <f>3012.759349434*Deflactores!$Y$5</f>
        <v>3350.0943752284957</v>
      </c>
      <c r="J21" s="42">
        <f>2201.70201282334*Deflactores!$Z$5</f>
        <v>2329.4007295670935</v>
      </c>
      <c r="K21" s="42">
        <f>3548.763580895*Deflactores!$AA$5</f>
        <v>3548.7635808949999</v>
      </c>
    </row>
    <row r="22" spans="3:11" x14ac:dyDescent="0.2">
      <c r="C22" s="88" t="s">
        <v>130</v>
      </c>
      <c r="D22" s="50">
        <f>462*Deflactores!$T$5</f>
        <v>716.9898563380425</v>
      </c>
      <c r="E22" s="50">
        <f>422.38737623*Deflactores!$U$5</f>
        <v>645.12743999561712</v>
      </c>
      <c r="F22" s="50">
        <f>727.839792982*Deflactores!$V$5</f>
        <v>1052.5051205174566</v>
      </c>
      <c r="G22" s="50">
        <f>845.29875289*Deflactores!$W$5</f>
        <v>1080.5857926545132</v>
      </c>
      <c r="H22" s="50">
        <f>891.709127023*Deflactores!$X$5</f>
        <v>1043.11346253746</v>
      </c>
      <c r="I22" s="50">
        <f>994.03887389*Deflactores!$Y$5</f>
        <v>1105.3402060815044</v>
      </c>
      <c r="J22" s="50">
        <f>400*Deflactores!$Z$5</f>
        <v>423.20000000000005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4052.997032233*Deflactores!$T$5</f>
        <v>6289.9518612105003</v>
      </c>
      <c r="E23" s="42">
        <f>3984.903081277*Deflactores!$U$5</f>
        <v>6086.2858790908376</v>
      </c>
      <c r="F23" s="42">
        <f>4849.786376583*Deflactores!$V$5</f>
        <v>7013.1161335055585</v>
      </c>
      <c r="G23" s="42">
        <f>5522.531404122*Deflactores!$W$5</f>
        <v>7059.7158157160829</v>
      </c>
      <c r="H23" s="42">
        <f>7386.914456427*Deflactores!$X$5</f>
        <v>8641.1473008426892</v>
      </c>
      <c r="I23" s="42">
        <f>8061.939062033*Deflactores!$Y$5</f>
        <v>8964.624642265444</v>
      </c>
      <c r="J23" s="42">
        <f>6754.99444239*Deflactores!$Z$5</f>
        <v>7146.78412004862</v>
      </c>
      <c r="K23" s="42">
        <f>6778.173590684*Deflactores!$AA$5</f>
        <v>6778.1735906840004</v>
      </c>
    </row>
    <row r="24" spans="3:11" x14ac:dyDescent="0.2">
      <c r="C24" s="88" t="s">
        <v>132</v>
      </c>
      <c r="D24" s="50">
        <f>18.19119714*Deflactores!$T$5</f>
        <v>28.23139355849699</v>
      </c>
      <c r="E24" s="50">
        <f>21.188013383*Deflactores!$U$5</f>
        <v>32.361215324116571</v>
      </c>
      <c r="F24" s="50">
        <f>20.397418487*Deflactores!$V$5</f>
        <v>29.496034168381698</v>
      </c>
      <c r="G24" s="50">
        <f>18.802547553*Deflactores!$W$5</f>
        <v>24.036195110921529</v>
      </c>
      <c r="H24" s="50">
        <f>19.802547553*Deflactores!$X$5</f>
        <v>23.164845260734609</v>
      </c>
      <c r="I24" s="50">
        <f>18.299953403*Deflactores!$Y$5</f>
        <v>20.348977084363341</v>
      </c>
      <c r="J24" s="50">
        <f>17.000356199*Deflactores!$Z$5</f>
        <v>17.986376858541998</v>
      </c>
      <c r="K24" s="50">
        <f>10.4882057*Deflactores!$AA$5</f>
        <v>10.4882057</v>
      </c>
    </row>
    <row r="25" spans="3:11" x14ac:dyDescent="0.2">
      <c r="C25" s="87" t="s">
        <v>133</v>
      </c>
      <c r="D25" s="42">
        <f>113.314550998*Deflactores!$T$5</f>
        <v>175.85580874689569</v>
      </c>
      <c r="E25" s="42">
        <f>122.936083129*Deflactores!$U$5</f>
        <v>187.7647038128201</v>
      </c>
      <c r="F25" s="42">
        <f>124.973290241*Deflactores!$V$5</f>
        <v>180.71975340570552</v>
      </c>
      <c r="G25" s="42">
        <f>170.827948948*Deflactores!$W$5</f>
        <v>218.37753100949013</v>
      </c>
      <c r="H25" s="42">
        <f>202.904041101*Deflactores!$X$5</f>
        <v>237.35535553203778</v>
      </c>
      <c r="I25" s="42">
        <f>229.26492575*Deflactores!$Y$5</f>
        <v>254.93544259900719</v>
      </c>
      <c r="J25" s="42">
        <f>317.921120658*Deflactores!$Z$5</f>
        <v>336.36054565616405</v>
      </c>
      <c r="K25" s="42">
        <f>390.663726128*Deflactores!$AA$5</f>
        <v>390.66372612800001</v>
      </c>
    </row>
    <row r="26" spans="3:11" x14ac:dyDescent="0.2">
      <c r="C26" s="88" t="s">
        <v>134</v>
      </c>
      <c r="D26" s="50">
        <f>1789.626144378*Deflactores!$T$5</f>
        <v>2777.3675154900152</v>
      </c>
      <c r="E26" s="50">
        <f>1883.055276047*Deflactores!$U$5</f>
        <v>2876.0580878367637</v>
      </c>
      <c r="F26" s="50">
        <f>2199.840409842*Deflactores!$V$5</f>
        <v>3181.1166660644312</v>
      </c>
      <c r="G26" s="50">
        <f>2532.153492221*Deflactores!$W$5</f>
        <v>3236.9728207449398</v>
      </c>
      <c r="H26" s="50">
        <f>4750.120582741*Deflactores!$X$5</f>
        <v>5556.6491116621928</v>
      </c>
      <c r="I26" s="50">
        <f>3240.749095713*Deflactores!$Y$5</f>
        <v>3603.6118580511911</v>
      </c>
      <c r="J26" s="50">
        <f>2716.631356722*Deflactores!$Z$5</f>
        <v>2874.1959754118761</v>
      </c>
      <c r="K26" s="50">
        <f>4685.281665639*Deflactores!$AA$5</f>
        <v>4685.2816656389996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6500.113342468*Deflactores!$Y$5</f>
        <v>7227.9231831247153</v>
      </c>
      <c r="J27" s="42">
        <f>6742.595023627*Deflactores!$Z$5</f>
        <v>7133.6655349973662</v>
      </c>
      <c r="K27" s="42">
        <f>6343.317992889*Deflactores!$AA$5</f>
        <v>6343.3179928890004</v>
      </c>
    </row>
    <row r="28" spans="3:11" x14ac:dyDescent="0.2">
      <c r="C28" s="88" t="s">
        <v>136</v>
      </c>
      <c r="D28" s="50">
        <f>8001.684931111*Deflactores!$T$5</f>
        <v>12418.023656319383</v>
      </c>
      <c r="E28" s="50">
        <f>8633.77710867*Deflactores!$U$5</f>
        <v>13186.678478232036</v>
      </c>
      <c r="F28" s="50">
        <f>12190.763841607*Deflactores!$V$5</f>
        <v>17628.661540669218</v>
      </c>
      <c r="G28" s="50">
        <f>19275.123051394*Deflactores!$W$5</f>
        <v>24640.310954906021</v>
      </c>
      <c r="H28" s="50">
        <f>16782.000923871*Deflactores!$X$5</f>
        <v>19631.43648697274</v>
      </c>
      <c r="I28" s="50">
        <f>11152.307544973*Deflactores!$Y$5</f>
        <v>12401.017951948714</v>
      </c>
      <c r="J28" s="50">
        <f>8876.386753354*Deflactores!$Z$5</f>
        <v>9391.217185048532</v>
      </c>
      <c r="K28" s="50">
        <f>11228.172667558*Deflactores!$AA$5</f>
        <v>11228.172667557999</v>
      </c>
    </row>
    <row r="29" spans="3:11" x14ac:dyDescent="0.2">
      <c r="C29" s="87" t="s">
        <v>137</v>
      </c>
      <c r="D29" s="42">
        <f>184.979086051*Deflactores!$T$5</f>
        <v>287.07387085118808</v>
      </c>
      <c r="E29" s="42">
        <f>179.40547086*Deflactores!$U$5</f>
        <v>274.01243183484075</v>
      </c>
      <c r="F29" s="42">
        <f>320.568678185*Deflactores!$V$5</f>
        <v>463.56379318706661</v>
      </c>
      <c r="G29" s="42">
        <f>397.302015718*Deflactores!$W$5</f>
        <v>507.89015375932877</v>
      </c>
      <c r="H29" s="42">
        <f>751.841612575*Deflactores!$X$5</f>
        <v>879.49767923887964</v>
      </c>
      <c r="I29" s="42">
        <f>988.154749737*Deflactores!$Y$5</f>
        <v>1098.7972436534517</v>
      </c>
      <c r="J29" s="42">
        <f>703.613494832*Deflactores!$Z$5</f>
        <v>744.423077532256</v>
      </c>
      <c r="K29" s="42">
        <f>469.615108053*Deflactores!$AA$5</f>
        <v>469.61510805299997</v>
      </c>
    </row>
    <row r="30" spans="3:11" x14ac:dyDescent="0.2">
      <c r="C30" s="88" t="s">
        <v>138</v>
      </c>
      <c r="D30" s="50">
        <f>7.240789965*Deflactores!$T$5</f>
        <v>11.237170902119676</v>
      </c>
      <c r="E30" s="50">
        <f>7.094353307*Deflactores!$U$5</f>
        <v>10.835461107334787</v>
      </c>
      <c r="F30" s="50">
        <f>7.846050941*Deflactores!$V$5</f>
        <v>11.345915503478848</v>
      </c>
      <c r="G30" s="50">
        <f>8*Deflactores!$W$5</f>
        <v>10.226782320074063</v>
      </c>
      <c r="H30" s="50">
        <f>29*Deflactores!$X$5</f>
        <v>33.923943914960162</v>
      </c>
      <c r="I30" s="50">
        <f>40.538191002*Deflactores!$Y$5</f>
        <v>45.077203289818783</v>
      </c>
      <c r="J30" s="50">
        <f>35.198878846*Deflactores!$Z$5</f>
        <v>37.240413819068003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153.83752738912105</v>
      </c>
      <c r="E31" s="42">
        <f>215.442899543*Deflactores!$U$5</f>
        <v>329.05369352640446</v>
      </c>
      <c r="F31" s="42">
        <f>356.557706831*Deflactores!$V$5</f>
        <v>515.60634059598692</v>
      </c>
      <c r="G31" s="42">
        <f>667.239572578*Deflactores!$W$5</f>
        <v>852.96423301180812</v>
      </c>
      <c r="H31" s="42">
        <f>496.367897221*Deflactores!$X$5</f>
        <v>580.64678298316949</v>
      </c>
      <c r="I31" s="42">
        <f>561.259970633*Deflactores!$Y$5</f>
        <v>624.10357170139275</v>
      </c>
      <c r="J31" s="42">
        <f>467.11101387*Deflactores!$Z$5</f>
        <v>494.20345267446004</v>
      </c>
      <c r="K31" s="42">
        <f>453.842954339*Deflactores!$AA$5</f>
        <v>453.84295433900002</v>
      </c>
    </row>
    <row r="32" spans="3:11" x14ac:dyDescent="0.2">
      <c r="C32" s="88" t="s">
        <v>161</v>
      </c>
      <c r="D32" s="50">
        <f>319.180407099*Deflactores!$T$5</f>
        <v>495.34440309919893</v>
      </c>
      <c r="E32" s="50">
        <f>389.223976564*Deflactores!$U$5</f>
        <v>594.47578624820926</v>
      </c>
      <c r="F32" s="50">
        <f>447.051614849*Deflactores!$V$5</f>
        <v>646.46659649702167</v>
      </c>
      <c r="G32" s="50">
        <f>516.724841571*Deflactores!$W$5</f>
        <v>660.55405926517176</v>
      </c>
      <c r="H32" s="50">
        <f>387.286214312*Deflactores!$X$5</f>
        <v>453.04399356405281</v>
      </c>
      <c r="I32" s="50">
        <f>589.111543675*Deflactores!$Y$5</f>
        <v>655.07365174007862</v>
      </c>
      <c r="J32" s="50">
        <f>527.897224174*Deflactores!$Z$5</f>
        <v>558.51526317609205</v>
      </c>
      <c r="K32" s="50">
        <f>521.739381047*Deflactores!$AA$5</f>
        <v>521.73938104700005</v>
      </c>
    </row>
    <row r="33" spans="1:11" x14ac:dyDescent="0.2">
      <c r="C33" s="87" t="s">
        <v>140</v>
      </c>
      <c r="D33" s="42">
        <f>3015.746627716*Deflactores!$T$5</f>
        <v>4680.2158903853488</v>
      </c>
      <c r="E33" s="42">
        <f>2987.407243519*Deflactores!$U$5</f>
        <v>4562.7745896135348</v>
      </c>
      <c r="F33" s="42">
        <f>4390.634058904*Deflactores!$V$5</f>
        <v>6349.1511097265457</v>
      </c>
      <c r="G33" s="42">
        <f>4290.222945237*Deflactores!$W$5</f>
        <v>5484.3970206907288</v>
      </c>
      <c r="H33" s="42">
        <f>6744.203689364*Deflactores!$X$5</f>
        <v>7889.3099210017845</v>
      </c>
      <c r="I33" s="42">
        <f>6957.878078506*Deflactores!$Y$5</f>
        <v>7736.9432838064922</v>
      </c>
      <c r="J33" s="42">
        <f>6553.371386211*Deflactores!$Z$5</f>
        <v>6933.4669266112378</v>
      </c>
      <c r="K33" s="42">
        <f>9629.741911809*Deflactores!$AA$5</f>
        <v>9629.7419118090002</v>
      </c>
    </row>
    <row r="34" spans="1:11" x14ac:dyDescent="0.2">
      <c r="C34" s="88" t="s">
        <v>141</v>
      </c>
      <c r="D34" s="50">
        <f>160.351239781*Deflactores!$T$5</f>
        <v>248.85327353724284</v>
      </c>
      <c r="E34" s="50">
        <f>223.229508317*Deflactores!$U$5</f>
        <v>340.94646132039912</v>
      </c>
      <c r="F34" s="50">
        <f>353.941613602*Deflactores!$V$5</f>
        <v>511.82329445613169</v>
      </c>
      <c r="G34" s="50">
        <f>444.371286924*Deflactores!$W$5</f>
        <v>568.06105258286527</v>
      </c>
      <c r="H34" s="50">
        <f>581.61888279*Deflactores!$X$5</f>
        <v>680.37263309137074</v>
      </c>
      <c r="I34" s="50">
        <f>515.167917902*Deflactores!$Y$5</f>
        <v>572.85064749227286</v>
      </c>
      <c r="J34" s="50">
        <f>382.814399842*Deflactores!$Z$5</f>
        <v>405.01763503283604</v>
      </c>
      <c r="K34" s="50">
        <f>888.987193087*Deflactores!$AA$5</f>
        <v>888.98719308700004</v>
      </c>
    </row>
    <row r="35" spans="1:11" x14ac:dyDescent="0.2">
      <c r="C35" s="87" t="s">
        <v>142</v>
      </c>
      <c r="D35" s="42">
        <f>279.312903117*Deflactores!$T$5</f>
        <v>433.4729832883537</v>
      </c>
      <c r="E35" s="42">
        <f>191.749630738*Deflactores!$U$5</f>
        <v>292.8661114406782</v>
      </c>
      <c r="F35" s="42">
        <f>561.620910213*Deflactores!$V$5</f>
        <v>812.14147603424021</v>
      </c>
      <c r="G35" s="42">
        <f>1108.078265449*Deflactores!$W$5</f>
        <v>1416.509401794021</v>
      </c>
      <c r="H35" s="42">
        <f>1377.770357741*Deflactores!$X$5</f>
        <v>1611.7035980586304</v>
      </c>
      <c r="I35" s="42">
        <f>949.427258332*Deflactores!$Y$5</f>
        <v>1055.7334818076956</v>
      </c>
      <c r="J35" s="42">
        <f>607.27635273*Deflactores!$Z$5</f>
        <v>642.49838118833998</v>
      </c>
      <c r="K35" s="42">
        <f>993.947536256*Deflactores!$AA$5</f>
        <v>993.94753625600003</v>
      </c>
    </row>
    <row r="36" spans="1:11" x14ac:dyDescent="0.2">
      <c r="C36" s="88" t="s">
        <v>143</v>
      </c>
      <c r="D36" s="50">
        <f>262.161517598*Deflactores!$T$5</f>
        <v>406.85530051937923</v>
      </c>
      <c r="E36" s="50">
        <f>691.703288843*Deflactores!$U$5</f>
        <v>1056.4633250896377</v>
      </c>
      <c r="F36" s="50">
        <f>2352.552110093*Deflactores!$V$5</f>
        <v>3401.9480193744575</v>
      </c>
      <c r="G36" s="50">
        <f>1235.851900956*Deflactores!$W$5</f>
        <v>1579.8485463658428</v>
      </c>
      <c r="H36" s="50">
        <f>2232.806995745*Deflactores!$X$5</f>
        <v>2611.9179067787613</v>
      </c>
      <c r="I36" s="50">
        <f>767.991502413*Deflactores!$Y$5</f>
        <v>853.98258342154918</v>
      </c>
      <c r="J36" s="50">
        <f>483.416375768*Deflactores!$Z$5</f>
        <v>511.45452556254406</v>
      </c>
      <c r="K36" s="50">
        <f>270.871381679*Deflactores!$AA$5</f>
        <v>270.87138167900002</v>
      </c>
    </row>
    <row r="37" spans="1:11" x14ac:dyDescent="0.2">
      <c r="C37" s="87" t="s">
        <v>144</v>
      </c>
      <c r="D37" s="42">
        <f>342.568474523*Deflactores!$T$5</f>
        <v>531.64095526880556</v>
      </c>
      <c r="E37" s="42">
        <f>276.349705141*Deflactores!$U$5</f>
        <v>422.07884954421286</v>
      </c>
      <c r="F37" s="42">
        <f>480.260662865*Deflactores!$V$5</f>
        <v>694.48910560049751</v>
      </c>
      <c r="G37" s="42">
        <f>580.82202774*Deflactores!$W$5</f>
        <v>742.49255555012485</v>
      </c>
      <c r="H37" s="42">
        <f>726.90985*Deflactores!$X$5</f>
        <v>850.33272353903817</v>
      </c>
      <c r="I37" s="42">
        <f>1137.039817889*Deflactores!$Y$5</f>
        <v>1264.3527930753564</v>
      </c>
      <c r="J37" s="42">
        <f>1249.41526791*Deflactores!$Z$5</f>
        <v>1321.8813534487801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58.97835*Deflactores!$T$5</f>
        <v>91.530040462239796</v>
      </c>
      <c r="E38" s="50">
        <f>117.767830496*Deflactores!$U$5</f>
        <v>179.87104557867261</v>
      </c>
      <c r="F38" s="50">
        <f>65.592240351*Deflactores!$V$5</f>
        <v>94.850775543329704</v>
      </c>
      <c r="G38" s="50">
        <f>152.679874662*Deflactores!$W$5</f>
        <v>195.17798035305819</v>
      </c>
      <c r="H38" s="50">
        <f>243.770270902*Deflactores!$X$5</f>
        <v>285.1603102832446</v>
      </c>
      <c r="I38" s="50">
        <f>186.90178941*Deflactores!$Y$5</f>
        <v>207.82895704571061</v>
      </c>
      <c r="J38" s="50">
        <f>176.267154181*Deflactores!$Z$5</f>
        <v>186.490649123498</v>
      </c>
      <c r="K38" s="50">
        <f>225.900008151*Deflactores!$AA$5</f>
        <v>225.90000815100001</v>
      </c>
    </row>
    <row r="39" spans="1:11" x14ac:dyDescent="0.2">
      <c r="C39" s="87" t="s">
        <v>146</v>
      </c>
      <c r="D39" s="42">
        <f>40.346122132*Deflactores!$T$5</f>
        <v>62.614199807835057</v>
      </c>
      <c r="E39" s="42">
        <f>42.892189563*Deflactores!$U$5</f>
        <v>65.510784663028005</v>
      </c>
      <c r="F39" s="42">
        <f>70.796015878*Deflactores!$V$5</f>
        <v>102.37578371271181</v>
      </c>
      <c r="G39" s="42">
        <f>74.870463919*Deflactores!$W$5</f>
        <v>95.710492087821535</v>
      </c>
      <c r="H39" s="42">
        <f>87.870463919*Deflactores!$X$5</f>
        <v>102.79009275067885</v>
      </c>
      <c r="I39" s="42">
        <f>37.625364298*Deflactores!$Y$5</f>
        <v>41.83823089764315</v>
      </c>
      <c r="J39" s="42">
        <f>19.027537134*Deflactores!$Z$5</f>
        <v>20.131134287771999</v>
      </c>
      <c r="K39" s="42">
        <f>10*Deflactores!$AA$5</f>
        <v>10</v>
      </c>
    </row>
    <row r="40" spans="1:11" x14ac:dyDescent="0.2">
      <c r="C40" s="88" t="s">
        <v>162</v>
      </c>
      <c r="D40" s="50">
        <f>533.462898135*Deflactores!$T$5</f>
        <v>827.89499284737985</v>
      </c>
      <c r="E40" s="50">
        <f>587.125494067*Deflactores!$U$5</f>
        <v>896.73789573047259</v>
      </c>
      <c r="F40" s="50">
        <f>748.562235219*Deflactores!$V$5</f>
        <v>1082.471160811449</v>
      </c>
      <c r="G40" s="50">
        <f>1025.306904989*Deflactores!$W$5</f>
        <v>1310.6988160739204</v>
      </c>
      <c r="H40" s="50">
        <f>1945.190785537*Deflactores!$X$5</f>
        <v>2275.4670038777413</v>
      </c>
      <c r="I40" s="50">
        <f>1873.733030912*Deflactores!$Y$5</f>
        <v>2083.5326554433932</v>
      </c>
      <c r="J40" s="50">
        <f>1977.619120258*Deflactores!$Z$5</f>
        <v>2092.3210292329641</v>
      </c>
      <c r="K40" s="50">
        <f>2632.408300005*Deflactores!$AA$5</f>
        <v>2632.408300005</v>
      </c>
    </row>
    <row r="41" spans="1:11" x14ac:dyDescent="0.2">
      <c r="C41" s="87" t="s">
        <v>148</v>
      </c>
      <c r="D41" s="42">
        <f>150.61064771*Deflactores!$T$5</f>
        <v>233.73659451206152</v>
      </c>
      <c r="E41" s="42">
        <f>177.973974653*Deflactores!$U$5</f>
        <v>271.8260561632286</v>
      </c>
      <c r="F41" s="42">
        <f>214.222987376*Deflactores!$V$5</f>
        <v>309.78079698283619</v>
      </c>
      <c r="G41" s="42">
        <f>255.085613218*Deflactores!$W$5</f>
        <v>326.08812992038662</v>
      </c>
      <c r="H41" s="42">
        <f>249.063806801*Deflactores!$X$5</f>
        <v>291.35264183322749</v>
      </c>
      <c r="I41" s="42">
        <f>254.269322249*Deflactores!$Y$5</f>
        <v>282.73955117575764</v>
      </c>
      <c r="J41" s="42">
        <f>264.583564807*Deflactores!$Z$5</f>
        <v>279.92941156580605</v>
      </c>
      <c r="K41" s="42">
        <f>265.794300973*Deflactores!$AA$5</f>
        <v>265.79430097300002</v>
      </c>
    </row>
    <row r="42" spans="1:11" x14ac:dyDescent="0.2">
      <c r="C42" s="88" t="s">
        <v>149</v>
      </c>
      <c r="D42" s="50">
        <f>14.778*Deflactores!$T$5</f>
        <v>22.934363846241542</v>
      </c>
      <c r="E42" s="50">
        <f>0*Deflactores!$U$5</f>
        <v>0</v>
      </c>
      <c r="F42" s="50">
        <f>0*Deflactores!$V$5</f>
        <v>0</v>
      </c>
      <c r="G42" s="50">
        <f>0*Deflactores!$W$5</f>
        <v>0</v>
      </c>
      <c r="H42" s="50">
        <f>0*Deflactores!$X$5</f>
        <v>0</v>
      </c>
      <c r="I42" s="50">
        <f>806.350055307*Deflactores!$Y$5</f>
        <v>896.63609715680184</v>
      </c>
      <c r="J42" s="50">
        <f>503.674902708*Deflactores!$Z$5</f>
        <v>532.88804706506403</v>
      </c>
      <c r="K42" s="50">
        <f>200*Deflactores!$AA$5</f>
        <v>200</v>
      </c>
    </row>
    <row r="43" spans="1:11" x14ac:dyDescent="0.2">
      <c r="C43" s="87" t="s">
        <v>163</v>
      </c>
      <c r="D43" s="42">
        <f>3608.984847861*Deflactores!$T$5</f>
        <v>5600.8777653550442</v>
      </c>
      <c r="E43" s="42">
        <f>4286.925304835*Deflactores!$U$5</f>
        <v>6547.5752898796209</v>
      </c>
      <c r="F43" s="42">
        <f>2534.187077095*Deflactores!$V$5</f>
        <v>3664.6043548454586</v>
      </c>
      <c r="G43" s="42">
        <f>2667.539107948*Deflactores!$W$5</f>
        <v>3410.0427234085932</v>
      </c>
      <c r="H43" s="42">
        <f>2927.217261362*Deflactores!$X$5</f>
        <v>3424.2329034947511</v>
      </c>
      <c r="I43" s="42">
        <f>3503.082783503*Deflactores!$Y$5</f>
        <v>3895.3187320381007</v>
      </c>
      <c r="J43" s="42">
        <f>3699.600755797*Deflactores!$Z$5</f>
        <v>3914.1775996332262</v>
      </c>
      <c r="K43" s="42">
        <f>3865.835827663*Deflactores!$AA$5</f>
        <v>3865.8358276630001</v>
      </c>
    </row>
    <row r="44" spans="1:11" x14ac:dyDescent="0.2">
      <c r="C44" s="88" t="s">
        <v>150</v>
      </c>
      <c r="D44" s="50">
        <f>4513.114606101*Deflactores!$T$5</f>
        <v>7004.0203313105576</v>
      </c>
      <c r="E44" s="50">
        <f>4880.829689609*Deflactores!$U$5</f>
        <v>7454.6668293360253</v>
      </c>
      <c r="F44" s="50">
        <f>7619.875755481*Deflactores!$V$5</f>
        <v>11018.851026944216</v>
      </c>
      <c r="G44" s="50">
        <f>8618.152924772*Deflactores!$W$5</f>
        <v>11016.996745344108</v>
      </c>
      <c r="H44" s="50">
        <f>8819.917613877*Deflactores!$X$5</f>
        <v>10317.461740266643</v>
      </c>
      <c r="I44" s="50">
        <f>9607.832654119*Deflactores!$Y$5</f>
        <v>10683.610072854857</v>
      </c>
      <c r="J44" s="50">
        <f>8351.582413401*Deflactores!$Z$5</f>
        <v>8835.9741933782589</v>
      </c>
      <c r="K44" s="50">
        <f>10011.880536984*Deflactores!$AA$5</f>
        <v>10011.880536983999</v>
      </c>
    </row>
    <row r="45" spans="1:11" x14ac:dyDescent="0.2">
      <c r="C45" s="87" t="s">
        <v>151</v>
      </c>
      <c r="D45" s="42">
        <f>1956.813877382*Deflactores!$T$5</f>
        <v>3036.8305212649525</v>
      </c>
      <c r="E45" s="42">
        <f>1995.97249401*Deflactores!$U$5</f>
        <v>3048.5206183368014</v>
      </c>
      <c r="F45" s="42">
        <f>3233.300557485*Deflactores!$V$5</f>
        <v>4675.569302115734</v>
      </c>
      <c r="G45" s="42">
        <f>3165.347167423*Deflactores!$W$5</f>
        <v>4046.4145560872566</v>
      </c>
      <c r="H45" s="42">
        <f>5008.42949458*Deflactores!$X$5</f>
        <v>5858.8165957298006</v>
      </c>
      <c r="I45" s="42">
        <f>5366.906197157*Deflactores!$Y$5</f>
        <v>5967.8322023471319</v>
      </c>
      <c r="J45" s="42">
        <f>4001.528694152*Deflactores!$Z$5</f>
        <v>4233.6173584128164</v>
      </c>
      <c r="K45" s="42">
        <f>2578.250963359*Deflactores!$AA$5</f>
        <v>2578.2509633589998</v>
      </c>
    </row>
    <row r="46" spans="1:11" ht="21" customHeight="1" x14ac:dyDescent="0.2">
      <c r="C46" s="79" t="s">
        <v>202</v>
      </c>
      <c r="D46" s="44">
        <f t="shared" ref="D46:K46" si="0">+SUM(D15:D45)</f>
        <v>51941.760384973764</v>
      </c>
      <c r="E46" s="44">
        <f t="shared" si="0"/>
        <v>54423.697988480817</v>
      </c>
      <c r="F46" s="44">
        <f t="shared" si="0"/>
        <v>71403.1691721026</v>
      </c>
      <c r="G46" s="44">
        <f t="shared" si="0"/>
        <v>75794.828056294005</v>
      </c>
      <c r="H46" s="44">
        <f t="shared" si="0"/>
        <v>84171.640064544088</v>
      </c>
      <c r="I46" s="44">
        <f t="shared" si="0"/>
        <v>85716.86570044054</v>
      </c>
      <c r="J46" s="44">
        <f t="shared" si="0"/>
        <v>68067.261901782011</v>
      </c>
      <c r="K46" s="44">
        <f t="shared" si="0"/>
        <v>73456.308595238006</v>
      </c>
    </row>
    <row r="47" spans="1:11" s="31" customFormat="1" x14ac:dyDescent="0.2">
      <c r="A47" s="5"/>
      <c r="B47" s="5"/>
      <c r="C47" s="72" t="str">
        <f>+'C1 Aprop Resumen 2000-2026'!B20</f>
        <v>* Información con corte a 30 de abril</v>
      </c>
      <c r="D47" s="121">
        <f>+D46-'C6 Ejec. Nac 19-26'!D32</f>
        <v>0</v>
      </c>
      <c r="E47" s="121">
        <f>+E46-'C6 Ejec. Nac 19-26'!E32</f>
        <v>0</v>
      </c>
      <c r="F47" s="121">
        <f>+F46-'C6 Ejec. Nac 19-26'!F32</f>
        <v>0</v>
      </c>
      <c r="G47" s="121">
        <f>+G46-'C6 Ejec. Nac 19-26'!G32</f>
        <v>0</v>
      </c>
      <c r="H47" s="121">
        <f>+H46-'C6 Ejec. Nac 19-26'!H32</f>
        <v>0</v>
      </c>
      <c r="I47" s="121">
        <f>+I46-'C6 Ejec. Nac 19-26'!I32</f>
        <v>0</v>
      </c>
      <c r="J47" s="121">
        <f>+J46-'C6 Ejec. Nac 19-26'!J32</f>
        <v>0</v>
      </c>
      <c r="K47" s="121">
        <f>+K46-'C6 Ejec. Nac 19-26'!K32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D53" s="155" t="s">
        <v>211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x14ac:dyDescent="0.2">
      <c r="C55" s="150"/>
      <c r="D55" s="150"/>
      <c r="E55" s="150"/>
      <c r="F55" s="150"/>
      <c r="G55" s="150"/>
      <c r="H55" s="150"/>
      <c r="I55" s="150"/>
      <c r="J55" s="150"/>
    </row>
    <row r="56" spans="3:11" ht="12" thickBot="1" x14ac:dyDescent="0.25">
      <c r="C56" s="176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10</v>
      </c>
    </row>
    <row r="57" spans="3:11" ht="12" customHeight="1" thickBot="1" x14ac:dyDescent="0.25">
      <c r="C57" s="160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1404.14782862822*Deflactores!$T$5</f>
        <v>2179.1336578474497</v>
      </c>
      <c r="E58" s="42">
        <f>990.40824020897*Deflactores!$U$5</f>
        <v>1512.6861466822327</v>
      </c>
      <c r="F58" s="42">
        <f>1571.26912269242*Deflactores!$V$5</f>
        <v>2272.1604579617192</v>
      </c>
      <c r="G58" s="42">
        <f>1553.93507047853*Deflactores!$W$5</f>
        <v>1986.4694631641091</v>
      </c>
      <c r="H58" s="42">
        <f>4035.83661742135*Deflactores!$X$5</f>
        <v>4721.0860365291182</v>
      </c>
      <c r="I58" s="42">
        <f>6525.33252325709*Deflactores!$Y$5</f>
        <v>7255.9661251291182</v>
      </c>
      <c r="J58" s="42">
        <f>3901.20504799269*Deflactores!$Z$5</f>
        <v>4127.4749407762665</v>
      </c>
      <c r="K58" s="42">
        <f>1395.47679282249*Deflactores!$AA$5</f>
        <v>1395.4767928224901</v>
      </c>
    </row>
    <row r="59" spans="3:11" x14ac:dyDescent="0.2">
      <c r="C59" s="88" t="s">
        <v>124</v>
      </c>
      <c r="D59" s="50">
        <f>192.67659888848*Deflactores!$T$5</f>
        <v>299.01984189773572</v>
      </c>
      <c r="E59" s="50">
        <f>245.8151425416*Deflactores!$U$5</f>
        <v>375.4423132514936</v>
      </c>
      <c r="F59" s="50">
        <f>453.23893047894*Deflactores!$V$5</f>
        <v>655.41386957217026</v>
      </c>
      <c r="G59" s="50">
        <f>619.48206390437*Deflactores!$W$5</f>
        <v>791.91352734252519</v>
      </c>
      <c r="H59" s="50">
        <f>1095.3441357279*Deflactores!$X$5</f>
        <v>1281.3238975177171</v>
      </c>
      <c r="I59" s="50">
        <f>1249.44996289236*Deflactores!$Y$5</f>
        <v>1389.3493662550643</v>
      </c>
      <c r="J59" s="50">
        <f>789.77001283758*Deflactores!$Z$5</f>
        <v>835.57667358215963</v>
      </c>
      <c r="K59" s="50">
        <f>412.47321459085*Deflactores!$AA$5</f>
        <v>412.47321459084998</v>
      </c>
    </row>
    <row r="60" spans="3:11" x14ac:dyDescent="0.2">
      <c r="C60" s="87" t="s">
        <v>125</v>
      </c>
      <c r="D60" s="42">
        <f>327.372708889349*Deflactores!$T$5</f>
        <v>508.0582500337016</v>
      </c>
      <c r="E60" s="42">
        <f>243.643233944079*Deflactores!$U$5</f>
        <v>372.12507909092477</v>
      </c>
      <c r="F60" s="42">
        <f>383.2487069391*Deflactores!$V$5</f>
        <v>554.2033155846874</v>
      </c>
      <c r="G60" s="42">
        <f>302.683368367509*Deflactores!$W$5</f>
        <v>386.93461502516323</v>
      </c>
      <c r="H60" s="42">
        <f>451.84911058533*Deflactores!$X$5</f>
        <v>528.5690995007368</v>
      </c>
      <c r="I60" s="42">
        <f>341.72148436872*Deflactores!$Y$5</f>
        <v>379.98362627053234</v>
      </c>
      <c r="J60" s="42">
        <f>249.2123277102*Deflactores!$Z$5</f>
        <v>263.6666427173916</v>
      </c>
      <c r="K60" s="42">
        <f>214.786448857*Deflactores!$AA$5</f>
        <v>214.78644885700001</v>
      </c>
    </row>
    <row r="61" spans="3:11" x14ac:dyDescent="0.2">
      <c r="C61" s="88" t="s">
        <v>126</v>
      </c>
      <c r="D61" s="50">
        <f>197.24931763552*Deflactores!$T$5</f>
        <v>306.11636345079739</v>
      </c>
      <c r="E61" s="50">
        <f>210.471278617659*Deflactores!$U$5</f>
        <v>321.46035797546836</v>
      </c>
      <c r="F61" s="50">
        <f>318.98651550106*Deflactores!$V$5</f>
        <v>461.27587990945381</v>
      </c>
      <c r="G61" s="50">
        <f>303.9895879126*Deflactores!$W$5</f>
        <v>388.60441789389722</v>
      </c>
      <c r="H61" s="50">
        <f>460.02047952681*Deflactores!$X$5</f>
        <v>538.12789473105454</v>
      </c>
      <c r="I61" s="50">
        <f>184.601879886389*Deflactores!$Y$5</f>
        <v>205.27152943038146</v>
      </c>
      <c r="J61" s="50">
        <f>224.71977121763*Deflactores!$Z$5</f>
        <v>237.75351794825255</v>
      </c>
      <c r="K61" s="50">
        <f>186.40564919838*Deflactores!$AA$5</f>
        <v>186.40564919837999</v>
      </c>
    </row>
    <row r="62" spans="3:11" x14ac:dyDescent="0.2">
      <c r="C62" s="87" t="s">
        <v>127</v>
      </c>
      <c r="D62" s="42">
        <f>85.0317916714599*Deflactores!$T$5</f>
        <v>131.96305648200519</v>
      </c>
      <c r="E62" s="42">
        <f>82.08811447538*Deflactores!$U$5</f>
        <v>125.37613130921923</v>
      </c>
      <c r="F62" s="42">
        <f>113.121567184129*Deflactores!$V$5</f>
        <v>163.5813675622978</v>
      </c>
      <c r="G62" s="42">
        <f>180.03564532904*Deflactores!$W$5</f>
        <v>230.14816932926885</v>
      </c>
      <c r="H62" s="42">
        <f>264.313946154429*Deflactores!$X$5</f>
        <v>309.1921201822293</v>
      </c>
      <c r="I62" s="42">
        <f>260.20243270279*Deflactores!$Y$5</f>
        <v>289.33698484153831</v>
      </c>
      <c r="J62" s="42">
        <f>198.71816047376*Deflactores!$Z$5</f>
        <v>210.24381378123809</v>
      </c>
      <c r="K62" s="42">
        <f>176.00893634076*Deflactores!$AA$5</f>
        <v>176.00893634075999</v>
      </c>
    </row>
    <row r="63" spans="3:11" x14ac:dyDescent="0.2">
      <c r="C63" s="88" t="s">
        <v>128</v>
      </c>
      <c r="D63" s="50">
        <f>138.26560700624*Deflactores!$T$5</f>
        <v>214.57800368808714</v>
      </c>
      <c r="E63" s="50">
        <f>133.90501217199*Deflactores!$U$5</f>
        <v>204.51794387448442</v>
      </c>
      <c r="F63" s="50">
        <f>359.94595309854*Deflactores!$V$5</f>
        <v>520.50597177931263</v>
      </c>
      <c r="G63" s="50">
        <f>350.301110505762*Deflactores!$W$5</f>
        <v>447.80665045282967</v>
      </c>
      <c r="H63" s="50">
        <f>486.395040145094*Deflactores!$X$5</f>
        <v>568.98062284127468</v>
      </c>
      <c r="I63" s="50">
        <f>963.291395357899*Deflactores!$Y$5</f>
        <v>1071.1499695124262</v>
      </c>
      <c r="J63" s="50">
        <f>716.38134140273*Deflactores!$Z$5</f>
        <v>757.93145920408836</v>
      </c>
      <c r="K63" s="50">
        <f>420.27088235438*Deflactores!$AA$5</f>
        <v>420.27088235437998</v>
      </c>
    </row>
    <row r="64" spans="3:11" x14ac:dyDescent="0.2">
      <c r="C64" s="87" t="s">
        <v>129</v>
      </c>
      <c r="D64" s="42">
        <f>1053.89981363973*Deflactores!$T$5</f>
        <v>1635.5746233251941</v>
      </c>
      <c r="E64" s="42">
        <f>1328.11968968863*Deflactores!$U$5</f>
        <v>2028.4849965545557</v>
      </c>
      <c r="F64" s="42">
        <f>2018.14714029689*Deflactores!$V$5</f>
        <v>2918.3760212086531</v>
      </c>
      <c r="G64" s="42">
        <f>1949.02550969444*Deflactores!$W$5</f>
        <v>2491.5324529895547</v>
      </c>
      <c r="H64" s="42">
        <f>1826.43670990824*Deflactores!$X$5</f>
        <v>2136.549534867293</v>
      </c>
      <c r="I64" s="42">
        <f>2813.11417452458*Deflactores!$Y$5</f>
        <v>3128.0951711994021</v>
      </c>
      <c r="J64" s="42">
        <f>2168.0641981001*Deflactores!$Z$5</f>
        <v>2293.811921589906</v>
      </c>
      <c r="K64" s="42">
        <f>1733.50806956101*Deflactores!$AA$5</f>
        <v>1733.50806956101</v>
      </c>
    </row>
    <row r="65" spans="3:11" x14ac:dyDescent="0.2">
      <c r="C65" s="88" t="s">
        <v>130</v>
      </c>
      <c r="D65" s="50">
        <f>444.223760381949*Deflactores!$T$5</f>
        <v>689.40244618657709</v>
      </c>
      <c r="E65" s="50">
        <f>403.02721940475*Deflactores!$U$5</f>
        <v>615.55797577046894</v>
      </c>
      <c r="F65" s="50">
        <f>696.8199241366*Deflactores!$V$5</f>
        <v>1007.6483112135844</v>
      </c>
      <c r="G65" s="50">
        <f>829.17265326404*Deflactores!$W$5</f>
        <v>1059.9710288361982</v>
      </c>
      <c r="H65" s="50">
        <f>650.19622214562*Deflactores!$X$5</f>
        <v>760.59379909610323</v>
      </c>
      <c r="I65" s="50">
        <f>929.65762236639*Deflactores!$Y$5</f>
        <v>1033.7502635791479</v>
      </c>
      <c r="J65" s="50">
        <f>396.25331116953*Deflactores!$Z$5</f>
        <v>419.23600321736274</v>
      </c>
      <c r="K65" s="50">
        <f>376.6301286664*Deflactores!$AA$5</f>
        <v>376.63012866640003</v>
      </c>
    </row>
    <row r="66" spans="3:11" x14ac:dyDescent="0.2">
      <c r="C66" s="87" t="s">
        <v>131</v>
      </c>
      <c r="D66" s="42">
        <f>4050.95447037366*Deflactores!$T$5</f>
        <v>6286.7819561583583</v>
      </c>
      <c r="E66" s="42">
        <f>3981.92212260366*Deflactores!$U$5</f>
        <v>6081.7329536345205</v>
      </c>
      <c r="F66" s="42">
        <f>4846.41271580845*Deflactores!$V$5</f>
        <v>7008.2375939226176</v>
      </c>
      <c r="G66" s="42">
        <f>5517.98010916356*Deflactores!$W$5</f>
        <v>7053.8976778642809</v>
      </c>
      <c r="H66" s="42">
        <f>7369.36767830183*Deflactores!$X$5</f>
        <v>8620.6212347390156</v>
      </c>
      <c r="I66" s="42">
        <f>8037.75249255034*Deflactores!$Y$5</f>
        <v>8937.7299318083515</v>
      </c>
      <c r="J66" s="42">
        <f>6733.87455862854*Deflactores!$Z$5</f>
        <v>7124.4392830289962</v>
      </c>
      <c r="K66" s="42">
        <f>4536.43391351548*Deflactores!$AA$5</f>
        <v>4536.4339135154796</v>
      </c>
    </row>
    <row r="67" spans="3:11" x14ac:dyDescent="0.2">
      <c r="C67" s="88" t="s">
        <v>132</v>
      </c>
      <c r="D67" s="50">
        <f>17.26052396833*Deflactores!$T$5</f>
        <v>26.787057576563342</v>
      </c>
      <c r="E67" s="50">
        <f>19.7374142852399*Deflactores!$U$5</f>
        <v>30.145663119998737</v>
      </c>
      <c r="F67" s="50">
        <f>19.4154369081999*Deflactores!$V$5</f>
        <v>28.076022992973925</v>
      </c>
      <c r="G67" s="50">
        <f>17.39965048973*Deflactores!$W$5</f>
        <v>22.242804750479849</v>
      </c>
      <c r="H67" s="50">
        <f>19.19764458816*Deflactores!$X$5</f>
        <v>22.457235114071665</v>
      </c>
      <c r="I67" s="50">
        <f>17.1516034009*Deflactores!$Y$5</f>
        <v>19.072047719410385</v>
      </c>
      <c r="J67" s="50">
        <f>16.02565818293*Deflactores!$Z$5</f>
        <v>16.955146357539942</v>
      </c>
      <c r="K67" s="50">
        <f>3.84243775574*Deflactores!$AA$5</f>
        <v>3.8424377557399998</v>
      </c>
    </row>
    <row r="68" spans="3:11" x14ac:dyDescent="0.2">
      <c r="C68" s="87" t="s">
        <v>133</v>
      </c>
      <c r="D68" s="42">
        <f>112.223584678999*Deflactores!$T$5</f>
        <v>174.16270964661393</v>
      </c>
      <c r="E68" s="42">
        <f>120.963758345869*Deflactores!$U$5</f>
        <v>184.75230119430915</v>
      </c>
      <c r="F68" s="42">
        <f>121.70798864205*Deflactores!$V$5</f>
        <v>175.99790845291972</v>
      </c>
      <c r="G68" s="42">
        <f>168.20035360599*Deflactores!$W$5</f>
        <v>215.01855031099302</v>
      </c>
      <c r="H68" s="42">
        <f>193.49738372993*Deflactores!$X$5</f>
        <v>226.35153080502312</v>
      </c>
      <c r="I68" s="42">
        <f>228.64600854682*Deflactores!$Y$5</f>
        <v>254.24722598406416</v>
      </c>
      <c r="J68" s="42">
        <f>316.223321697129*Deflactores!$Z$5</f>
        <v>334.56427435556247</v>
      </c>
      <c r="K68" s="42">
        <f>168.49237564289*Deflactores!$AA$5</f>
        <v>168.49237564289001</v>
      </c>
    </row>
    <row r="69" spans="3:11" x14ac:dyDescent="0.2">
      <c r="C69" s="88" t="s">
        <v>134</v>
      </c>
      <c r="D69" s="50">
        <f>1169.71891650553*Deflactores!$T$5</f>
        <v>1815.3173114744386</v>
      </c>
      <c r="E69" s="50">
        <f>987.04384689056*Deflactores!$U$5</f>
        <v>1507.5475876939963</v>
      </c>
      <c r="F69" s="50">
        <f>1616.70723046888*Deflactores!$V$5</f>
        <v>2337.8670070711205</v>
      </c>
      <c r="G69" s="50">
        <f>1976.41625472326*Deflactores!$W$5</f>
        <v>2526.547351363854</v>
      </c>
      <c r="H69" s="50">
        <f>1640.47182457508*Deflactores!$X$5</f>
        <v>1919.0094541709443</v>
      </c>
      <c r="I69" s="50">
        <f>2963.56877232382*Deflactores!$Y$5</f>
        <v>3295.3959886076009</v>
      </c>
      <c r="J69" s="50">
        <f>2443.69903140145*Deflactores!$Z$5</f>
        <v>2585.4335752227344</v>
      </c>
      <c r="K69" s="50">
        <f>3755.68183110658*Deflactores!$AA$5</f>
        <v>3755.6818311065799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6476.39146826265*Deflactores!$Y$5</f>
        <v>7201.5451993139104</v>
      </c>
      <c r="J70" s="42">
        <f>6735.4282111402*Deflactores!$Z$5</f>
        <v>7126.0830473863316</v>
      </c>
      <c r="K70" s="42">
        <f>3964.40333915954*Deflactores!$AA$5</f>
        <v>3964.4033391595399</v>
      </c>
    </row>
    <row r="71" spans="3:11" x14ac:dyDescent="0.2">
      <c r="C71" s="88" t="s">
        <v>136</v>
      </c>
      <c r="D71" s="50">
        <f>7951.17159324398*Deflactores!$T$5</f>
        <v>12339.630689089017</v>
      </c>
      <c r="E71" s="50">
        <f>8575.50480492746*Deflactores!$U$5</f>
        <v>13097.677091704798</v>
      </c>
      <c r="F71" s="50">
        <f>11914.9247066506*Deflactores!$V$5</f>
        <v>17229.779664767309</v>
      </c>
      <c r="G71" s="50">
        <f>19048.9440520717*Deflactores!$W$5</f>
        <v>24351.175530975856</v>
      </c>
      <c r="H71" s="50">
        <f>15296.3502105005*Deflactores!$X$5</f>
        <v>17893.535401538211</v>
      </c>
      <c r="I71" s="50">
        <f>10863.196471742*Deflactores!$Y$5</f>
        <v>12079.535461012487</v>
      </c>
      <c r="J71" s="50">
        <f>8784.72130867526*Deflactores!$Z$5</f>
        <v>9294.2351445784261</v>
      </c>
      <c r="K71" s="50">
        <f>3801.47970296381*Deflactores!$AA$5</f>
        <v>3801.4797029638098</v>
      </c>
    </row>
    <row r="72" spans="3:11" x14ac:dyDescent="0.2">
      <c r="C72" s="87" t="s">
        <v>137</v>
      </c>
      <c r="D72" s="42">
        <f>179.519353133389*Deflactores!$T$5</f>
        <v>278.60076885932227</v>
      </c>
      <c r="E72" s="42">
        <f>169.66980518353*Deflactores!$U$5</f>
        <v>259.14279929380029</v>
      </c>
      <c r="F72" s="42">
        <f>217.88851002534*Deflactores!$V$5</f>
        <v>315.08138839732413</v>
      </c>
      <c r="G72" s="42">
        <f>251.49912177299*Deflactores!$W$5</f>
        <v>321.50334650777103</v>
      </c>
      <c r="H72" s="42">
        <f>634.72125268396*Deflactores!$X$5</f>
        <v>742.49131647185914</v>
      </c>
      <c r="I72" s="42">
        <f>949.73573878064*Deflactores!$Y$5</f>
        <v>1056.0765024396128</v>
      </c>
      <c r="J72" s="42">
        <f>687.39561462353*Deflactores!$Z$5</f>
        <v>727.26456027169479</v>
      </c>
      <c r="K72" s="42">
        <f>261.01154293661*Deflactores!$AA$5</f>
        <v>261.01154293661</v>
      </c>
    </row>
    <row r="73" spans="3:11" x14ac:dyDescent="0.2">
      <c r="C73" s="88" t="s">
        <v>138</v>
      </c>
      <c r="D73" s="50">
        <f>7.24011327854*Deflactores!$T$5</f>
        <v>11.236120734743611</v>
      </c>
      <c r="E73" s="50">
        <f>7.09158704076*Deflactores!$U$5</f>
        <v>10.831236089357958</v>
      </c>
      <c r="F73" s="50">
        <f>7.62840792554*Deflactores!$V$5</f>
        <v>11.031189116676067</v>
      </c>
      <c r="G73" s="50">
        <f>7.00219109229*Deflactores!$W$5</f>
        <v>8.9512355080514343</v>
      </c>
      <c r="H73" s="50">
        <f>28.58911039884*Deflactores!$X$5</f>
        <v>33.44328888789147</v>
      </c>
      <c r="I73" s="50">
        <f>39.42857062632*Deflactores!$Y$5</f>
        <v>43.843340060781642</v>
      </c>
      <c r="J73" s="50">
        <f>35.1851783793699*Deflactores!$Z$5</f>
        <v>37.225918725373354</v>
      </c>
      <c r="K73" s="50">
        <f>7.3980481558*Deflactores!$AA$5</f>
        <v>7.3980481557999997</v>
      </c>
    </row>
    <row r="74" spans="3:11" x14ac:dyDescent="0.2">
      <c r="C74" s="87" t="s">
        <v>160</v>
      </c>
      <c r="D74" s="42">
        <f>90.8150400894*Deflactores!$T$5</f>
        <v>140.9382306212824</v>
      </c>
      <c r="E74" s="42">
        <f>204.8316122369*Deflactores!$U$5</f>
        <v>312.8466925597973</v>
      </c>
      <c r="F74" s="42">
        <f>337.176317504449*Deflactores!$V$5</f>
        <v>487.57955268794814</v>
      </c>
      <c r="G74" s="42">
        <f>527.31773120062*Deflactores!$W$5</f>
        <v>674.09545631300841</v>
      </c>
      <c r="H74" s="42">
        <f>459.49130289419*Deflactores!$X$5</f>
        <v>537.50886857911985</v>
      </c>
      <c r="I74" s="42">
        <f>487.09482211411*Deflactores!$Y$5</f>
        <v>541.63424107337664</v>
      </c>
      <c r="J74" s="42">
        <f>461.12502309919*Deflactores!$Z$5</f>
        <v>487.87027443894306</v>
      </c>
      <c r="K74" s="42">
        <f>177.461074089979*Deflactores!$AA$5</f>
        <v>177.46107408997901</v>
      </c>
    </row>
    <row r="75" spans="3:11" x14ac:dyDescent="0.2">
      <c r="C75" s="88" t="s">
        <v>161</v>
      </c>
      <c r="D75" s="50">
        <f>269.58784915244*Deflactores!$T$5</f>
        <v>418.38041825603858</v>
      </c>
      <c r="E75" s="50">
        <f>351.93193547118*Deflactores!$U$5</f>
        <v>537.51830987391031</v>
      </c>
      <c r="F75" s="50">
        <f>399.29915884968*Deflactores!$V$5</f>
        <v>577.41334474961161</v>
      </c>
      <c r="G75" s="50">
        <f>386.70711822953*Deflactores!$W$5</f>
        <v>494.34618996956851</v>
      </c>
      <c r="H75" s="50">
        <f>341.70574375636*Deflactores!$X$5</f>
        <v>399.7243616072588</v>
      </c>
      <c r="I75" s="50">
        <f>572.39793868475*Deflactores!$Y$5</f>
        <v>636.48864458438038</v>
      </c>
      <c r="J75" s="50">
        <f>526.71303305281*Deflactores!$Z$5</f>
        <v>557.26238896987309</v>
      </c>
      <c r="K75" s="50">
        <f>236.96918328574*Deflactores!$AA$5</f>
        <v>236.96918328574</v>
      </c>
    </row>
    <row r="76" spans="3:11" x14ac:dyDescent="0.2">
      <c r="C76" s="87" t="s">
        <v>140</v>
      </c>
      <c r="D76" s="42">
        <f>2947.84209677741*Deflactores!$T$5</f>
        <v>4574.833076787163</v>
      </c>
      <c r="E76" s="42">
        <f>2957.58303695216*Deflactores!$U$5</f>
        <v>4517.2230056526323</v>
      </c>
      <c r="F76" s="42">
        <f>4294.83381059289*Deflactores!$V$5</f>
        <v>6210.6175301304365</v>
      </c>
      <c r="G76" s="42">
        <f>4053.36020428291*Deflactores!$W$5</f>
        <v>5181.6040592565323</v>
      </c>
      <c r="H76" s="42">
        <f>6370.78567600493*Deflactores!$X$5</f>
        <v>7452.4888264490628</v>
      </c>
      <c r="I76" s="42">
        <f>6756.589148683*Deflactores!$Y$5</f>
        <v>7513.1162756113363</v>
      </c>
      <c r="J76" s="42">
        <f>6184.15258352854*Deflactores!$Z$5</f>
        <v>6542.8334333731955</v>
      </c>
      <c r="K76" s="42">
        <f>4744.53549921782*Deflactores!$AA$5</f>
        <v>4744.53549921782</v>
      </c>
    </row>
    <row r="77" spans="3:11" x14ac:dyDescent="0.2">
      <c r="C77" s="88" t="s">
        <v>141</v>
      </c>
      <c r="D77" s="50">
        <f>150.28931646502*Deflactores!$T$5</f>
        <v>233.23791216752659</v>
      </c>
      <c r="E77" s="50">
        <f>203.082940816609*Deflactores!$U$5</f>
        <v>310.17588377087282</v>
      </c>
      <c r="F77" s="50">
        <f>300.75663554628*Deflactores!$V$5</f>
        <v>434.91425172722137</v>
      </c>
      <c r="G77" s="50">
        <f>322.99075886375*Deflactores!$W$5</f>
        <v>412.89452278688793</v>
      </c>
      <c r="H77" s="50">
        <f>520.29727482276*Deflactores!$X$5</f>
        <v>608.63915759289387</v>
      </c>
      <c r="I77" s="50">
        <f>461.550373040819*Deflactores!$Y$5</f>
        <v>513.22961088782267</v>
      </c>
      <c r="J77" s="50">
        <f>364.29935462833*Deflactores!$Z$5</f>
        <v>385.42871719677316</v>
      </c>
      <c r="K77" s="50">
        <f>186.3549122954*Deflactores!$AA$5</f>
        <v>186.3549122954</v>
      </c>
    </row>
    <row r="78" spans="3:11" x14ac:dyDescent="0.2">
      <c r="C78" s="87" t="s">
        <v>142</v>
      </c>
      <c r="D78" s="42">
        <f>269.525839756349*Deflactores!$T$5</f>
        <v>418.28418425604963</v>
      </c>
      <c r="E78" s="42">
        <f>186.89580544895*Deflactores!$U$5</f>
        <v>285.45268940411211</v>
      </c>
      <c r="F78" s="42">
        <f>516.55555375496*Deflactores!$V$5</f>
        <v>746.9739503130894</v>
      </c>
      <c r="G78" s="42">
        <f>1030.49267358223*Deflactores!$W$5</f>
        <v>1317.3280318945754</v>
      </c>
      <c r="H78" s="42">
        <f>1288.00418734759*Deflactores!$X$5</f>
        <v>1506.695924614258</v>
      </c>
      <c r="I78" s="42">
        <f>817.132259292449*Deflactores!$Y$5</f>
        <v>908.62557150064708</v>
      </c>
      <c r="J78" s="42">
        <f>602.660741276309*Deflactores!$Z$5</f>
        <v>637.61506427033487</v>
      </c>
      <c r="K78" s="42">
        <f>432.37243227475*Deflactores!$AA$5</f>
        <v>432.37243227475</v>
      </c>
    </row>
    <row r="79" spans="3:11" x14ac:dyDescent="0.2">
      <c r="C79" s="88" t="s">
        <v>143</v>
      </c>
      <c r="D79" s="50">
        <f>259.46174088117*Deflactores!$T$5</f>
        <v>402.66544657923913</v>
      </c>
      <c r="E79" s="50">
        <f>683.62923952745*Deflactores!$U$5</f>
        <v>1044.1315390125299</v>
      </c>
      <c r="F79" s="50">
        <f>2298.07416872874*Deflactores!$V$5</f>
        <v>3323.1692650469217</v>
      </c>
      <c r="G79" s="50">
        <f>1208.08034877217*Deflactores!$W$5</f>
        <v>1544.3468440065171</v>
      </c>
      <c r="H79" s="50">
        <f>2159.10552439612*Deflactores!$X$5</f>
        <v>2525.7025764170562</v>
      </c>
      <c r="I79" s="50">
        <f>696.05167274012*Deflactores!$Y$5</f>
        <v>773.98773790317466</v>
      </c>
      <c r="J79" s="50">
        <f>480.185708624419*Deflactores!$Z$5</f>
        <v>508.03647972463534</v>
      </c>
      <c r="K79" s="50">
        <f>179.10088688044*Deflactores!$AA$5</f>
        <v>179.10088688043999</v>
      </c>
    </row>
    <row r="80" spans="3:11" x14ac:dyDescent="0.2">
      <c r="C80" s="87" t="s">
        <v>144</v>
      </c>
      <c r="D80" s="42">
        <f>321.45615513963*Deflactores!$T$5</f>
        <v>498.87619587130484</v>
      </c>
      <c r="E80" s="42">
        <f>262.37118981223*Deflactores!$U$5</f>
        <v>400.72896004354175</v>
      </c>
      <c r="F80" s="42">
        <f>410.751881874079*Deflactores!$V$5</f>
        <v>593.97474980505933</v>
      </c>
      <c r="G80" s="42">
        <f>489.71873122904*Deflactores!$W$5</f>
        <v>626.03085779278103</v>
      </c>
      <c r="H80" s="42">
        <f>709.58348720248*Deflactores!$X$5</f>
        <v>830.06449733926843</v>
      </c>
      <c r="I80" s="42">
        <f>993.701711954949*Deflactores!$Y$5</f>
        <v>1104.9652925317821</v>
      </c>
      <c r="J80" s="42">
        <f>1184.2927216499*Deflactores!$Z$5</f>
        <v>1252.9816995055942</v>
      </c>
      <c r="K80" s="42">
        <f>242.07415104619*Deflactores!$AA$5</f>
        <v>242.07415104619</v>
      </c>
    </row>
    <row r="81" spans="1:11" x14ac:dyDescent="0.2">
      <c r="C81" s="88" t="s">
        <v>145</v>
      </c>
      <c r="D81" s="50">
        <f>58.978342967*Deflactores!$T$5</f>
        <v>91.530029547543577</v>
      </c>
      <c r="E81" s="50">
        <f>116.956398882*Deflactores!$U$5</f>
        <v>178.63171687395703</v>
      </c>
      <c r="F81" s="50">
        <f>63.501036954*Deflactores!$V$5</f>
        <v>91.826755278693753</v>
      </c>
      <c r="G81" s="50">
        <f>146.586798132*Deflactores!$W$5</f>
        <v>187.38890943657543</v>
      </c>
      <c r="H81" s="50">
        <f>243.208853273*Deflactores!$X$5</f>
        <v>284.5035688984492</v>
      </c>
      <c r="I81" s="50">
        <f>177.269805231*Deflactores!$Y$5</f>
        <v>197.11849123090204</v>
      </c>
      <c r="J81" s="50">
        <f>171.065803333*Deflactores!$Z$5</f>
        <v>180.98761992631401</v>
      </c>
      <c r="K81" s="50">
        <f>215.681699587*Deflactores!$AA$5</f>
        <v>215.681699587</v>
      </c>
    </row>
    <row r="82" spans="1:11" x14ac:dyDescent="0.2">
      <c r="C82" s="87" t="s">
        <v>146</v>
      </c>
      <c r="D82" s="42">
        <f>39.61131378285*Deflactores!$T$5</f>
        <v>61.473831555252687</v>
      </c>
      <c r="E82" s="42">
        <f>41.32036290865*Deflactores!$U$5</f>
        <v>63.110077249164547</v>
      </c>
      <c r="F82" s="42">
        <f>57.22022487088*Deflactores!$V$5</f>
        <v>82.74428006610917</v>
      </c>
      <c r="G82" s="42">
        <f>59.06011413243*Deflactores!$W$5</f>
        <v>75.499366378886435</v>
      </c>
      <c r="H82" s="42">
        <f>79.4460932495*Deflactores!$X$5</f>
        <v>92.935338333059761</v>
      </c>
      <c r="I82" s="42">
        <f>32.02278792026*Deflactores!$Y$5</f>
        <v>35.608340809216095</v>
      </c>
      <c r="J82" s="42">
        <f>18.8420124656*Deflactores!$Z$5</f>
        <v>19.934849188604801</v>
      </c>
      <c r="K82" s="42">
        <f>3.282664563*Deflactores!$AA$5</f>
        <v>3.282664563</v>
      </c>
    </row>
    <row r="83" spans="1:11" x14ac:dyDescent="0.2">
      <c r="C83" s="88" t="s">
        <v>162</v>
      </c>
      <c r="D83" s="50">
        <f>522.14614027195*Deflactores!$T$5</f>
        <v>810.33222099794114</v>
      </c>
      <c r="E83" s="50">
        <f>570.31260894383*Deflactores!$U$5</f>
        <v>871.05897124352282</v>
      </c>
      <c r="F83" s="50">
        <f>714.72608173844*Deflactores!$V$5</f>
        <v>1033.5418151775746</v>
      </c>
      <c r="G83" s="50">
        <f>987.13788220809*Deflactores!$W$5</f>
        <v>1261.9055301551309</v>
      </c>
      <c r="H83" s="50">
        <f>1892.2162018296*Deflactores!$X$5</f>
        <v>2213.4978036498724</v>
      </c>
      <c r="I83" s="50">
        <f>1815.58085793159*Deflactores!$Y$5</f>
        <v>2018.8692538857529</v>
      </c>
      <c r="J83" s="50">
        <f>1965.36186308955*Deflactores!$Z$5</f>
        <v>2079.3528511487439</v>
      </c>
      <c r="K83" s="50">
        <f>1506.87201808143*Deflactores!$AA$5</f>
        <v>1506.87201808143</v>
      </c>
    </row>
    <row r="84" spans="1:11" x14ac:dyDescent="0.2">
      <c r="C84" s="87" t="s">
        <v>148</v>
      </c>
      <c r="D84" s="42">
        <f>131.86012306384*Deflactores!$T$5</f>
        <v>204.63716600056114</v>
      </c>
      <c r="E84" s="42">
        <f>169.528733938289*Deflactores!$U$5</f>
        <v>258.92733610427126</v>
      </c>
      <c r="F84" s="42">
        <f>196.59069856996*Deflactores!$V$5</f>
        <v>284.28332565227561</v>
      </c>
      <c r="G84" s="42">
        <f>242.37571934876*Deflactores!$W$5</f>
        <v>309.84046518139144</v>
      </c>
      <c r="H84" s="42">
        <f>233.308292914719*Deflactores!$X$5</f>
        <v>272.92198081841468</v>
      </c>
      <c r="I84" s="42">
        <f>247.65642707201*Deflactores!$Y$5</f>
        <v>275.38621811230803</v>
      </c>
      <c r="J84" s="42">
        <f>262.45457091479*Deflactores!$Z$5</f>
        <v>277.67693602784783</v>
      </c>
      <c r="K84" s="42">
        <f>185.576962064359*Deflactores!$AA$5</f>
        <v>185.57696206435901</v>
      </c>
    </row>
    <row r="85" spans="1:11" x14ac:dyDescent="0.2">
      <c r="C85" s="88" t="s">
        <v>149</v>
      </c>
      <c r="D85" s="50">
        <f>14.31941515729*Deflactores!$T$5</f>
        <v>22.222674061623692</v>
      </c>
      <c r="E85" s="50">
        <f>0*Deflactores!$U$5</f>
        <v>0</v>
      </c>
      <c r="F85" s="50">
        <f>0*Deflactores!$V$5</f>
        <v>0</v>
      </c>
      <c r="G85" s="50">
        <f>0*Deflactores!$W$5</f>
        <v>0</v>
      </c>
      <c r="H85" s="50">
        <f>0*Deflactores!$X$5</f>
        <v>0</v>
      </c>
      <c r="I85" s="50">
        <f>791.205807196*Deflactores!$Y$5</f>
        <v>879.79616587478381</v>
      </c>
      <c r="J85" s="50">
        <f>491.35721619258*Deflactores!$Z$5</f>
        <v>519.8559347317497</v>
      </c>
      <c r="K85" s="50">
        <f>0*Deflactores!$AA$5</f>
        <v>0</v>
      </c>
    </row>
    <row r="86" spans="1:11" x14ac:dyDescent="0.2">
      <c r="C86" s="87" t="s">
        <v>163</v>
      </c>
      <c r="D86" s="42">
        <f>3557.51871904877*Deflactores!$T$5</f>
        <v>5521.0061369928017</v>
      </c>
      <c r="E86" s="42">
        <f>4143.55273728844*Deflactores!$U$5</f>
        <v>6328.5972079765615</v>
      </c>
      <c r="F86" s="42">
        <f>2476.32909317987*Deflactores!$V$5</f>
        <v>3580.9378324587155</v>
      </c>
      <c r="G86" s="42">
        <f>2613.25748991833*Deflactores!$W$5</f>
        <v>3340.6519369622379</v>
      </c>
      <c r="H86" s="42">
        <f>2855.65932673714*Deflactores!$X$5</f>
        <v>3340.5250634642634</v>
      </c>
      <c r="I86" s="42">
        <f>3399.25104821853*Deflactores!$Y$5</f>
        <v>3779.8610827532129</v>
      </c>
      <c r="J86" s="42">
        <f>3479.12664234872*Deflactores!$Z$5</f>
        <v>3680.9159876049457</v>
      </c>
      <c r="K86" s="42">
        <f>2213.81193129733*Deflactores!$AA$5</f>
        <v>2213.8119312973299</v>
      </c>
    </row>
    <row r="87" spans="1:11" x14ac:dyDescent="0.2">
      <c r="C87" s="88" t="s">
        <v>150</v>
      </c>
      <c r="D87" s="50">
        <f>4506.65704674783*Deflactores!$T$5</f>
        <v>6993.9986764340974</v>
      </c>
      <c r="E87" s="50">
        <f>4823.0439250498*Deflactores!$U$5</f>
        <v>7366.4085516123878</v>
      </c>
      <c r="F87" s="50">
        <f>7593.31585938642*Deflactores!$V$5</f>
        <v>10980.443637145665</v>
      </c>
      <c r="G87" s="50">
        <f>8465.74958167558*Deflactores!$W$5</f>
        <v>10822.172268506778</v>
      </c>
      <c r="H87" s="50">
        <f>8717.00961761594*Deflactores!$X$5</f>
        <v>10197.080874971431</v>
      </c>
      <c r="I87" s="50">
        <f>9499.4303046705*Deflactores!$Y$5</f>
        <v>10563.070043258005</v>
      </c>
      <c r="J87" s="50">
        <f>8332.81416570121*Deflactores!$Z$5</f>
        <v>8816.1173873118805</v>
      </c>
      <c r="K87" s="50">
        <f>8314.00885746032*Deflactores!$AA$5</f>
        <v>8314.0088574603196</v>
      </c>
    </row>
    <row r="88" spans="1:11" x14ac:dyDescent="0.2">
      <c r="C88" s="87" t="s">
        <v>151</v>
      </c>
      <c r="D88" s="42">
        <f>1925.21048560088*Deflactores!$T$5</f>
        <v>2987.7843928386751</v>
      </c>
      <c r="E88" s="42">
        <f>1980.99172377834*Deflactores!$U$5</f>
        <v>3025.6399488552142</v>
      </c>
      <c r="F88" s="42">
        <f>3221.0590711635*Deflactores!$V$5</f>
        <v>4657.8672924697157</v>
      </c>
      <c r="G88" s="42">
        <f>3100.58621018887*Deflactores!$W$5</f>
        <v>3963.6275295281225</v>
      </c>
      <c r="H88" s="42">
        <f>4925.39672612925*Deflactores!$X$5</f>
        <v>5761.6855964185197</v>
      </c>
      <c r="I88" s="42">
        <f>5318.6024361443*Deflactores!$Y$5</f>
        <v>5914.1199275511281</v>
      </c>
      <c r="J88" s="42">
        <f>3990.29980425294*Deflactores!$Z$5</f>
        <v>4221.7371928996108</v>
      </c>
      <c r="K88" s="42">
        <f>1772.4583996726*Deflactores!$AA$5</f>
        <v>1772.4583996726001</v>
      </c>
    </row>
    <row r="89" spans="1:11" x14ac:dyDescent="0.2">
      <c r="C89" s="79" t="s">
        <v>202</v>
      </c>
      <c r="D89" s="44">
        <f t="shared" ref="D89:K89" si="1">+SUM(D58:D88)</f>
        <v>50276.563449417707</v>
      </c>
      <c r="E89" s="44">
        <f t="shared" si="1"/>
        <v>52227.931467472103</v>
      </c>
      <c r="F89" s="44">
        <f t="shared" si="1"/>
        <v>68745.523552221857</v>
      </c>
      <c r="G89" s="44">
        <f t="shared" si="1"/>
        <v>72494.448790483832</v>
      </c>
      <c r="H89" s="44">
        <f t="shared" si="1"/>
        <v>76326.306906145488</v>
      </c>
      <c r="I89" s="44">
        <f t="shared" si="1"/>
        <v>83296.225630731657</v>
      </c>
      <c r="J89" s="44">
        <f t="shared" si="1"/>
        <v>66560.502739062387</v>
      </c>
      <c r="K89" s="44">
        <f t="shared" si="1"/>
        <v>41824.86398544407</v>
      </c>
    </row>
    <row r="90" spans="1:11" s="31" customFormat="1" x14ac:dyDescent="0.2">
      <c r="A90" s="5"/>
      <c r="B90" s="5"/>
      <c r="C90" s="72" t="str">
        <f>+'C1 Aprop Resumen 2000-2026'!B20</f>
        <v>* Información con corte a 30 de abril</v>
      </c>
      <c r="D90" s="121">
        <f>+D89-'C6 Ejec. Nac 19-26'!D65</f>
        <v>0</v>
      </c>
      <c r="E90" s="121">
        <f>+E89-'C6 Ejec. Nac 19-26'!E65</f>
        <v>9.4587448984384537E-11</v>
      </c>
      <c r="F90" s="121">
        <f>+F89-'C6 Ejec. Nac 19-26'!F65</f>
        <v>0</v>
      </c>
      <c r="G90" s="121">
        <f>+G89-'C6 Ejec. Nac 19-26'!G65</f>
        <v>0</v>
      </c>
      <c r="H90" s="121">
        <f>+H89-'C6 Ejec. Nac 19-26'!H65</f>
        <v>0</v>
      </c>
      <c r="I90" s="121">
        <f>+I89-'C6 Ejec. Nac 19-26'!I65</f>
        <v>0</v>
      </c>
      <c r="J90" s="121">
        <f>+J89-'C6 Ejec. Nac 19-26'!J65</f>
        <v>0</v>
      </c>
      <c r="K90" s="121">
        <f>+K89-'C6 Ejec. Nac 19-26'!K65</f>
        <v>0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212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76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10</v>
      </c>
    </row>
    <row r="99" spans="3:11" ht="12" customHeight="1" thickBot="1" x14ac:dyDescent="0.25">
      <c r="C99" s="160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95.73686068107385</v>
      </c>
      <c r="E100" s="47">
        <f t="shared" si="2"/>
        <v>95.121236252374658</v>
      </c>
      <c r="F100" s="47">
        <f t="shared" si="2"/>
        <v>93.49527920245518</v>
      </c>
      <c r="G100" s="47">
        <f t="shared" si="2"/>
        <v>88.342622217358553</v>
      </c>
      <c r="H100" s="47">
        <f t="shared" si="2"/>
        <v>92.222187170490983</v>
      </c>
      <c r="I100" s="47">
        <f t="shared" si="2"/>
        <v>97.245008193490449</v>
      </c>
      <c r="J100" s="47">
        <f t="shared" si="2"/>
        <v>95.244777861312556</v>
      </c>
      <c r="K100" s="47">
        <f t="shared" si="2"/>
        <v>44.43439418086799</v>
      </c>
    </row>
    <row r="101" spans="3:11" x14ac:dyDescent="0.2">
      <c r="C101" s="88" t="s">
        <v>124</v>
      </c>
      <c r="D101" s="116">
        <f t="shared" si="2"/>
        <v>94.482573463202499</v>
      </c>
      <c r="E101" s="116">
        <f t="shared" si="2"/>
        <v>94.963219855354893</v>
      </c>
      <c r="F101" s="116">
        <f t="shared" si="2"/>
        <v>74.370532871812486</v>
      </c>
      <c r="G101" s="116">
        <f t="shared" si="2"/>
        <v>82.215102142893883</v>
      </c>
      <c r="H101" s="116">
        <f t="shared" si="2"/>
        <v>82.728906055532931</v>
      </c>
      <c r="I101" s="116">
        <f t="shared" si="2"/>
        <v>99.705538953255456</v>
      </c>
      <c r="J101" s="116">
        <f t="shared" si="2"/>
        <v>97.770004317405551</v>
      </c>
      <c r="K101" s="116">
        <f t="shared" si="2"/>
        <v>44.81898785029977</v>
      </c>
    </row>
    <row r="102" spans="3:11" x14ac:dyDescent="0.2">
      <c r="C102" s="87" t="s">
        <v>125</v>
      </c>
      <c r="D102" s="47">
        <f t="shared" si="2"/>
        <v>99.961103391274889</v>
      </c>
      <c r="E102" s="47">
        <f t="shared" si="2"/>
        <v>99.093095305659787</v>
      </c>
      <c r="F102" s="47">
        <f t="shared" si="2"/>
        <v>99.167724312621502</v>
      </c>
      <c r="G102" s="47">
        <f t="shared" si="2"/>
        <v>99.928007965450846</v>
      </c>
      <c r="H102" s="47">
        <f t="shared" si="2"/>
        <v>98.740813549341723</v>
      </c>
      <c r="I102" s="47">
        <f t="shared" si="2"/>
        <v>98.237727232815601</v>
      </c>
      <c r="J102" s="47">
        <f t="shared" si="2"/>
        <v>97.951336453366082</v>
      </c>
      <c r="K102" s="47">
        <f t="shared" si="2"/>
        <v>61.6198291632547</v>
      </c>
    </row>
    <row r="103" spans="3:11" x14ac:dyDescent="0.2">
      <c r="C103" s="88" t="s">
        <v>126</v>
      </c>
      <c r="D103" s="116">
        <f t="shared" si="2"/>
        <v>98.801158046798648</v>
      </c>
      <c r="E103" s="116">
        <f t="shared" si="2"/>
        <v>98.458340988483968</v>
      </c>
      <c r="F103" s="116">
        <f t="shared" si="2"/>
        <v>98.762572458619147</v>
      </c>
      <c r="G103" s="116">
        <f t="shared" si="2"/>
        <v>97.090119272863816</v>
      </c>
      <c r="H103" s="116">
        <f t="shared" si="2"/>
        <v>98.772652163573838</v>
      </c>
      <c r="I103" s="116">
        <f t="shared" si="2"/>
        <v>98.092958070855317</v>
      </c>
      <c r="J103" s="116">
        <f t="shared" si="2"/>
        <v>98.632071387007514</v>
      </c>
      <c r="K103" s="116">
        <f t="shared" si="2"/>
        <v>89.280265261968822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97.760069742216089</v>
      </c>
      <c r="G104" s="47">
        <f t="shared" si="2"/>
        <v>86.127672148666491</v>
      </c>
      <c r="H104" s="47">
        <f t="shared" si="2"/>
        <v>95.586965198124602</v>
      </c>
      <c r="I104" s="47">
        <f t="shared" si="2"/>
        <v>98.936286198779484</v>
      </c>
      <c r="J104" s="47">
        <f t="shared" si="2"/>
        <v>99.35908023687999</v>
      </c>
      <c r="K104" s="47">
        <f t="shared" si="2"/>
        <v>88.004468170379994</v>
      </c>
    </row>
    <row r="105" spans="3:11" x14ac:dyDescent="0.2">
      <c r="C105" s="88" t="s">
        <v>128</v>
      </c>
      <c r="D105" s="116">
        <f t="shared" si="2"/>
        <v>99.13557543679147</v>
      </c>
      <c r="E105" s="116">
        <f t="shared" si="2"/>
        <v>99.77683282311375</v>
      </c>
      <c r="F105" s="116">
        <f t="shared" si="2"/>
        <v>99.685302193032285</v>
      </c>
      <c r="G105" s="116">
        <f t="shared" si="2"/>
        <v>97.745040248296206</v>
      </c>
      <c r="H105" s="116">
        <f t="shared" si="2"/>
        <v>98.722891924324699</v>
      </c>
      <c r="I105" s="116">
        <f t="shared" si="2"/>
        <v>99.251798972917939</v>
      </c>
      <c r="J105" s="116">
        <f t="shared" si="2"/>
        <v>99.700381296328928</v>
      </c>
      <c r="K105" s="116">
        <f t="shared" si="2"/>
        <v>58.388988343749382</v>
      </c>
    </row>
    <row r="106" spans="3:11" x14ac:dyDescent="0.2">
      <c r="C106" s="87" t="s">
        <v>129</v>
      </c>
      <c r="D106" s="47">
        <f t="shared" si="2"/>
        <v>99.759990629687309</v>
      </c>
      <c r="E106" s="47">
        <f t="shared" si="2"/>
        <v>99.357839219178388</v>
      </c>
      <c r="F106" s="47">
        <f t="shared" si="2"/>
        <v>99.413133528191068</v>
      </c>
      <c r="G106" s="47">
        <f t="shared" si="2"/>
        <v>96.342575074474794</v>
      </c>
      <c r="H106" s="47">
        <f t="shared" si="2"/>
        <v>95.18041898539478</v>
      </c>
      <c r="I106" s="47">
        <f t="shared" si="2"/>
        <v>93.373344772893091</v>
      </c>
      <c r="J106" s="47">
        <f t="shared" si="2"/>
        <v>98.472190399639757</v>
      </c>
      <c r="K106" s="47">
        <f t="shared" si="2"/>
        <v>48.848226432819132</v>
      </c>
    </row>
    <row r="107" spans="3:11" x14ac:dyDescent="0.2">
      <c r="C107" s="88" t="s">
        <v>130</v>
      </c>
      <c r="D107" s="116">
        <f t="shared" si="2"/>
        <v>96.152329087001945</v>
      </c>
      <c r="E107" s="116">
        <f t="shared" si="2"/>
        <v>95.41649255760241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72.91573030280864</v>
      </c>
      <c r="I107" s="116">
        <f t="shared" si="2"/>
        <v>93.523266220800281</v>
      </c>
      <c r="J107" s="116">
        <f t="shared" si="2"/>
        <v>99.063327792382481</v>
      </c>
      <c r="K107" s="116">
        <f t="shared" si="2"/>
        <v>85.231168059400602</v>
      </c>
    </row>
    <row r="108" spans="3:11" x14ac:dyDescent="0.2">
      <c r="C108" s="87" t="s">
        <v>131</v>
      </c>
      <c r="D108" s="47">
        <f t="shared" si="2"/>
        <v>99.949603667530582</v>
      </c>
      <c r="E108" s="47">
        <f t="shared" si="2"/>
        <v>99.925193696997411</v>
      </c>
      <c r="F108" s="47">
        <f t="shared" si="2"/>
        <v>99.930436920049942</v>
      </c>
      <c r="G108" s="47">
        <f t="shared" si="2"/>
        <v>99.917586798057087</v>
      </c>
      <c r="H108" s="47">
        <f t="shared" si="2"/>
        <v>99.76246133309553</v>
      </c>
      <c r="I108" s="47">
        <f t="shared" si="2"/>
        <v>99.699990668540735</v>
      </c>
      <c r="J108" s="47">
        <f t="shared" si="2"/>
        <v>99.68734417264767</v>
      </c>
      <c r="K108" s="47">
        <f t="shared" si="2"/>
        <v>66.927083716923491</v>
      </c>
    </row>
    <row r="109" spans="3:11" x14ac:dyDescent="0.2">
      <c r="C109" s="88" t="s">
        <v>132</v>
      </c>
      <c r="D109" s="116">
        <f t="shared" si="2"/>
        <v>94.883936639752108</v>
      </c>
      <c r="E109" s="116">
        <f t="shared" si="2"/>
        <v>93.153680472356243</v>
      </c>
      <c r="F109" s="116">
        <f t="shared" si="2"/>
        <v>95.185755592424854</v>
      </c>
      <c r="G109" s="116">
        <f t="shared" si="2"/>
        <v>92.538792632670877</v>
      </c>
      <c r="H109" s="116">
        <f t="shared" si="2"/>
        <v>96.945327548281227</v>
      </c>
      <c r="I109" s="116">
        <f t="shared" si="2"/>
        <v>93.724847398181112</v>
      </c>
      <c r="J109" s="116">
        <f t="shared" si="2"/>
        <v>94.26660238961739</v>
      </c>
      <c r="K109" s="116">
        <f t="shared" si="2"/>
        <v>36.635797062408869</v>
      </c>
    </row>
    <row r="110" spans="3:11" x14ac:dyDescent="0.2">
      <c r="C110" s="87" t="s">
        <v>133</v>
      </c>
      <c r="D110" s="47">
        <f t="shared" ref="D110:K119" si="3">+IFERROR(IF(D68&gt;0,+((D68/D25)*100)," "),"")</f>
        <v>99.037223102070755</v>
      </c>
      <c r="E110" s="47">
        <f t="shared" si="3"/>
        <v>98.395650216819249</v>
      </c>
      <c r="F110" s="47">
        <f t="shared" si="3"/>
        <v>97.387200422863827</v>
      </c>
      <c r="G110" s="47">
        <f t="shared" si="3"/>
        <v>98.461846929503423</v>
      </c>
      <c r="H110" s="47">
        <f t="shared" si="3"/>
        <v>95.363987173430615</v>
      </c>
      <c r="I110" s="47">
        <f t="shared" si="3"/>
        <v>99.730042787332025</v>
      </c>
      <c r="J110" s="47">
        <f t="shared" si="3"/>
        <v>99.46596849012198</v>
      </c>
      <c r="K110" s="47">
        <f t="shared" si="3"/>
        <v>43.129772326925462</v>
      </c>
    </row>
    <row r="111" spans="3:11" x14ac:dyDescent="0.2">
      <c r="C111" s="88" t="s">
        <v>134</v>
      </c>
      <c r="D111" s="116">
        <f t="shared" si="3"/>
        <v>65.361076679625512</v>
      </c>
      <c r="E111" s="116">
        <f t="shared" si="3"/>
        <v>52.417146721396826</v>
      </c>
      <c r="F111" s="116">
        <f t="shared" si="3"/>
        <v>73.492023477512063</v>
      </c>
      <c r="G111" s="116">
        <f t="shared" si="3"/>
        <v>78.052782376541785</v>
      </c>
      <c r="H111" s="116">
        <f t="shared" si="3"/>
        <v>34.535372228981721</v>
      </c>
      <c r="I111" s="116">
        <f t="shared" si="3"/>
        <v>91.447029214453991</v>
      </c>
      <c r="J111" s="116">
        <f t="shared" si="3"/>
        <v>89.953280755402858</v>
      </c>
      <c r="K111" s="116">
        <f t="shared" si="3"/>
        <v>80.15914728563844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99.635054452814458</v>
      </c>
      <c r="J112" s="47">
        <f t="shared" si="3"/>
        <v>99.893708394739917</v>
      </c>
      <c r="K112" s="47">
        <f t="shared" si="3"/>
        <v>62.497313607858274</v>
      </c>
    </row>
    <row r="113" spans="3:11" x14ac:dyDescent="0.2">
      <c r="C113" s="88" t="s">
        <v>136</v>
      </c>
      <c r="D113" s="116">
        <f t="shared" si="3"/>
        <v>99.368716235369121</v>
      </c>
      <c r="E113" s="116">
        <f t="shared" si="3"/>
        <v>99.325065924113048</v>
      </c>
      <c r="F113" s="116">
        <f t="shared" si="3"/>
        <v>97.737310487346477</v>
      </c>
      <c r="G113" s="116">
        <f t="shared" si="3"/>
        <v>98.826575588030082</v>
      </c>
      <c r="H113" s="116">
        <f t="shared" si="3"/>
        <v>91.147356503494862</v>
      </c>
      <c r="I113" s="116">
        <f t="shared" si="3"/>
        <v>97.407612083282984</v>
      </c>
      <c r="J113" s="116">
        <f t="shared" si="3"/>
        <v>98.967311280751673</v>
      </c>
      <c r="K113" s="116">
        <f t="shared" si="3"/>
        <v>33.856619554378376</v>
      </c>
    </row>
    <row r="114" spans="3:11" x14ac:dyDescent="0.2">
      <c r="C114" s="87" t="s">
        <v>137</v>
      </c>
      <c r="D114" s="47">
        <f t="shared" si="3"/>
        <v>97.048459350639376</v>
      </c>
      <c r="E114" s="47">
        <f t="shared" si="3"/>
        <v>94.573373024913323</v>
      </c>
      <c r="F114" s="47">
        <f t="shared" si="3"/>
        <v>67.969369702300312</v>
      </c>
      <c r="G114" s="47">
        <f t="shared" si="3"/>
        <v>63.301748247736292</v>
      </c>
      <c r="H114" s="47">
        <f t="shared" si="3"/>
        <v>84.422203036898708</v>
      </c>
      <c r="I114" s="47">
        <f t="shared" si="3"/>
        <v>96.112045105628923</v>
      </c>
      <c r="J114" s="47">
        <f t="shared" si="3"/>
        <v>97.695058391064222</v>
      </c>
      <c r="K114" s="47">
        <f t="shared" si="3"/>
        <v>55.579886264466751</v>
      </c>
    </row>
    <row r="115" spans="3:11" x14ac:dyDescent="0.2">
      <c r="C115" s="88" t="s">
        <v>138</v>
      </c>
      <c r="D115" s="116">
        <f t="shared" si="3"/>
        <v>99.990654521629935</v>
      </c>
      <c r="E115" s="116">
        <f t="shared" si="3"/>
        <v>99.961007492574822</v>
      </c>
      <c r="F115" s="116">
        <f t="shared" si="3"/>
        <v>97.226082049471643</v>
      </c>
      <c r="G115" s="116">
        <f t="shared" si="3"/>
        <v>87.52738865362501</v>
      </c>
      <c r="H115" s="116">
        <f t="shared" si="3"/>
        <v>98.583139306344833</v>
      </c>
      <c r="I115" s="116">
        <f t="shared" si="3"/>
        <v>97.26277777016432</v>
      </c>
      <c r="J115" s="116">
        <f t="shared" si="3"/>
        <v>99.961076980065073</v>
      </c>
      <c r="K115" s="116">
        <f t="shared" si="3"/>
        <v>31.950306060715196</v>
      </c>
    </row>
    <row r="116" spans="3:11" x14ac:dyDescent="0.2">
      <c r="C116" s="87" t="s">
        <v>160</v>
      </c>
      <c r="D116" s="47">
        <f t="shared" si="3"/>
        <v>91.61498693669796</v>
      </c>
      <c r="E116" s="47">
        <f t="shared" si="3"/>
        <v>95.074663714325808</v>
      </c>
      <c r="F116" s="47">
        <f t="shared" si="3"/>
        <v>94.564305032470557</v>
      </c>
      <c r="G116" s="47">
        <f t="shared" si="3"/>
        <v>79.029744768169721</v>
      </c>
      <c r="H116" s="47">
        <f t="shared" si="3"/>
        <v>92.570713268672321</v>
      </c>
      <c r="I116" s="47">
        <f t="shared" si="3"/>
        <v>86.785954388436963</v>
      </c>
      <c r="J116" s="47">
        <f t="shared" si="3"/>
        <v>98.718507893612639</v>
      </c>
      <c r="K116" s="47">
        <f t="shared" si="3"/>
        <v>39.101868254943462</v>
      </c>
    </row>
    <row r="117" spans="3:11" x14ac:dyDescent="0.2">
      <c r="C117" s="88" t="s">
        <v>161</v>
      </c>
      <c r="D117" s="116">
        <f t="shared" si="3"/>
        <v>84.462530642998431</v>
      </c>
      <c r="E117" s="116">
        <f t="shared" si="3"/>
        <v>90.41887362078063</v>
      </c>
      <c r="F117" s="116">
        <f t="shared" si="3"/>
        <v>89.318357341031131</v>
      </c>
      <c r="G117" s="116">
        <f t="shared" si="3"/>
        <v>74.838112495970449</v>
      </c>
      <c r="H117" s="116">
        <f t="shared" si="3"/>
        <v>88.23080479727065</v>
      </c>
      <c r="I117" s="116">
        <f t="shared" si="3"/>
        <v>97.162913344731436</v>
      </c>
      <c r="J117" s="116">
        <f t="shared" si="3"/>
        <v>99.775677713963574</v>
      </c>
      <c r="K117" s="116">
        <f t="shared" si="3"/>
        <v>45.419071646499503</v>
      </c>
    </row>
    <row r="118" spans="3:11" x14ac:dyDescent="0.2">
      <c r="C118" s="87" t="s">
        <v>140</v>
      </c>
      <c r="D118" s="47">
        <f t="shared" si="3"/>
        <v>97.748334348962928</v>
      </c>
      <c r="E118" s="47">
        <f t="shared" si="3"/>
        <v>99.00166920223073</v>
      </c>
      <c r="F118" s="47">
        <f t="shared" si="3"/>
        <v>97.818077138156582</v>
      </c>
      <c r="G118" s="47">
        <f t="shared" si="3"/>
        <v>94.479010905084664</v>
      </c>
      <c r="H118" s="47">
        <f t="shared" si="3"/>
        <v>94.463126700221537</v>
      </c>
      <c r="I118" s="47">
        <f t="shared" si="3"/>
        <v>97.107035685997232</v>
      </c>
      <c r="J118" s="47">
        <f t="shared" si="3"/>
        <v>94.365971636227798</v>
      </c>
      <c r="K118" s="47">
        <f t="shared" si="3"/>
        <v>49.269601850902909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90.97495324328645</v>
      </c>
      <c r="F119" s="116">
        <f t="shared" si="3"/>
        <v>84.973516531592296</v>
      </c>
      <c r="G119" s="116">
        <f t="shared" si="3"/>
        <v>72.684884997754253</v>
      </c>
      <c r="H119" s="116">
        <f t="shared" si="3"/>
        <v>89.456737086477816</v>
      </c>
      <c r="I119" s="116">
        <f t="shared" si="3"/>
        <v>89.592219740791265</v>
      </c>
      <c r="J119" s="116">
        <f t="shared" si="3"/>
        <v>95.163440763641134</v>
      </c>
      <c r="K119" s="116">
        <f t="shared" si="3"/>
        <v>20.962609331669249</v>
      </c>
    </row>
    <row r="120" spans="3:11" x14ac:dyDescent="0.2">
      <c r="C120" s="87" t="s">
        <v>142</v>
      </c>
      <c r="D120" s="47">
        <f t="shared" ref="D120:K129" si="4">+IFERROR(IF(D78&gt;0,+((D78/D35)*100)," "),"")</f>
        <v>96.496021755016685</v>
      </c>
      <c r="E120" s="47">
        <f t="shared" si="4"/>
        <v>97.468665117962033</v>
      </c>
      <c r="F120" s="47">
        <f t="shared" si="4"/>
        <v>91.975840707044085</v>
      </c>
      <c r="G120" s="47">
        <f t="shared" si="4"/>
        <v>92.998184849755916</v>
      </c>
      <c r="H120" s="47">
        <f t="shared" si="4"/>
        <v>93.484678350854409</v>
      </c>
      <c r="I120" s="47">
        <f t="shared" si="4"/>
        <v>86.065809899752281</v>
      </c>
      <c r="J120" s="47">
        <f t="shared" si="4"/>
        <v>99.239948759252414</v>
      </c>
      <c r="K120" s="47">
        <f t="shared" si="4"/>
        <v>43.50052859966933</v>
      </c>
    </row>
    <row r="121" spans="3:11" x14ac:dyDescent="0.2">
      <c r="C121" s="88" t="s">
        <v>143</v>
      </c>
      <c r="D121" s="116">
        <f t="shared" si="4"/>
        <v>98.970185730702923</v>
      </c>
      <c r="E121" s="116">
        <f t="shared" si="4"/>
        <v>98.832729373160063</v>
      </c>
      <c r="F121" s="116">
        <f t="shared" si="4"/>
        <v>97.684304584347487</v>
      </c>
      <c r="G121" s="116">
        <f t="shared" si="4"/>
        <v>97.75284140742535</v>
      </c>
      <c r="H121" s="116">
        <f t="shared" si="4"/>
        <v>96.6991561971397</v>
      </c>
      <c r="I121" s="116">
        <f t="shared" si="4"/>
        <v>90.632731033240887</v>
      </c>
      <c r="J121" s="116">
        <f t="shared" si="4"/>
        <v>99.331700929980187</v>
      </c>
      <c r="K121" s="116">
        <f t="shared" si="4"/>
        <v>66.120269247448974</v>
      </c>
    </row>
    <row r="122" spans="3:11" x14ac:dyDescent="0.2">
      <c r="C122" s="87" t="s">
        <v>144</v>
      </c>
      <c r="D122" s="47">
        <f t="shared" si="4"/>
        <v>93.837051289448851</v>
      </c>
      <c r="E122" s="47">
        <f t="shared" si="4"/>
        <v>94.941729602483989</v>
      </c>
      <c r="F122" s="47">
        <f t="shared" si="4"/>
        <v>85.526863562744097</v>
      </c>
      <c r="G122" s="47">
        <f t="shared" si="4"/>
        <v>84.314765597743204</v>
      </c>
      <c r="H122" s="47">
        <f t="shared" si="4"/>
        <v>97.616435821096644</v>
      </c>
      <c r="I122" s="47">
        <f t="shared" si="4"/>
        <v>87.393747898805429</v>
      </c>
      <c r="J122" s="47">
        <f t="shared" si="4"/>
        <v>94.787758087106127</v>
      </c>
      <c r="K122" s="47">
        <f t="shared" si="4"/>
        <v>16.699253923771344</v>
      </c>
    </row>
    <row r="123" spans="3:11" x14ac:dyDescent="0.2">
      <c r="C123" s="88" t="s">
        <v>145</v>
      </c>
      <c r="D123" s="116">
        <f t="shared" si="4"/>
        <v>99.999988075285273</v>
      </c>
      <c r="E123" s="116">
        <f t="shared" si="4"/>
        <v>99.310990437216589</v>
      </c>
      <c r="F123" s="116">
        <f t="shared" si="4"/>
        <v>96.811812821441279</v>
      </c>
      <c r="G123" s="116">
        <f t="shared" si="4"/>
        <v>96.009247097242692</v>
      </c>
      <c r="H123" s="116">
        <f t="shared" si="4"/>
        <v>99.769693971737141</v>
      </c>
      <c r="I123" s="116">
        <f t="shared" si="4"/>
        <v>94.846499752942094</v>
      </c>
      <c r="J123" s="116">
        <f t="shared" si="4"/>
        <v>97.049166152271908</v>
      </c>
      <c r="K123" s="116">
        <f t="shared" si="4"/>
        <v>95.476623198185223</v>
      </c>
    </row>
    <row r="124" spans="3:11" x14ac:dyDescent="0.2">
      <c r="C124" s="87" t="s">
        <v>146</v>
      </c>
      <c r="D124" s="47">
        <f t="shared" si="4"/>
        <v>98.178738599100214</v>
      </c>
      <c r="E124" s="47">
        <f t="shared" si="4"/>
        <v>96.335401222543538</v>
      </c>
      <c r="F124" s="47">
        <f t="shared" si="4"/>
        <v>80.824074859643758</v>
      </c>
      <c r="G124" s="47">
        <f t="shared" si="4"/>
        <v>78.883061545238036</v>
      </c>
      <c r="H124" s="47">
        <f t="shared" si="4"/>
        <v>90.412739054996123</v>
      </c>
      <c r="I124" s="47">
        <f t="shared" si="4"/>
        <v>85.109575728313132</v>
      </c>
      <c r="J124" s="47">
        <f t="shared" si="4"/>
        <v>99.024967513696311</v>
      </c>
      <c r="K124" s="47">
        <f t="shared" si="4"/>
        <v>32.826645630000002</v>
      </c>
    </row>
    <row r="125" spans="3:11" x14ac:dyDescent="0.2">
      <c r="C125" s="88" t="s">
        <v>162</v>
      </c>
      <c r="D125" s="116">
        <f t="shared" si="4"/>
        <v>97.878623255222848</v>
      </c>
      <c r="E125" s="116">
        <f t="shared" si="4"/>
        <v>97.136406902260774</v>
      </c>
      <c r="F125" s="116">
        <f t="shared" si="4"/>
        <v>95.479847648116959</v>
      </c>
      <c r="G125" s="116">
        <f t="shared" si="4"/>
        <v>96.27730754614204</v>
      </c>
      <c r="H125" s="116">
        <f t="shared" si="4"/>
        <v>97.276638152859874</v>
      </c>
      <c r="I125" s="116">
        <f t="shared" si="4"/>
        <v>96.89645365582814</v>
      </c>
      <c r="J125" s="116">
        <f t="shared" si="4"/>
        <v>99.380201321736266</v>
      </c>
      <c r="K125" s="116">
        <f t="shared" si="4"/>
        <v>57.243096296215448</v>
      </c>
    </row>
    <row r="126" spans="3:11" x14ac:dyDescent="0.2">
      <c r="C126" s="87" t="s">
        <v>148</v>
      </c>
      <c r="D126" s="47">
        <f t="shared" si="4"/>
        <v>87.550332641644289</v>
      </c>
      <c r="E126" s="47">
        <f t="shared" si="4"/>
        <v>95.254788948116214</v>
      </c>
      <c r="F126" s="47">
        <f t="shared" si="4"/>
        <v>91.769189188323608</v>
      </c>
      <c r="G126" s="47">
        <f t="shared" si="4"/>
        <v>95.017400742872184</v>
      </c>
      <c r="H126" s="47">
        <f t="shared" si="4"/>
        <v>93.674105407507284</v>
      </c>
      <c r="I126" s="47">
        <f t="shared" si="4"/>
        <v>97.399255593046263</v>
      </c>
      <c r="J126" s="47">
        <f t="shared" si="4"/>
        <v>99.195341595097545</v>
      </c>
      <c r="K126" s="47">
        <f t="shared" si="4"/>
        <v>69.819767160173356</v>
      </c>
    </row>
    <row r="127" spans="3:11" x14ac:dyDescent="0.2">
      <c r="C127" s="88" t="s">
        <v>149</v>
      </c>
      <c r="D127" s="116">
        <f t="shared" si="4"/>
        <v>96.896840961496821</v>
      </c>
      <c r="E127" s="116" t="str">
        <f t="shared" si="4"/>
        <v xml:space="preserve"> </v>
      </c>
      <c r="F127" s="116" t="str">
        <f t="shared" si="4"/>
        <v xml:space="preserve"> </v>
      </c>
      <c r="G127" s="116" t="str">
        <f t="shared" si="4"/>
        <v xml:space="preserve"> </v>
      </c>
      <c r="H127" s="116" t="str">
        <f t="shared" si="4"/>
        <v xml:space="preserve"> </v>
      </c>
      <c r="I127" s="116">
        <f t="shared" si="4"/>
        <v>98.121876719505636</v>
      </c>
      <c r="J127" s="116">
        <f t="shared" si="4"/>
        <v>97.554437108302565</v>
      </c>
      <c r="K127" s="116" t="str">
        <f t="shared" si="4"/>
        <v xml:space="preserve"> </v>
      </c>
    </row>
    <row r="128" spans="3:11" x14ac:dyDescent="0.2">
      <c r="C128" s="87" t="s">
        <v>163</v>
      </c>
      <c r="D128" s="47">
        <f t="shared" si="4"/>
        <v>98.57394444748823</v>
      </c>
      <c r="E128" s="47">
        <f t="shared" si="4"/>
        <v>96.655585125664359</v>
      </c>
      <c r="F128" s="47">
        <f t="shared" si="4"/>
        <v>97.716901627426253</v>
      </c>
      <c r="G128" s="47">
        <f t="shared" si="4"/>
        <v>97.965105071264503</v>
      </c>
      <c r="H128" s="47">
        <f t="shared" si="4"/>
        <v>97.555427963294903</v>
      </c>
      <c r="I128" s="47">
        <f t="shared" si="4"/>
        <v>97.035989678193076</v>
      </c>
      <c r="J128" s="47">
        <f t="shared" si="4"/>
        <v>94.040597134628285</v>
      </c>
      <c r="K128" s="47">
        <f t="shared" si="4"/>
        <v>57.266061726052072</v>
      </c>
    </row>
    <row r="129" spans="1:11" x14ac:dyDescent="0.2">
      <c r="C129" s="88" t="s">
        <v>150</v>
      </c>
      <c r="D129" s="116">
        <f t="shared" si="4"/>
        <v>99.856915679818073</v>
      </c>
      <c r="E129" s="116">
        <f t="shared" si="4"/>
        <v>98.816066770733229</v>
      </c>
      <c r="F129" s="116">
        <f t="shared" si="4"/>
        <v>99.651439249839811</v>
      </c>
      <c r="G129" s="116">
        <f t="shared" si="4"/>
        <v>98.231600849662911</v>
      </c>
      <c r="H129" s="116">
        <f t="shared" si="4"/>
        <v>98.833231774193138</v>
      </c>
      <c r="I129" s="116">
        <f t="shared" si="4"/>
        <v>98.871729417539086</v>
      </c>
      <c r="J129" s="116">
        <f t="shared" si="4"/>
        <v>99.775273154585946</v>
      </c>
      <c r="K129" s="116">
        <f t="shared" si="4"/>
        <v>83.041430895507361</v>
      </c>
    </row>
    <row r="130" spans="1:11" x14ac:dyDescent="0.2">
      <c r="C130" s="87" t="s">
        <v>151</v>
      </c>
      <c r="D130" s="47">
        <f t="shared" ref="D130:K131" si="5">+IFERROR(IF(D88&gt;0,+((D88/D45)*100)," "),"")</f>
        <v>98.384956681552055</v>
      </c>
      <c r="E130" s="47">
        <f t="shared" si="5"/>
        <v>99.249450066239987</v>
      </c>
      <c r="F130" s="47">
        <f t="shared" si="5"/>
        <v>99.6213934923816</v>
      </c>
      <c r="G130" s="47">
        <f t="shared" si="5"/>
        <v>97.954064631499676</v>
      </c>
      <c r="H130" s="47">
        <f t="shared" si="5"/>
        <v>98.342139616009234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68.746542709069871</v>
      </c>
    </row>
    <row r="131" spans="1:11" x14ac:dyDescent="0.2">
      <c r="C131" s="91" t="s">
        <v>202</v>
      </c>
      <c r="D131" s="64">
        <f t="shared" si="5"/>
        <v>96.794107625128206</v>
      </c>
      <c r="E131" s="64">
        <f t="shared" si="5"/>
        <v>95.965422045606928</v>
      </c>
      <c r="F131" s="64">
        <f t="shared" si="5"/>
        <v>96.27797246159335</v>
      </c>
      <c r="G131" s="64">
        <f t="shared" si="5"/>
        <v>95.645640539801832</v>
      </c>
      <c r="H131" s="64">
        <f t="shared" si="5"/>
        <v>90.679362844323009</v>
      </c>
      <c r="I131" s="64">
        <f t="shared" si="5"/>
        <v>97.176004920468714</v>
      </c>
      <c r="J131" s="64">
        <f t="shared" si="5"/>
        <v>97.78636730695321</v>
      </c>
      <c r="K131" s="64">
        <f t="shared" si="5"/>
        <v>56.938423377506162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abril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55" t="s">
        <v>213</v>
      </c>
      <c r="E138" s="178"/>
      <c r="F138" s="178"/>
      <c r="G138" s="178"/>
      <c r="H138" s="178"/>
      <c r="I138" s="178"/>
      <c r="J138" s="178"/>
      <c r="K138" s="178"/>
    </row>
    <row r="139" spans="1:1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6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10</v>
      </c>
    </row>
    <row r="141" spans="1:11" ht="12" customHeight="1" thickBot="1" x14ac:dyDescent="0.25">
      <c r="C141" s="160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834.47645187283*Deflactores!$T$5</f>
        <v>1295.0457821337225</v>
      </c>
      <c r="E142" s="42">
        <f>781.79417366667*Deflactores!$U$5</f>
        <v>1194.0623755441816</v>
      </c>
      <c r="F142" s="42">
        <f>1247.2758255299*Deflactores!$V$5</f>
        <v>1803.6444362149944</v>
      </c>
      <c r="G142" s="42">
        <f>1169.05260529826*Deflactores!$W$5</f>
        <v>1494.4558143875959</v>
      </c>
      <c r="H142" s="42">
        <f>3234.1692085812*Deflactores!$X$5</f>
        <v>3783.3025808068874</v>
      </c>
      <c r="I142" s="42">
        <f>2136.39120335889*Deflactores!$Y$5</f>
        <v>2375.6003462423391</v>
      </c>
      <c r="J142" s="42">
        <f>2142.38178103536*Deflactores!$Z$5</f>
        <v>2266.6399243354108</v>
      </c>
      <c r="K142" s="42">
        <f>322.00263477188*Deflactores!$AA$5</f>
        <v>322.00263477188003</v>
      </c>
    </row>
    <row r="143" spans="1:11" x14ac:dyDescent="0.2">
      <c r="C143" s="88" t="s">
        <v>124</v>
      </c>
      <c r="D143" s="50">
        <f>156.46734359599*Deflactores!$T$5</f>
        <v>242.82575369368831</v>
      </c>
      <c r="E143" s="50">
        <f>149.4839606047*Deflactores!$U$5</f>
        <v>228.31223244892621</v>
      </c>
      <c r="F143" s="50">
        <f>288.10071579274*Deflactores!$V$5</f>
        <v>416.61294356312061</v>
      </c>
      <c r="G143" s="50">
        <f>324.32378069025*Deflactores!$W$5</f>
        <v>414.59858829282831</v>
      </c>
      <c r="H143" s="50">
        <f>383.90208717624*Deflactores!$X$5</f>
        <v>449.08527152423841</v>
      </c>
      <c r="I143" s="50">
        <f>402.80333426209*Deflactores!$Y$5</f>
        <v>447.90473712685531</v>
      </c>
      <c r="J143" s="50">
        <f>507.82884454321*Deflactores!$Z$5</f>
        <v>537.28291752671623</v>
      </c>
      <c r="K143" s="50">
        <f>68.3066186866*Deflactores!$AA$5</f>
        <v>68.306618686600004</v>
      </c>
    </row>
    <row r="144" spans="1:11" x14ac:dyDescent="0.2">
      <c r="C144" s="87" t="s">
        <v>125</v>
      </c>
      <c r="D144" s="42">
        <f>134.63888078372*Deflactores!$T$5</f>
        <v>208.94959262042042</v>
      </c>
      <c r="E144" s="42">
        <f>160.21290041796*Deflactores!$U$5</f>
        <v>244.69892832363087</v>
      </c>
      <c r="F144" s="42">
        <f>336.03032165847*Deflactores!$V$5</f>
        <v>485.92236588995388</v>
      </c>
      <c r="G144" s="42">
        <f>265.99426824601*Deflactores!$W$5</f>
        <v>340.03318496741662</v>
      </c>
      <c r="H144" s="42">
        <f>293.92692347326*Deflactores!$X$5</f>
        <v>343.83311955185036</v>
      </c>
      <c r="I144" s="42">
        <f>302.278074158079*Deflactores!$Y$5</f>
        <v>336.12378505509531</v>
      </c>
      <c r="J144" s="42">
        <f>244.244749685719*Deflactores!$Z$5</f>
        <v>258.41094516749069</v>
      </c>
      <c r="K144" s="42">
        <f>13.943797681*Deflactores!$AA$5</f>
        <v>13.943797680999999</v>
      </c>
    </row>
    <row r="145" spans="3:11" x14ac:dyDescent="0.2">
      <c r="C145" s="88" t="s">
        <v>126</v>
      </c>
      <c r="D145" s="50">
        <f>120.41698659701*Deflactores!$T$5</f>
        <v>186.87826389794412</v>
      </c>
      <c r="E145" s="50">
        <f>84.36305793219*Deflactores!$U$5</f>
        <v>128.85073431825296</v>
      </c>
      <c r="F145" s="50">
        <f>103.44156853317*Deflactores!$V$5</f>
        <v>149.58344075893547</v>
      </c>
      <c r="G145" s="50">
        <f>146.24101075751*Deflactores!$W$5</f>
        <v>186.94687291058301</v>
      </c>
      <c r="H145" s="50">
        <f>172.91735034596*Deflactores!$X$5</f>
        <v>202.27718948482291</v>
      </c>
      <c r="I145" s="50">
        <f>50.6850753991*Deflactores!$Y$5</f>
        <v>56.360222078294107</v>
      </c>
      <c r="J145" s="50">
        <f>156.16812169469*Deflactores!$Z$5</f>
        <v>165.22587275298204</v>
      </c>
      <c r="K145" s="50">
        <f>49.34972719346*Deflactores!$AA$5</f>
        <v>49.349727193459998</v>
      </c>
    </row>
    <row r="146" spans="3:11" x14ac:dyDescent="0.2">
      <c r="C146" s="87" t="s">
        <v>127</v>
      </c>
      <c r="D146" s="42">
        <f>56.1922021154799*Deflactores!$T$5</f>
        <v>87.206144853022039</v>
      </c>
      <c r="E146" s="42">
        <f>66.59964476967*Deflactores!$U$5</f>
        <v>101.720034150545</v>
      </c>
      <c r="F146" s="42">
        <f>102.568897871439*Deflactores!$V$5</f>
        <v>148.32150049563367</v>
      </c>
      <c r="G146" s="42">
        <f>137.29572419259*Deflactores!$W$5</f>
        <v>175.51168559931804</v>
      </c>
      <c r="H146" s="42">
        <f>176.44283537095*Deflactores!$X$5</f>
        <v>206.40127073519508</v>
      </c>
      <c r="I146" s="42">
        <f>148.61662962711*Deflactores!$Y$5</f>
        <v>165.25705415958075</v>
      </c>
      <c r="J146" s="42">
        <f>143.897824087*Deflactores!$Z$5</f>
        <v>152.24389788404602</v>
      </c>
      <c r="K146" s="42">
        <f>48.83580860996*Deflactores!$AA$5</f>
        <v>48.835808609959997</v>
      </c>
    </row>
    <row r="147" spans="3:11" x14ac:dyDescent="0.2">
      <c r="C147" s="88" t="s">
        <v>128</v>
      </c>
      <c r="D147" s="50">
        <f>126.70022664638*Deflactores!$T$5</f>
        <v>196.62938809780394</v>
      </c>
      <c r="E147" s="50">
        <f>123.57267952176*Deflactores!$U$5</f>
        <v>188.73700039241311</v>
      </c>
      <c r="F147" s="50">
        <f>284.91436627516*Deflactores!$V$5</f>
        <v>412.00526861136893</v>
      </c>
      <c r="G147" s="50">
        <f>259.01034480766*Deflactores!$W$5</f>
        <v>331.10530187440798</v>
      </c>
      <c r="H147" s="50">
        <f>323.074267285879*Deflactores!$X$5</f>
        <v>377.92942495768995</v>
      </c>
      <c r="I147" s="50">
        <f>532.19371236318*Deflactores!$Y$5</f>
        <v>591.78279959692441</v>
      </c>
      <c r="J147" s="50">
        <f>390.26053834753*Deflactores!$Z$5</f>
        <v>412.8956495716867</v>
      </c>
      <c r="K147" s="50">
        <f>89.9329227861*Deflactores!$AA$5</f>
        <v>89.932922786099994</v>
      </c>
    </row>
    <row r="148" spans="3:11" x14ac:dyDescent="0.2">
      <c r="C148" s="87" t="s">
        <v>129</v>
      </c>
      <c r="D148" s="42">
        <f>660.31557370762*Deflactores!$T$5</f>
        <v>1024.7609704121182</v>
      </c>
      <c r="E148" s="42">
        <f>991.32334637865*Deflactores!$U$5</f>
        <v>1514.0838212667313</v>
      </c>
      <c r="F148" s="42">
        <f>1441.45804974997*Deflactores!$V$5</f>
        <v>2084.4449465412376</v>
      </c>
      <c r="G148" s="42">
        <f>1313.35707416726*Deflactores!$W$5</f>
        <v>1678.9271132547417</v>
      </c>
      <c r="H148" s="42">
        <f>1317.86255985152*Deflactores!$X$5</f>
        <v>1541.6239851044413</v>
      </c>
      <c r="I148" s="42">
        <f>1064.23002601935*Deflactores!$Y$5</f>
        <v>1183.3905767437079</v>
      </c>
      <c r="J148" s="42">
        <f>868.7810663572*Deflactores!$Z$5</f>
        <v>919.17036820591761</v>
      </c>
      <c r="K148" s="42">
        <f>301.19292355231*Deflactores!$AA$5</f>
        <v>301.19292355230999</v>
      </c>
    </row>
    <row r="149" spans="3:11" x14ac:dyDescent="0.2">
      <c r="C149" s="88" t="s">
        <v>130</v>
      </c>
      <c r="D149" s="50">
        <f>230.304444823769*Deflactores!$T$5</f>
        <v>357.41547793984148</v>
      </c>
      <c r="E149" s="50">
        <f>204.20464554813*Deflactores!$U$5</f>
        <v>311.88910377364834</v>
      </c>
      <c r="F149" s="50">
        <f>635.953247227649*Deflactores!$V$5</f>
        <v>919.63101711499576</v>
      </c>
      <c r="G149" s="50">
        <f>507.46248029199*Deflactores!$W$5</f>
        <v>648.71354019388207</v>
      </c>
      <c r="H149" s="50">
        <f>512.80351295235*Deflactores!$X$5</f>
        <v>599.87302113069211</v>
      </c>
      <c r="I149" s="50">
        <f>321.25338850098*Deflactores!$Y$5</f>
        <v>357.22374242815528</v>
      </c>
      <c r="J149" s="50">
        <f>258.97770164243*Deflactores!$Z$5</f>
        <v>273.99840833769099</v>
      </c>
      <c r="K149" s="50">
        <f>125.234767385*Deflactores!$AA$5</f>
        <v>125.234767385</v>
      </c>
    </row>
    <row r="150" spans="3:11" x14ac:dyDescent="0.2">
      <c r="C150" s="87" t="s">
        <v>131</v>
      </c>
      <c r="D150" s="42">
        <f>3919.81163337762*Deflactores!$T$5</f>
        <v>6083.2579651246915</v>
      </c>
      <c r="E150" s="42">
        <f>3952.40967921846*Deflactores!$U$5</f>
        <v>6036.6575368002295</v>
      </c>
      <c r="F150" s="42">
        <f>4819.40504203246*Deflactores!$V$5</f>
        <v>6969.18268758666</v>
      </c>
      <c r="G150" s="42">
        <f>5457.46020193701*Deflactores!$W$5</f>
        <v>6976.5321882096559</v>
      </c>
      <c r="H150" s="42">
        <f>6746.28314398497*Deflactores!$X$5</f>
        <v>7891.7424486547325</v>
      </c>
      <c r="I150" s="42">
        <f>5734.98439041931*Deflactores!$Y$5</f>
        <v>6377.1236663746167</v>
      </c>
      <c r="J150" s="42">
        <f>6104.79918110966*Deflactores!$Z$5</f>
        <v>6458.8775336140206</v>
      </c>
      <c r="K150" s="42">
        <f>1662.40724208887*Deflactores!$AA$5</f>
        <v>1662.4072420888699</v>
      </c>
    </row>
    <row r="151" spans="3:11" x14ac:dyDescent="0.2">
      <c r="C151" s="88" t="s">
        <v>132</v>
      </c>
      <c r="D151" s="50">
        <f>16.52613024648*Deflactores!$T$5</f>
        <v>25.647332794907953</v>
      </c>
      <c r="E151" s="50">
        <f>18.8014533346699*Deflactores!$U$5</f>
        <v>28.71613627815416</v>
      </c>
      <c r="F151" s="50">
        <f>18.78924422661*Deflactores!$V$5</f>
        <v>27.17050640792479</v>
      </c>
      <c r="G151" s="50">
        <f>16.6349977568099*Deflactores!$W$5</f>
        <v>21.265312619226897</v>
      </c>
      <c r="H151" s="50">
        <f>16.86733196746*Deflactores!$X$5</f>
        <v>19.731255988245785</v>
      </c>
      <c r="I151" s="50">
        <f>16.3133281999*Deflactores!$Y$5</f>
        <v>18.139911856553887</v>
      </c>
      <c r="J151" s="50">
        <f>15.75736759425*Deflactores!$Z$5</f>
        <v>16.671294914716501</v>
      </c>
      <c r="K151" s="50">
        <f>2.37447281*Deflactores!$AA$5</f>
        <v>2.3744728099999999</v>
      </c>
    </row>
    <row r="152" spans="3:11" x14ac:dyDescent="0.2">
      <c r="C152" s="87" t="s">
        <v>133</v>
      </c>
      <c r="D152" s="42">
        <f>71.88238380714*Deflactores!$T$5</f>
        <v>111.55614727081675</v>
      </c>
      <c r="E152" s="42">
        <f>82.60795414807*Deflactores!$U$5</f>
        <v>126.17010114857362</v>
      </c>
      <c r="F152" s="42">
        <f>107.484238707709*Deflactores!$V$5</f>
        <v>155.42941277131033</v>
      </c>
      <c r="G152" s="42">
        <f>140.28945144849*Deflactores!$W$5</f>
        <v>179.3387102207883</v>
      </c>
      <c r="H152" s="42">
        <f>146.45481519125*Deflactores!$X$5</f>
        <v>171.32154953875244</v>
      </c>
      <c r="I152" s="42">
        <f>154.987248532139*Deflactores!$Y$5</f>
        <v>172.34098356949912</v>
      </c>
      <c r="J152" s="42">
        <f>189.306773949779*Deflactores!$Z$5</f>
        <v>200.28656683886618</v>
      </c>
      <c r="K152" s="42">
        <f>8.27244566808*Deflactores!$AA$5</f>
        <v>8.2724456680799996</v>
      </c>
    </row>
    <row r="153" spans="3:11" x14ac:dyDescent="0.2">
      <c r="C153" s="88" t="s">
        <v>134</v>
      </c>
      <c r="D153" s="50">
        <f>507.017768734019*Deflactores!$T$5</f>
        <v>786.85410641869942</v>
      </c>
      <c r="E153" s="50">
        <f>546.384610871539*Deflactores!$U$5</f>
        <v>834.51287870075816</v>
      </c>
      <c r="F153" s="50">
        <f>768.1713783323*Deflactores!$V$5</f>
        <v>1110.8272959591991</v>
      </c>
      <c r="G153" s="50">
        <f>954.4071867976*Deflactores!$W$5</f>
        <v>1220.0643180116649</v>
      </c>
      <c r="H153" s="50">
        <f>1035.40242502363*Deflactores!$X$5</f>
        <v>1211.2046136522542</v>
      </c>
      <c r="I153" s="50">
        <f>947.52846095229*Deflactores!$Y$5</f>
        <v>1053.62207837859</v>
      </c>
      <c r="J153" s="50">
        <f>632.16662656359*Deflactores!$Z$5</f>
        <v>668.83229090427824</v>
      </c>
      <c r="K153" s="50">
        <f>565.160294745379*Deflactores!$AA$5</f>
        <v>565.16029474537902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5937.61276479059*Deflactores!$Y$5</f>
        <v>6602.4400951064517</v>
      </c>
      <c r="J154" s="42">
        <f>6301.09181103767*Deflactores!$Z$5</f>
        <v>6666.5551360778545</v>
      </c>
      <c r="K154" s="42">
        <f>1942.57290431028*Deflactores!$AA$5</f>
        <v>1942.5729043102799</v>
      </c>
    </row>
    <row r="155" spans="3:11" x14ac:dyDescent="0.2">
      <c r="C155" s="88" t="s">
        <v>136</v>
      </c>
      <c r="D155" s="50">
        <f>6967.11612318416*Deflactores!$T$5</f>
        <v>10812.449325221363</v>
      </c>
      <c r="E155" s="50">
        <f>8318.69162104228*Deflactores!$U$5</f>
        <v>12705.437074127298</v>
      </c>
      <c r="F155" s="50">
        <f>10900.5752538404*Deflactores!$V$5</f>
        <v>15762.96237424412</v>
      </c>
      <c r="G155" s="50">
        <f>18665.7935915633*Deflactores!$W$5</f>
        <v>23861.375986543913</v>
      </c>
      <c r="H155" s="50">
        <f>14757.7751253667*Deflactores!$X$5</f>
        <v>17263.515022846004</v>
      </c>
      <c r="I155" s="50">
        <f>8579.61837453714*Deflactores!$Y$5</f>
        <v>9540.2678821804056</v>
      </c>
      <c r="J155" s="50">
        <f>6865.09731278762*Deflactores!$Z$5</f>
        <v>7263.2729569293015</v>
      </c>
      <c r="K155" s="50">
        <f>2673.83159167222*Deflactores!$AA$5</f>
        <v>2673.8315916722199</v>
      </c>
    </row>
    <row r="156" spans="3:11" x14ac:dyDescent="0.2">
      <c r="C156" s="87" t="s">
        <v>137</v>
      </c>
      <c r="D156" s="42">
        <f>157.55439565454*Deflactores!$T$5</f>
        <v>244.51277815102975</v>
      </c>
      <c r="E156" s="42">
        <f>151.56875934962*Deflactores!$U$5</f>
        <v>231.49642059683134</v>
      </c>
      <c r="F156" s="42">
        <f>186.82661174201*Deflactores!$V$5</f>
        <v>270.1638017093897</v>
      </c>
      <c r="G156" s="42">
        <f>202.82105582233*Deflactores!$W$5</f>
        <v>259.27584847781992</v>
      </c>
      <c r="H156" s="42">
        <f>343.25976809227*Deflactores!$X$5</f>
        <v>401.54224555256553</v>
      </c>
      <c r="I156" s="42">
        <f>538.15611193801*Deflactores!$Y$5</f>
        <v>598.41280185125493</v>
      </c>
      <c r="J156" s="42">
        <f>439.29139891426*Deflactores!$Z$5</f>
        <v>464.77030005128711</v>
      </c>
      <c r="K156" s="42">
        <f>75.1690865418499*Deflactores!$AA$5</f>
        <v>75.169086541849893</v>
      </c>
    </row>
    <row r="157" spans="3:11" x14ac:dyDescent="0.2">
      <c r="C157" s="88" t="s">
        <v>138</v>
      </c>
      <c r="D157" s="50">
        <f>4.76299823841*Deflactores!$T$5</f>
        <v>7.391821261246613</v>
      </c>
      <c r="E157" s="50">
        <f>6.86644852094*Deflactores!$U$5</f>
        <v>10.487373926070219</v>
      </c>
      <c r="F157" s="50">
        <f>7.52410469154*Deflactores!$V$5</f>
        <v>10.880359649903225</v>
      </c>
      <c r="G157" s="50">
        <f>6.92170782745*Deflactores!$W$5</f>
        <v>8.8483499043104885</v>
      </c>
      <c r="H157" s="50">
        <f>21.57742476233*Deflactores!$X$5</f>
        <v>25.241080947122605</v>
      </c>
      <c r="I157" s="50">
        <f>16.3466193832*Deflactores!$Y$5</f>
        <v>18.176930613441648</v>
      </c>
      <c r="J157" s="50">
        <f>15.28163051567*Deflactores!$Z$5</f>
        <v>16.16796508557886</v>
      </c>
      <c r="K157" s="50">
        <f>4.35180875905*Deflactores!$AA$5</f>
        <v>4.3518087590499999</v>
      </c>
    </row>
    <row r="158" spans="3:11" x14ac:dyDescent="0.2">
      <c r="C158" s="87" t="s">
        <v>160</v>
      </c>
      <c r="D158" s="42">
        <f>56.3394594717599*Deflactores!$T$5</f>
        <v>87.434677387056496</v>
      </c>
      <c r="E158" s="42">
        <f>181.41575232815*Deflactores!$U$5</f>
        <v>277.0828070643127</v>
      </c>
      <c r="F158" s="42">
        <f>302.92637915498*Deflactores!$V$5</f>
        <v>438.05184640174508</v>
      </c>
      <c r="G158" s="42">
        <f>450.22734428941*Deflactores!$W$5</f>
        <v>575.54713057410459</v>
      </c>
      <c r="H158" s="42">
        <f>242.093810540379*Deflactores!$X$5</f>
        <v>283.1992017562348</v>
      </c>
      <c r="I158" s="42">
        <f>217.12014470533*Deflactores!$Y$5</f>
        <v>241.43082508822783</v>
      </c>
      <c r="J158" s="42">
        <f>245.85399377512*Deflactores!$Z$5</f>
        <v>260.11352541407695</v>
      </c>
      <c r="K158" s="42">
        <f>20.36621616139*Deflactores!$AA$5</f>
        <v>20.36621616139</v>
      </c>
    </row>
    <row r="159" spans="3:11" x14ac:dyDescent="0.2">
      <c r="C159" s="88" t="s">
        <v>161</v>
      </c>
      <c r="D159" s="50">
        <f>44.3906720753999*Deflactores!$T$5</f>
        <v>68.891042411450485</v>
      </c>
      <c r="E159" s="50">
        <f>87.65626220871*Deflactores!$U$5</f>
        <v>133.88056372096008</v>
      </c>
      <c r="F159" s="50">
        <f>68.02648163035*Deflactores!$V$5</f>
        <v>98.370851576262694</v>
      </c>
      <c r="G159" s="50">
        <f>68.88124650187*Deflactores!$W$5</f>
        <v>88.054189238748435</v>
      </c>
      <c r="H159" s="50">
        <f>163.391933405459*Deflactores!$X$5</f>
        <v>191.13444086219647</v>
      </c>
      <c r="I159" s="50">
        <f>179.30102481527*Deflactores!$Y$5</f>
        <v>199.37714401888371</v>
      </c>
      <c r="J159" s="50">
        <f>208.39593235844*Deflactores!$Z$5</f>
        <v>220.48289643522955</v>
      </c>
      <c r="K159" s="50">
        <f>36.472357322*Deflactores!$AA$5</f>
        <v>36.472357322000001</v>
      </c>
    </row>
    <row r="160" spans="3:11" x14ac:dyDescent="0.2">
      <c r="C160" s="87" t="s">
        <v>140</v>
      </c>
      <c r="D160" s="42">
        <f>2494.85071559404*Deflactores!$T$5</f>
        <v>3871.8239310792928</v>
      </c>
      <c r="E160" s="42">
        <f>2618.16401238096*Deflactores!$U$5</f>
        <v>3998.8161148932027</v>
      </c>
      <c r="F160" s="42">
        <f>4062.74877373705*Deflactores!$V$5</f>
        <v>5875.0070124841523</v>
      </c>
      <c r="G160" s="42">
        <f>3596.32142659748*Deflactores!$W$5</f>
        <v>4597.3495478538298</v>
      </c>
      <c r="H160" s="42">
        <f>6026.12100511924*Deflactores!$X$5</f>
        <v>7049.303138014775</v>
      </c>
      <c r="I160" s="42">
        <f>4060.48717096345*Deflactores!$Y$5</f>
        <v>4515.1350155755672</v>
      </c>
      <c r="J160" s="42">
        <f>4373.32231459819*Deflactores!$Z$5</f>
        <v>4626.9750088448855</v>
      </c>
      <c r="K160" s="42">
        <f>2501.84737309517*Deflactores!$AA$5</f>
        <v>2501.84737309517</v>
      </c>
    </row>
    <row r="161" spans="1:11" x14ac:dyDescent="0.2">
      <c r="C161" s="88" t="s">
        <v>141</v>
      </c>
      <c r="D161" s="50">
        <f>88.24914922132*Deflactores!$T$5</f>
        <v>136.95615762369849</v>
      </c>
      <c r="E161" s="50">
        <f>143.06381197834*Deflactores!$U$5</f>
        <v>218.50650841265744</v>
      </c>
      <c r="F161" s="50">
        <f>151.71518984451*Deflactores!$V$5</f>
        <v>219.3903324760561</v>
      </c>
      <c r="G161" s="50">
        <f>176.00208250859*Deflactores!$W$5</f>
        <v>224.9918732118831</v>
      </c>
      <c r="H161" s="50">
        <f>304.634226872609*Deflactores!$X$5</f>
        <v>356.35842851736686</v>
      </c>
      <c r="I161" s="50">
        <f>344.890163782379*Deflactores!$Y$5</f>
        <v>383.50709889126972</v>
      </c>
      <c r="J161" s="50">
        <f>233.286404814959*Deflactores!$Z$5</f>
        <v>246.81701629422665</v>
      </c>
      <c r="K161" s="50">
        <f>69.71409178539*Deflactores!$AA$5</f>
        <v>69.714091785389996</v>
      </c>
    </row>
    <row r="162" spans="1:11" x14ac:dyDescent="0.2">
      <c r="C162" s="87" t="s">
        <v>142</v>
      </c>
      <c r="D162" s="42">
        <f>142.25467665546*Deflactores!$T$5</f>
        <v>220.76874497535272</v>
      </c>
      <c r="E162" s="42">
        <f>116.62328960471*Deflactores!$U$5</f>
        <v>178.12294708728643</v>
      </c>
      <c r="F162" s="42">
        <f>374.63853888416*Deflactores!$V$5</f>
        <v>541.75243552327765</v>
      </c>
      <c r="G162" s="42">
        <f>245.480397460459*Deflactores!$W$5</f>
        <v>313.80932358417198</v>
      </c>
      <c r="H162" s="42">
        <f>362.21444388603*Deflactores!$X$5</f>
        <v>423.7152579164885</v>
      </c>
      <c r="I162" s="42">
        <f>364.35726439095*Deflactores!$Y$5</f>
        <v>405.15390724422792</v>
      </c>
      <c r="J162" s="42">
        <f>243.98160810942*Deflactores!$Z$5</f>
        <v>258.13254137976639</v>
      </c>
      <c r="K162" s="42">
        <f>53.60575816587*Deflactores!$AA$5</f>
        <v>53.60575816587</v>
      </c>
    </row>
    <row r="163" spans="1:11" x14ac:dyDescent="0.2">
      <c r="C163" s="88" t="s">
        <v>143</v>
      </c>
      <c r="D163" s="50">
        <f>84.27210189847*Deflactores!$T$5</f>
        <v>130.78407409846079</v>
      </c>
      <c r="E163" s="50">
        <f>96.9189313193*Deflactores!$U$5</f>
        <v>148.02777158540047</v>
      </c>
      <c r="F163" s="50">
        <f>334.65188289699*Deflactores!$V$5</f>
        <v>483.92905105780744</v>
      </c>
      <c r="G163" s="50">
        <f>218.92093223456*Deflactores!$W$5</f>
        <v>279.85708990881631</v>
      </c>
      <c r="H163" s="50">
        <f>149.027587612269*Deflactores!$X$5</f>
        <v>174.3311559979457</v>
      </c>
      <c r="I163" s="50">
        <f>90.40116320652*Deflactores!$Y$5</f>
        <v>100.52327227170403</v>
      </c>
      <c r="J163" s="50">
        <f>333.5822286163*Deflactores!$Z$5</f>
        <v>352.92999787604538</v>
      </c>
      <c r="K163" s="50">
        <f>25.45688405075*Deflactores!$AA$5</f>
        <v>25.456884050749998</v>
      </c>
    </row>
    <row r="164" spans="1:11" x14ac:dyDescent="0.2">
      <c r="C164" s="87" t="s">
        <v>144</v>
      </c>
      <c r="D164" s="42">
        <f>158.03429547132*Deflactores!$T$5</f>
        <v>245.25754720014174</v>
      </c>
      <c r="E164" s="42">
        <f>132.65661356948*Deflactores!$U$5</f>
        <v>202.61121976326748</v>
      </c>
      <c r="F164" s="42">
        <f>141.43333782396*Deflactores!$V$5</f>
        <v>204.52208536401716</v>
      </c>
      <c r="G164" s="42">
        <f>203.804279047869*Deflactores!$W$5</f>
        <v>260.53274971527344</v>
      </c>
      <c r="H164" s="42">
        <f>317.32623169544*Deflactores!$X$5</f>
        <v>371.20542368212972</v>
      </c>
      <c r="I164" s="42">
        <f>279.35663572606*Deflactores!$Y$5</f>
        <v>310.63586084446121</v>
      </c>
      <c r="J164" s="42">
        <f>478.57676047364*Deflactores!$Z$5</f>
        <v>506.3342125811111</v>
      </c>
      <c r="K164" s="42">
        <f>24.98090330457*Deflactores!$AA$5</f>
        <v>24.980903304569999</v>
      </c>
    </row>
    <row r="165" spans="1:11" x14ac:dyDescent="0.2">
      <c r="C165" s="88" t="s">
        <v>145</v>
      </c>
      <c r="D165" s="50">
        <f>45.763409356*Deflactores!$T$5</f>
        <v>71.021429220124389</v>
      </c>
      <c r="E165" s="50">
        <f>78.70152049808*Deflactores!$U$5</f>
        <v>120.20366445573435</v>
      </c>
      <c r="F165" s="50">
        <f>47.942235419*Deflactores!$V$5</f>
        <v>69.327685507295115</v>
      </c>
      <c r="G165" s="50">
        <f>105.647963472*Deflactores!$W$5</f>
        <v>135.05484062341</v>
      </c>
      <c r="H165" s="50">
        <f>119.955067789*Deflactores!$X$5</f>
        <v>140.32237903411311</v>
      </c>
      <c r="I165" s="50">
        <f>101.8172757298*Deflactores!$Y$5</f>
        <v>113.21763312677894</v>
      </c>
      <c r="J165" s="50">
        <f>148.973050154*Deflactores!$Z$5</f>
        <v>157.61348706293199</v>
      </c>
      <c r="K165" s="50">
        <f>2.82655255*Deflactores!$AA$5</f>
        <v>2.8265525500000002</v>
      </c>
    </row>
    <row r="166" spans="1:11" x14ac:dyDescent="0.2">
      <c r="C166" s="87" t="s">
        <v>146</v>
      </c>
      <c r="D166" s="42">
        <f>35.0384065754799*Deflactores!$T$5</f>
        <v>54.377017525686696</v>
      </c>
      <c r="E166" s="42">
        <f>37.69416342996*Deflactores!$U$5</f>
        <v>57.57165229082279</v>
      </c>
      <c r="F166" s="42">
        <f>53.11331817313*Deflactores!$V$5</f>
        <v>76.805417736035636</v>
      </c>
      <c r="G166" s="42">
        <f>48.625531345*Deflactores!$W$5</f>
        <v>62.160340532906645</v>
      </c>
      <c r="H166" s="42">
        <f>66.19232723216*Deflactores!$X$5</f>
        <v>77.431199883602972</v>
      </c>
      <c r="I166" s="42">
        <f>29.5275617850699*Deflactores!$Y$5</f>
        <v>32.833727217196568</v>
      </c>
      <c r="J166" s="42">
        <f>15.25847688394*Deflactores!$Z$5</f>
        <v>16.14346854320852</v>
      </c>
      <c r="K166" s="42">
        <f>0.041533331*Deflactores!$AA$5</f>
        <v>4.1533331E-2</v>
      </c>
    </row>
    <row r="167" spans="1:11" x14ac:dyDescent="0.2">
      <c r="C167" s="88" t="s">
        <v>162</v>
      </c>
      <c r="D167" s="50">
        <f>497.86081788792*Deflactores!$T$5</f>
        <v>772.64319544112573</v>
      </c>
      <c r="E167" s="50">
        <f>544.64550918427*Deflactores!$U$5</f>
        <v>831.85668610946016</v>
      </c>
      <c r="F167" s="50">
        <f>683.87962904999*Deflactores!$V$5</f>
        <v>988.93577725901298</v>
      </c>
      <c r="G167" s="50">
        <f>935.07053764484*Deflactores!$W$5</f>
        <v>1195.3453553010497</v>
      </c>
      <c r="H167" s="50">
        <f>1264.4852795049*Deflactores!$X$5</f>
        <v>1479.1837139040331</v>
      </c>
      <c r="I167" s="50">
        <f>798.77863563213*Deflactores!$Y$5</f>
        <v>888.21691476507124</v>
      </c>
      <c r="J167" s="50">
        <f>792.00914913567*Deflactores!$Z$5</f>
        <v>837.94567978553891</v>
      </c>
      <c r="K167" s="50">
        <f>88.2343504662399*Deflactores!$AA$5</f>
        <v>88.234350466239903</v>
      </c>
    </row>
    <row r="168" spans="1:11" x14ac:dyDescent="0.2">
      <c r="C168" s="87" t="s">
        <v>148</v>
      </c>
      <c r="D168" s="42">
        <f>93.17708820442*Deflactores!$T$5</f>
        <v>144.60395473091819</v>
      </c>
      <c r="E168" s="42">
        <f>141.71222660206*Deflactores!$U$5</f>
        <v>216.44218342852196</v>
      </c>
      <c r="F168" s="42">
        <f>181.1178384926*Deflactores!$V$5</f>
        <v>261.90853298842586</v>
      </c>
      <c r="G168" s="42">
        <f>221.057681067709*Deflactores!$W$5</f>
        <v>282.58859805747721</v>
      </c>
      <c r="H168" s="42">
        <f>213.284224419449*Deflactores!$X$5</f>
        <v>249.49800231555741</v>
      </c>
      <c r="I168" s="42">
        <f>194.44227124132*Deflactores!$Y$5</f>
        <v>216.21373752091301</v>
      </c>
      <c r="J168" s="42">
        <f>207.06352164687*Deflactores!$Z$5</f>
        <v>219.07320590238845</v>
      </c>
      <c r="K168" s="42">
        <f>54.48007448422*Deflactores!$AA$5</f>
        <v>54.480074484219998</v>
      </c>
    </row>
    <row r="169" spans="1:11" x14ac:dyDescent="0.2">
      <c r="C169" s="88" t="s">
        <v>149</v>
      </c>
      <c r="D169" s="50">
        <f>14.31941515729*Deflactores!$T$5</f>
        <v>22.222674061623692</v>
      </c>
      <c r="E169" s="50">
        <f>0*Deflactores!$U$5</f>
        <v>0</v>
      </c>
      <c r="F169" s="50">
        <f>0*Deflactores!$V$5</f>
        <v>0</v>
      </c>
      <c r="G169" s="50">
        <f>0*Deflactores!$W$5</f>
        <v>0</v>
      </c>
      <c r="H169" s="50">
        <f>0*Deflactores!$X$5</f>
        <v>0</v>
      </c>
      <c r="I169" s="50">
        <f>171.953374622*Deflactores!$Y$5</f>
        <v>191.20678630735762</v>
      </c>
      <c r="J169" s="50">
        <f>343.83644773*Deflactores!$Z$5</f>
        <v>363.77896169833997</v>
      </c>
      <c r="K169" s="50">
        <f>0*Deflactores!$AA$5</f>
        <v>0</v>
      </c>
    </row>
    <row r="170" spans="1:11" x14ac:dyDescent="0.2">
      <c r="C170" s="87" t="s">
        <v>163</v>
      </c>
      <c r="D170" s="42">
        <f>3364.06050602578*Deflactores!$T$5</f>
        <v>5220.7732877227409</v>
      </c>
      <c r="E170" s="42">
        <f>3690.98629757269*Deflactores!$U$5</f>
        <v>5637.3761982777023</v>
      </c>
      <c r="F170" s="42">
        <f>2216.10884265511*Deflactores!$V$5</f>
        <v>3204.6419102235068</v>
      </c>
      <c r="G170" s="42">
        <f>2484.73571377666*Deflactores!$W$5</f>
        <v>3176.3564084634691</v>
      </c>
      <c r="H170" s="42">
        <f>2546.12836505365*Deflactores!$X$5</f>
        <v>2978.4384778058361</v>
      </c>
      <c r="I170" s="42">
        <f>2783.61741845716*Deflactores!$Y$5</f>
        <v>3095.2956989788563</v>
      </c>
      <c r="J170" s="42">
        <f>2822.43133382321*Deflactores!$Z$5</f>
        <v>2986.1323511849564</v>
      </c>
      <c r="K170" s="42">
        <f>645.220346977029*Deflactores!$AA$5</f>
        <v>645.22034697702895</v>
      </c>
    </row>
    <row r="171" spans="1:11" x14ac:dyDescent="0.2">
      <c r="C171" s="88" t="s">
        <v>150</v>
      </c>
      <c r="D171" s="50">
        <f>3544.67584754617*Deflactores!$T$5</f>
        <v>5501.0749495607306</v>
      </c>
      <c r="E171" s="50">
        <f>4105.6821877732*Deflactores!$U$5</f>
        <v>6270.7561548701578</v>
      </c>
      <c r="F171" s="50">
        <f>6491.21648850344*Deflactores!$V$5</f>
        <v>9386.7340840845955</v>
      </c>
      <c r="G171" s="50">
        <f>6874.7917038523*Deflactores!$W$5</f>
        <v>8788.3747813935679</v>
      </c>
      <c r="H171" s="50">
        <f>7720.48190230344*Deflactores!$X$5</f>
        <v>9031.3515534554081</v>
      </c>
      <c r="I171" s="50">
        <f>3304.95877460782*Deflactores!$Y$5</f>
        <v>3675.0110171447236</v>
      </c>
      <c r="J171" s="50">
        <f>2423.43990034121*Deflactores!$Z$5</f>
        <v>2563.9994145610003</v>
      </c>
      <c r="K171" s="50">
        <f>1073.61587183096*Deflactores!$AA$5</f>
        <v>1073.61587183096</v>
      </c>
    </row>
    <row r="172" spans="1:11" x14ac:dyDescent="0.2">
      <c r="C172" s="87" t="s">
        <v>151</v>
      </c>
      <c r="D172" s="42">
        <f>685.84522775402*Deflactores!$T$5</f>
        <v>1064.3811067478071</v>
      </c>
      <c r="E172" s="42">
        <f>985.833941105099*Deflactores!$U$5</f>
        <v>1505.6996550474835</v>
      </c>
      <c r="F172" s="42">
        <f>1911.53779086795*Deflactores!$V$5</f>
        <v>2764.2117569695733</v>
      </c>
      <c r="G172" s="42">
        <f>2030.07812997202*Deflactores!$W$5</f>
        <v>2595.1458909958587</v>
      </c>
      <c r="H172" s="42">
        <f>2057.80987600099*Deflactores!$X$5</f>
        <v>2407.2078214175417</v>
      </c>
      <c r="I172" s="42">
        <f>1613.20015703395*Deflactores!$Y$5</f>
        <v>1793.8282303272808</v>
      </c>
      <c r="J172" s="42">
        <f>1474.83024841859*Deflactores!$Z$5</f>
        <v>1560.3704028268683</v>
      </c>
      <c r="K172" s="42">
        <f>190.89289576289*Deflactores!$AA$5</f>
        <v>190.89289576288999</v>
      </c>
    </row>
    <row r="173" spans="1:11" x14ac:dyDescent="0.2">
      <c r="C173" s="79" t="s">
        <v>202</v>
      </c>
      <c r="D173" s="44">
        <f t="shared" ref="D173:K173" si="6">+SUM(D142:D172)</f>
        <v>39284.394639677535</v>
      </c>
      <c r="E173" s="44">
        <f t="shared" si="6"/>
        <v>43682.785878803203</v>
      </c>
      <c r="F173" s="44">
        <f t="shared" si="6"/>
        <v>55340.371137170521</v>
      </c>
      <c r="G173" s="44">
        <f t="shared" si="6"/>
        <v>60372.160934922722</v>
      </c>
      <c r="H173" s="44">
        <f t="shared" si="6"/>
        <v>59701.304275038732</v>
      </c>
      <c r="I173" s="44">
        <f t="shared" si="6"/>
        <v>46055.754482684293</v>
      </c>
      <c r="J173" s="44">
        <f t="shared" si="6"/>
        <v>41918.14419858843</v>
      </c>
      <c r="K173" s="44">
        <f t="shared" si="6"/>
        <v>12740.694256549517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abril</v>
      </c>
      <c r="D174" s="121">
        <f>+D173-'C6 Ejec. Nac 19-26'!D97</f>
        <v>0</v>
      </c>
      <c r="E174" s="121">
        <f>+E173-'C6 Ejec. Nac 19-26'!E97</f>
        <v>0</v>
      </c>
      <c r="F174" s="121">
        <f>+F173-'C6 Ejec. Nac 19-26'!F97</f>
        <v>-6.5483618527650833E-11</v>
      </c>
      <c r="G174" s="121">
        <f>+G173-'C6 Ejec. Nac 19-26'!G97</f>
        <v>0</v>
      </c>
      <c r="H174" s="121">
        <f>+H173-'C6 Ejec. Nac 19-26'!H97</f>
        <v>0</v>
      </c>
      <c r="I174" s="121">
        <f>+I173-'C6 Ejec. Nac 19-26'!I97</f>
        <v>0</v>
      </c>
      <c r="J174" s="121">
        <f>+J173-'C6 Ejec. Nac 19-26'!J97</f>
        <v>0</v>
      </c>
      <c r="K174" s="121">
        <f>+K173-'C6 Ejec. Nac 19-26'!K97</f>
        <v>1.8189894035458565E-11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1" t="s">
        <v>214</v>
      </c>
      <c r="E179" s="131"/>
      <c r="F179" s="131"/>
      <c r="G179" s="131"/>
      <c r="H179" s="131"/>
      <c r="I179" s="131"/>
      <c r="J179" s="131"/>
      <c r="K179" s="131"/>
    </row>
    <row r="180" spans="3:11" ht="11.25" hidden="1" customHeight="1" x14ac:dyDescent="0.2">
      <c r="D180" s="28"/>
      <c r="E180" s="28"/>
      <c r="F180" s="28"/>
    </row>
    <row r="181" spans="3:11" x14ac:dyDescent="0.2">
      <c r="D181" s="29"/>
      <c r="E181" s="29"/>
      <c r="F181" s="29"/>
    </row>
    <row r="182" spans="3:11" ht="12" thickBot="1" x14ac:dyDescent="0.25">
      <c r="C182" s="176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10</v>
      </c>
    </row>
    <row r="183" spans="3:11" ht="12" customHeight="1" thickBot="1" x14ac:dyDescent="0.25">
      <c r="C183" s="160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56.895829759345574</v>
      </c>
      <c r="E184" s="47">
        <f t="shared" si="7"/>
        <v>75.0854296995618</v>
      </c>
      <c r="F184" s="47">
        <f t="shared" si="7"/>
        <v>74.216695196408011</v>
      </c>
      <c r="G184" s="47">
        <f t="shared" si="7"/>
        <v>66.461703982444419</v>
      </c>
      <c r="H184" s="47">
        <f t="shared" si="7"/>
        <v>73.903427311035514</v>
      </c>
      <c r="I184" s="47">
        <f t="shared" si="7"/>
        <v>31.837975970523726</v>
      </c>
      <c r="J184" s="47">
        <f t="shared" si="7"/>
        <v>52.304524965645513</v>
      </c>
      <c r="K184" s="47">
        <f t="shared" si="7"/>
        <v>10.253120707075649</v>
      </c>
    </row>
    <row r="185" spans="3:11" x14ac:dyDescent="0.2">
      <c r="C185" s="88" t="s">
        <v>124</v>
      </c>
      <c r="D185" s="116">
        <f t="shared" si="7"/>
        <v>76.726687990049243</v>
      </c>
      <c r="E185" s="116">
        <f t="shared" si="7"/>
        <v>57.748591356006465</v>
      </c>
      <c r="F185" s="116">
        <f t="shared" si="7"/>
        <v>47.273529066921704</v>
      </c>
      <c r="G185" s="116">
        <f t="shared" si="7"/>
        <v>43.042913282691288</v>
      </c>
      <c r="H185" s="116">
        <f t="shared" si="7"/>
        <v>28.995270681227975</v>
      </c>
      <c r="I185" s="116">
        <f t="shared" si="7"/>
        <v>32.143522932122352</v>
      </c>
      <c r="J185" s="116">
        <f t="shared" si="7"/>
        <v>62.866945460619263</v>
      </c>
      <c r="K185" s="116">
        <f t="shared" si="7"/>
        <v>7.4221389528203741</v>
      </c>
    </row>
    <row r="186" spans="3:11" x14ac:dyDescent="0.2">
      <c r="C186" s="87" t="s">
        <v>125</v>
      </c>
      <c r="D186" s="47">
        <f t="shared" si="7"/>
        <v>41.111096670724471</v>
      </c>
      <c r="E186" s="47">
        <f t="shared" si="7"/>
        <v>65.160817123109382</v>
      </c>
      <c r="F186" s="47">
        <f t="shared" si="7"/>
        <v>86.94970575387724</v>
      </c>
      <c r="G186" s="47">
        <f t="shared" si="7"/>
        <v>87.815453817001895</v>
      </c>
      <c r="H186" s="47">
        <f t="shared" si="7"/>
        <v>64.230697522473037</v>
      </c>
      <c r="I186" s="47">
        <f t="shared" si="7"/>
        <v>86.898577806600315</v>
      </c>
      <c r="J186" s="47">
        <f t="shared" si="7"/>
        <v>95.998861184967183</v>
      </c>
      <c r="K186" s="47">
        <f t="shared" si="7"/>
        <v>4.0003195525722051</v>
      </c>
    </row>
    <row r="187" spans="3:11" x14ac:dyDescent="0.2">
      <c r="C187" s="88" t="s">
        <v>126</v>
      </c>
      <c r="D187" s="116">
        <f t="shared" si="7"/>
        <v>60.316242747538851</v>
      </c>
      <c r="E187" s="116">
        <f t="shared" si="7"/>
        <v>39.464989139006818</v>
      </c>
      <c r="F187" s="116">
        <f t="shared" si="7"/>
        <v>32.026919355644274</v>
      </c>
      <c r="G187" s="116">
        <f t="shared" si="7"/>
        <v>46.707379928792271</v>
      </c>
      <c r="H187" s="116">
        <f t="shared" si="7"/>
        <v>37.127706393282324</v>
      </c>
      <c r="I187" s="116">
        <f t="shared" si="7"/>
        <v>26.932818771953571</v>
      </c>
      <c r="J187" s="116">
        <f t="shared" si="7"/>
        <v>68.543970314246707</v>
      </c>
      <c r="K187" s="116">
        <f t="shared" si="7"/>
        <v>23.636390599669639</v>
      </c>
    </row>
    <row r="188" spans="3:11" x14ac:dyDescent="0.2">
      <c r="C188" s="87" t="s">
        <v>127</v>
      </c>
      <c r="D188" s="47">
        <f t="shared" si="7"/>
        <v>62.435780128311002</v>
      </c>
      <c r="E188" s="47">
        <f t="shared" si="7"/>
        <v>80.104329979314855</v>
      </c>
      <c r="F188" s="47">
        <f t="shared" si="7"/>
        <v>88.640414545997615</v>
      </c>
      <c r="G188" s="47">
        <f t="shared" si="7"/>
        <v>65.681221621759306</v>
      </c>
      <c r="H188" s="47">
        <f t="shared" si="7"/>
        <v>63.80910053912725</v>
      </c>
      <c r="I188" s="47">
        <f t="shared" si="7"/>
        <v>56.508224192817494</v>
      </c>
      <c r="J188" s="47">
        <f t="shared" si="7"/>
        <v>71.948912043500002</v>
      </c>
      <c r="K188" s="47">
        <f t="shared" si="7"/>
        <v>24.417904304979999</v>
      </c>
    </row>
    <row r="189" spans="3:11" x14ac:dyDescent="0.2">
      <c r="C189" s="88" t="s">
        <v>128</v>
      </c>
      <c r="D189" s="116">
        <f t="shared" si="7"/>
        <v>90.843270054815008</v>
      </c>
      <c r="E189" s="116">
        <f t="shared" si="7"/>
        <v>92.077887049592903</v>
      </c>
      <c r="F189" s="116">
        <f t="shared" si="7"/>
        <v>78.905664744340783</v>
      </c>
      <c r="G189" s="116">
        <f t="shared" si="7"/>
        <v>72.272042019499594</v>
      </c>
      <c r="H189" s="116">
        <f t="shared" si="7"/>
        <v>65.573912849275445</v>
      </c>
      <c r="I189" s="116">
        <f t="shared" si="7"/>
        <v>54.834065381115749</v>
      </c>
      <c r="J189" s="116">
        <f t="shared" si="7"/>
        <v>54.313425307772903</v>
      </c>
      <c r="K189" s="116">
        <f t="shared" si="7"/>
        <v>12.494542450478617</v>
      </c>
    </row>
    <row r="190" spans="3:11" x14ac:dyDescent="0.2">
      <c r="C190" s="87" t="s">
        <v>129</v>
      </c>
      <c r="D190" s="47">
        <f t="shared" si="7"/>
        <v>62.504115280380098</v>
      </c>
      <c r="E190" s="47">
        <f t="shared" si="7"/>
        <v>74.1617991423646</v>
      </c>
      <c r="F190" s="47">
        <f t="shared" si="7"/>
        <v>71.005655987005383</v>
      </c>
      <c r="G190" s="47">
        <f t="shared" si="7"/>
        <v>64.920752390454339</v>
      </c>
      <c r="H190" s="47">
        <f t="shared" si="7"/>
        <v>68.677282892619047</v>
      </c>
      <c r="I190" s="47">
        <f t="shared" si="7"/>
        <v>35.324096702887481</v>
      </c>
      <c r="J190" s="47">
        <f t="shared" si="7"/>
        <v>39.459520920504751</v>
      </c>
      <c r="K190" s="47">
        <f t="shared" si="7"/>
        <v>8.4872637099242603</v>
      </c>
    </row>
    <row r="191" spans="3:11" x14ac:dyDescent="0.2">
      <c r="C191" s="88" t="s">
        <v>130</v>
      </c>
      <c r="D191" s="116">
        <f t="shared" si="7"/>
        <v>49.849446931551725</v>
      </c>
      <c r="E191" s="116">
        <f t="shared" si="7"/>
        <v>48.345347668945422</v>
      </c>
      <c r="F191" s="116">
        <f t="shared" si="7"/>
        <v>87.375443519254887</v>
      </c>
      <c r="G191" s="116">
        <f t="shared" si="7"/>
        <v>60.033506326257047</v>
      </c>
      <c r="H191" s="116">
        <f t="shared" si="7"/>
        <v>57.507935874152295</v>
      </c>
      <c r="I191" s="116">
        <f t="shared" si="7"/>
        <v>32.31799046689293</v>
      </c>
      <c r="J191" s="116">
        <f t="shared" si="7"/>
        <v>64.744425410607505</v>
      </c>
      <c r="K191" s="116">
        <f t="shared" si="7"/>
        <v>28.340551361798472</v>
      </c>
    </row>
    <row r="192" spans="3:11" x14ac:dyDescent="0.2">
      <c r="C192" s="87" t="s">
        <v>131</v>
      </c>
      <c r="D192" s="47">
        <f t="shared" si="7"/>
        <v>96.713903370859327</v>
      </c>
      <c r="E192" s="47">
        <f t="shared" si="7"/>
        <v>99.184587394077155</v>
      </c>
      <c r="F192" s="47">
        <f t="shared" si="7"/>
        <v>99.373553138397298</v>
      </c>
      <c r="G192" s="47">
        <f t="shared" si="7"/>
        <v>98.821714220829591</v>
      </c>
      <c r="H192" s="47">
        <f t="shared" si="7"/>
        <v>91.327484347884294</v>
      </c>
      <c r="I192" s="47">
        <f t="shared" si="7"/>
        <v>71.136538570822509</v>
      </c>
      <c r="J192" s="47">
        <f t="shared" si="7"/>
        <v>90.374599611805266</v>
      </c>
      <c r="K192" s="47">
        <f t="shared" si="7"/>
        <v>24.525887687115326</v>
      </c>
    </row>
    <row r="193" spans="3:11" x14ac:dyDescent="0.2">
      <c r="C193" s="88" t="s">
        <v>132</v>
      </c>
      <c r="D193" s="116">
        <f t="shared" si="7"/>
        <v>90.846853669356705</v>
      </c>
      <c r="E193" s="116">
        <f t="shared" si="7"/>
        <v>88.736272697255629</v>
      </c>
      <c r="F193" s="116">
        <f t="shared" si="7"/>
        <v>92.115795136453428</v>
      </c>
      <c r="G193" s="116">
        <f t="shared" si="7"/>
        <v>88.472041939634607</v>
      </c>
      <c r="H193" s="116">
        <f t="shared" si="7"/>
        <v>85.177585976328956</v>
      </c>
      <c r="I193" s="116">
        <f t="shared" si="7"/>
        <v>89.144096931010083</v>
      </c>
      <c r="J193" s="116">
        <f t="shared" si="7"/>
        <v>92.688455522931264</v>
      </c>
      <c r="K193" s="116">
        <f t="shared" si="7"/>
        <v>22.639456909202305</v>
      </c>
    </row>
    <row r="194" spans="3:11" x14ac:dyDescent="0.2">
      <c r="C194" s="87" t="s">
        <v>133</v>
      </c>
      <c r="D194" s="47">
        <f t="shared" ref="D194:K203" si="8">+IFERROR(IF(D152&gt;0,+((D152/D25)*100)," "),"")</f>
        <v>63.436145820679926</v>
      </c>
      <c r="E194" s="47">
        <f t="shared" si="8"/>
        <v>67.19585661549614</v>
      </c>
      <c r="F194" s="47">
        <f t="shared" si="8"/>
        <v>86.005768512963925</v>
      </c>
      <c r="G194" s="47">
        <f t="shared" si="8"/>
        <v>82.1232428958063</v>
      </c>
      <c r="H194" s="47">
        <f t="shared" si="8"/>
        <v>72.179348620439185</v>
      </c>
      <c r="I194" s="47">
        <f t="shared" si="8"/>
        <v>67.601813938667419</v>
      </c>
      <c r="J194" s="47">
        <f t="shared" si="8"/>
        <v>59.54520214258541</v>
      </c>
      <c r="K194" s="47">
        <f t="shared" si="8"/>
        <v>2.117536160848871</v>
      </c>
    </row>
    <row r="195" spans="3:11" x14ac:dyDescent="0.2">
      <c r="C195" s="88" t="s">
        <v>134</v>
      </c>
      <c r="D195" s="116">
        <f t="shared" si="8"/>
        <v>28.330932151767229</v>
      </c>
      <c r="E195" s="116">
        <f t="shared" si="8"/>
        <v>29.015856189762836</v>
      </c>
      <c r="F195" s="116">
        <f t="shared" si="8"/>
        <v>34.919413921825026</v>
      </c>
      <c r="G195" s="116">
        <f t="shared" si="8"/>
        <v>37.69152185006255</v>
      </c>
      <c r="H195" s="116">
        <f t="shared" si="8"/>
        <v>21.797392444849546</v>
      </c>
      <c r="I195" s="116">
        <f t="shared" si="8"/>
        <v>29.237945702298298</v>
      </c>
      <c r="J195" s="116">
        <f t="shared" si="8"/>
        <v>23.27023962965621</v>
      </c>
      <c r="K195" s="116">
        <f t="shared" si="8"/>
        <v>12.062461450080184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91.346295856068309</v>
      </c>
      <c r="J196" s="47">
        <f t="shared" si="8"/>
        <v>93.452028320813554</v>
      </c>
      <c r="K196" s="47">
        <f t="shared" si="8"/>
        <v>30.623924363999205</v>
      </c>
    </row>
    <row r="197" spans="3:11" x14ac:dyDescent="0.2">
      <c r="C197" s="88" t="s">
        <v>136</v>
      </c>
      <c r="D197" s="116">
        <f t="shared" si="8"/>
        <v>87.070613041706025</v>
      </c>
      <c r="E197" s="116">
        <f t="shared" si="8"/>
        <v>96.350548738265303</v>
      </c>
      <c r="F197" s="116">
        <f t="shared" si="8"/>
        <v>89.416671469238082</v>
      </c>
      <c r="G197" s="116">
        <f t="shared" si="8"/>
        <v>96.838777847456441</v>
      </c>
      <c r="H197" s="116">
        <f t="shared" si="8"/>
        <v>87.938114127827234</v>
      </c>
      <c r="I197" s="116">
        <f t="shared" si="8"/>
        <v>76.931328695328872</v>
      </c>
      <c r="J197" s="116">
        <f t="shared" si="8"/>
        <v>77.34112430594125</v>
      </c>
      <c r="K197" s="116">
        <f t="shared" si="8"/>
        <v>23.813595237966251</v>
      </c>
    </row>
    <row r="198" spans="3:11" x14ac:dyDescent="0.2">
      <c r="C198" s="87" t="s">
        <v>137</v>
      </c>
      <c r="D198" s="47">
        <f t="shared" si="8"/>
        <v>85.174166992641091</v>
      </c>
      <c r="E198" s="47">
        <f t="shared" si="8"/>
        <v>84.483911568057735</v>
      </c>
      <c r="F198" s="47">
        <f t="shared" si="8"/>
        <v>58.279746106134688</v>
      </c>
      <c r="G198" s="47">
        <f t="shared" si="8"/>
        <v>51.049591443877759</v>
      </c>
      <c r="H198" s="47">
        <f t="shared" si="8"/>
        <v>45.655861866521533</v>
      </c>
      <c r="I198" s="47">
        <f t="shared" si="8"/>
        <v>54.460711956426024</v>
      </c>
      <c r="J198" s="47">
        <f t="shared" si="8"/>
        <v>62.433623308937314</v>
      </c>
      <c r="K198" s="47">
        <f t="shared" si="8"/>
        <v>16.006530721189328</v>
      </c>
    </row>
    <row r="199" spans="3:11" x14ac:dyDescent="0.2">
      <c r="C199" s="88" t="s">
        <v>138</v>
      </c>
      <c r="D199" s="116">
        <f t="shared" si="8"/>
        <v>65.780091142444832</v>
      </c>
      <c r="E199" s="116">
        <f t="shared" si="8"/>
        <v>96.787518520749074</v>
      </c>
      <c r="F199" s="116">
        <f t="shared" si="8"/>
        <v>95.896709671133408</v>
      </c>
      <c r="G199" s="116">
        <f t="shared" si="8"/>
        <v>86.521347843125</v>
      </c>
      <c r="H199" s="116">
        <f t="shared" si="8"/>
        <v>74.404912973551731</v>
      </c>
      <c r="I199" s="116">
        <f t="shared" si="8"/>
        <v>40.323998133990543</v>
      </c>
      <c r="J199" s="116">
        <f t="shared" si="8"/>
        <v>43.415105868937651</v>
      </c>
      <c r="K199" s="116">
        <f t="shared" si="8"/>
        <v>18.794365600383578</v>
      </c>
    </row>
    <row r="200" spans="3:11" x14ac:dyDescent="0.2">
      <c r="C200" s="87" t="s">
        <v>160</v>
      </c>
      <c r="D200" s="47">
        <f t="shared" si="8"/>
        <v>56.835727192817345</v>
      </c>
      <c r="E200" s="47">
        <f t="shared" si="8"/>
        <v>84.205955597966437</v>
      </c>
      <c r="F200" s="47">
        <f t="shared" si="8"/>
        <v>84.958584080910072</v>
      </c>
      <c r="G200" s="47">
        <f t="shared" si="8"/>
        <v>67.476115445292876</v>
      </c>
      <c r="H200" s="47">
        <f t="shared" si="8"/>
        <v>48.773059638985991</v>
      </c>
      <c r="I200" s="47">
        <f t="shared" si="8"/>
        <v>38.684416503186156</v>
      </c>
      <c r="J200" s="47">
        <f t="shared" si="8"/>
        <v>52.632883078099013</v>
      </c>
      <c r="K200" s="47">
        <f t="shared" si="8"/>
        <v>4.4875029934203541</v>
      </c>
    </row>
    <row r="201" spans="3:11" x14ac:dyDescent="0.2">
      <c r="C201" s="88" t="s">
        <v>161</v>
      </c>
      <c r="D201" s="116">
        <f t="shared" si="8"/>
        <v>13.907705826577027</v>
      </c>
      <c r="E201" s="116">
        <f t="shared" si="8"/>
        <v>22.520776593087582</v>
      </c>
      <c r="F201" s="116">
        <f t="shared" si="8"/>
        <v>15.216695202706564</v>
      </c>
      <c r="G201" s="116">
        <f t="shared" si="8"/>
        <v>13.330353209350291</v>
      </c>
      <c r="H201" s="116">
        <f t="shared" si="8"/>
        <v>42.18893608070168</v>
      </c>
      <c r="I201" s="116">
        <f t="shared" si="8"/>
        <v>30.435836258911685</v>
      </c>
      <c r="J201" s="116">
        <f t="shared" si="8"/>
        <v>39.476610752124493</v>
      </c>
      <c r="K201" s="116">
        <f t="shared" si="8"/>
        <v>6.9905317955507069</v>
      </c>
    </row>
    <row r="202" spans="3:11" x14ac:dyDescent="0.2">
      <c r="C202" s="87" t="s">
        <v>140</v>
      </c>
      <c r="D202" s="47">
        <f t="shared" si="8"/>
        <v>82.727464325593402</v>
      </c>
      <c r="E202" s="47">
        <f t="shared" si="8"/>
        <v>87.640010181434377</v>
      </c>
      <c r="F202" s="47">
        <f t="shared" si="8"/>
        <v>92.532165496643628</v>
      </c>
      <c r="G202" s="47">
        <f t="shared" si="8"/>
        <v>83.82597996661481</v>
      </c>
      <c r="H202" s="47">
        <f t="shared" si="8"/>
        <v>89.352594949390124</v>
      </c>
      <c r="I202" s="47">
        <f t="shared" si="8"/>
        <v>58.358124778112241</v>
      </c>
      <c r="J202" s="47">
        <f t="shared" si="8"/>
        <v>66.733930626915665</v>
      </c>
      <c r="K202" s="47">
        <f t="shared" si="8"/>
        <v>25.980419787026094</v>
      </c>
    </row>
    <row r="203" spans="3:11" x14ac:dyDescent="0.2">
      <c r="C203" s="88" t="s">
        <v>141</v>
      </c>
      <c r="D203" s="116">
        <f t="shared" si="8"/>
        <v>55.034902967913709</v>
      </c>
      <c r="E203" s="116">
        <f t="shared" si="8"/>
        <v>64.088217125479815</v>
      </c>
      <c r="F203" s="116">
        <f t="shared" si="8"/>
        <v>42.864468040514325</v>
      </c>
      <c r="G203" s="116">
        <f t="shared" si="8"/>
        <v>39.606988049768241</v>
      </c>
      <c r="H203" s="116">
        <f t="shared" si="8"/>
        <v>52.376949216519954</v>
      </c>
      <c r="I203" s="116">
        <f t="shared" si="8"/>
        <v>66.947135447977786</v>
      </c>
      <c r="J203" s="116">
        <f t="shared" si="8"/>
        <v>60.939819638771141</v>
      </c>
      <c r="K203" s="116">
        <f t="shared" si="8"/>
        <v>7.8419680651763315</v>
      </c>
    </row>
    <row r="204" spans="3:11" x14ac:dyDescent="0.2">
      <c r="C204" s="87" t="s">
        <v>142</v>
      </c>
      <c r="D204" s="47">
        <f t="shared" ref="D204:K213" si="9">+IFERROR(IF(D162&gt;0,+((D162/D35)*100)," "),"")</f>
        <v>50.930220218244507</v>
      </c>
      <c r="E204" s="47">
        <f t="shared" si="9"/>
        <v>60.820607140599911</v>
      </c>
      <c r="F204" s="47">
        <f t="shared" si="9"/>
        <v>66.706657831182753</v>
      </c>
      <c r="G204" s="47">
        <f t="shared" si="9"/>
        <v>22.153705664553293</v>
      </c>
      <c r="H204" s="47">
        <f t="shared" si="9"/>
        <v>26.28989960851813</v>
      </c>
      <c r="I204" s="47">
        <f t="shared" si="9"/>
        <v>38.376532924815173</v>
      </c>
      <c r="J204" s="47">
        <f t="shared" si="9"/>
        <v>40.176372258298066</v>
      </c>
      <c r="K204" s="47">
        <f t="shared" si="9"/>
        <v>5.3932180734399804</v>
      </c>
    </row>
    <row r="205" spans="3:11" x14ac:dyDescent="0.2">
      <c r="C205" s="88" t="s">
        <v>143</v>
      </c>
      <c r="D205" s="116">
        <f t="shared" si="9"/>
        <v>32.145107592676261</v>
      </c>
      <c r="E205" s="116">
        <f t="shared" si="9"/>
        <v>14.011633728302</v>
      </c>
      <c r="F205" s="116">
        <f t="shared" si="9"/>
        <v>14.225057181996309</v>
      </c>
      <c r="G205" s="116">
        <f t="shared" si="9"/>
        <v>17.714172067479325</v>
      </c>
      <c r="H205" s="116">
        <f t="shared" si="9"/>
        <v>6.6744500485830986</v>
      </c>
      <c r="I205" s="116">
        <f t="shared" si="9"/>
        <v>11.771115034799601</v>
      </c>
      <c r="J205" s="116">
        <f t="shared" si="9"/>
        <v>69.005156907715488</v>
      </c>
      <c r="K205" s="116">
        <f t="shared" si="9"/>
        <v>9.3981445706649218</v>
      </c>
    </row>
    <row r="206" spans="3:11" x14ac:dyDescent="0.2">
      <c r="C206" s="87" t="s">
        <v>144</v>
      </c>
      <c r="D206" s="47">
        <f t="shared" si="9"/>
        <v>46.132177133745436</v>
      </c>
      <c r="E206" s="47">
        <f t="shared" si="9"/>
        <v>48.003168124169157</v>
      </c>
      <c r="F206" s="47">
        <f t="shared" si="9"/>
        <v>29.449286348009007</v>
      </c>
      <c r="G206" s="47">
        <f t="shared" si="9"/>
        <v>35.088937628773998</v>
      </c>
      <c r="H206" s="47">
        <f t="shared" si="9"/>
        <v>43.654138363297733</v>
      </c>
      <c r="I206" s="47">
        <f t="shared" si="9"/>
        <v>24.568764552564804</v>
      </c>
      <c r="J206" s="47">
        <f t="shared" si="9"/>
        <v>38.304058927837083</v>
      </c>
      <c r="K206" s="47">
        <f t="shared" si="9"/>
        <v>1.7232837365134233</v>
      </c>
    </row>
    <row r="207" spans="3:11" x14ac:dyDescent="0.2">
      <c r="C207" s="88" t="s">
        <v>145</v>
      </c>
      <c r="D207" s="116">
        <f t="shared" si="9"/>
        <v>77.593573499428175</v>
      </c>
      <c r="E207" s="116">
        <f t="shared" si="9"/>
        <v>66.827689842476218</v>
      </c>
      <c r="F207" s="116">
        <f t="shared" si="9"/>
        <v>73.091321721059472</v>
      </c>
      <c r="G207" s="116">
        <f t="shared" si="9"/>
        <v>69.195736311600726</v>
      </c>
      <c r="H207" s="116">
        <f t="shared" si="9"/>
        <v>49.208243214048068</v>
      </c>
      <c r="I207" s="116">
        <f t="shared" si="9"/>
        <v>54.47635148449379</v>
      </c>
      <c r="J207" s="116">
        <f t="shared" si="9"/>
        <v>84.5154906177398</v>
      </c>
      <c r="K207" s="116">
        <f t="shared" si="9"/>
        <v>1.2512405701688274</v>
      </c>
    </row>
    <row r="208" spans="3:11" x14ac:dyDescent="0.2">
      <c r="C208" s="87" t="s">
        <v>146</v>
      </c>
      <c r="D208" s="47">
        <f t="shared" si="9"/>
        <v>86.844545953747669</v>
      </c>
      <c r="E208" s="47">
        <f t="shared" si="9"/>
        <v>87.881182597579567</v>
      </c>
      <c r="F208" s="47">
        <f t="shared" si="9"/>
        <v>75.023032743336998</v>
      </c>
      <c r="G208" s="47">
        <f t="shared" si="9"/>
        <v>64.946213499633757</v>
      </c>
      <c r="H208" s="47">
        <f t="shared" si="9"/>
        <v>75.329438675977457</v>
      </c>
      <c r="I208" s="47">
        <f t="shared" si="9"/>
        <v>78.477809679677861</v>
      </c>
      <c r="J208" s="47">
        <f t="shared" si="9"/>
        <v>80.191549628747666</v>
      </c>
      <c r="K208" s="47">
        <f t="shared" si="9"/>
        <v>0.41533331000000001</v>
      </c>
    </row>
    <row r="209" spans="1:11" x14ac:dyDescent="0.2">
      <c r="C209" s="88" t="s">
        <v>162</v>
      </c>
      <c r="D209" s="116">
        <f t="shared" si="9"/>
        <v>93.326231239033518</v>
      </c>
      <c r="E209" s="116">
        <f t="shared" si="9"/>
        <v>92.764752116541146</v>
      </c>
      <c r="F209" s="116">
        <f t="shared" si="9"/>
        <v>91.359087711646808</v>
      </c>
      <c r="G209" s="116">
        <f t="shared" si="9"/>
        <v>91.199087131366952</v>
      </c>
      <c r="H209" s="116">
        <f t="shared" si="9"/>
        <v>65.005720205271246</v>
      </c>
      <c r="I209" s="116">
        <f t="shared" si="9"/>
        <v>42.630333268093231</v>
      </c>
      <c r="J209" s="116">
        <f t="shared" si="9"/>
        <v>40.048619120973335</v>
      </c>
      <c r="K209" s="116">
        <f t="shared" si="9"/>
        <v>3.3518489691007396</v>
      </c>
    </row>
    <row r="210" spans="1:11" x14ac:dyDescent="0.2">
      <c r="C210" s="87" t="s">
        <v>148</v>
      </c>
      <c r="D210" s="47">
        <f t="shared" si="9"/>
        <v>61.866202437315046</v>
      </c>
      <c r="E210" s="47">
        <f t="shared" si="9"/>
        <v>79.625252443993361</v>
      </c>
      <c r="F210" s="47">
        <f t="shared" si="9"/>
        <v>84.546406859085337</v>
      </c>
      <c r="G210" s="47">
        <f t="shared" si="9"/>
        <v>86.660191564308192</v>
      </c>
      <c r="H210" s="47">
        <f t="shared" si="9"/>
        <v>85.634371030818386</v>
      </c>
      <c r="I210" s="47">
        <f t="shared" si="9"/>
        <v>76.470991278651852</v>
      </c>
      <c r="J210" s="47">
        <f t="shared" si="9"/>
        <v>78.260160187165084</v>
      </c>
      <c r="K210" s="47">
        <f t="shared" si="9"/>
        <v>20.497081496775284</v>
      </c>
    </row>
    <row r="211" spans="1:11" x14ac:dyDescent="0.2">
      <c r="C211" s="88" t="s">
        <v>149</v>
      </c>
      <c r="D211" s="116">
        <f t="shared" si="9"/>
        <v>96.896840961496821</v>
      </c>
      <c r="E211" s="116" t="str">
        <f t="shared" si="9"/>
        <v xml:space="preserve"> </v>
      </c>
      <c r="F211" s="116" t="str">
        <f t="shared" si="9"/>
        <v xml:space="preserve"> </v>
      </c>
      <c r="G211" s="116" t="str">
        <f t="shared" si="9"/>
        <v xml:space="preserve"> </v>
      </c>
      <c r="H211" s="116" t="str">
        <f t="shared" si="9"/>
        <v xml:space="preserve"> </v>
      </c>
      <c r="I211" s="116">
        <f t="shared" si="9"/>
        <v>21.324903928546586</v>
      </c>
      <c r="J211" s="116">
        <f t="shared" si="9"/>
        <v>68.265551029318488</v>
      </c>
      <c r="K211" s="116" t="str">
        <f t="shared" si="9"/>
        <v xml:space="preserve"> </v>
      </c>
    </row>
    <row r="212" spans="1:11" x14ac:dyDescent="0.2">
      <c r="C212" s="87" t="s">
        <v>163</v>
      </c>
      <c r="D212" s="47">
        <f t="shared" si="9"/>
        <v>93.213483786711265</v>
      </c>
      <c r="E212" s="47">
        <f t="shared" si="9"/>
        <v>86.098684607586193</v>
      </c>
      <c r="F212" s="47">
        <f t="shared" si="9"/>
        <v>87.448510123234044</v>
      </c>
      <c r="G212" s="47">
        <f t="shared" si="9"/>
        <v>93.147114746071651</v>
      </c>
      <c r="H212" s="47">
        <f t="shared" si="9"/>
        <v>86.981188539075717</v>
      </c>
      <c r="I212" s="47">
        <f t="shared" si="9"/>
        <v>79.461936542464713</v>
      </c>
      <c r="J212" s="47">
        <f t="shared" si="9"/>
        <v>76.29015994227673</v>
      </c>
      <c r="K212" s="47">
        <f t="shared" si="9"/>
        <v>16.690319396389931</v>
      </c>
    </row>
    <row r="213" spans="1:11" x14ac:dyDescent="0.2">
      <c r="C213" s="88" t="s">
        <v>150</v>
      </c>
      <c r="D213" s="116">
        <f t="shared" si="9"/>
        <v>78.541675913887545</v>
      </c>
      <c r="E213" s="116">
        <f t="shared" si="9"/>
        <v>84.118530021933708</v>
      </c>
      <c r="F213" s="116">
        <f t="shared" si="9"/>
        <v>85.187957084920811</v>
      </c>
      <c r="G213" s="116">
        <f t="shared" si="9"/>
        <v>79.771057253943752</v>
      </c>
      <c r="H213" s="116">
        <f t="shared" si="9"/>
        <v>87.534626062223737</v>
      </c>
      <c r="I213" s="116">
        <f t="shared" si="9"/>
        <v>34.398588043589022</v>
      </c>
      <c r="J213" s="116">
        <f t="shared" si="9"/>
        <v>29.017733171770459</v>
      </c>
      <c r="K213" s="116">
        <f t="shared" si="9"/>
        <v>10.723418721038581</v>
      </c>
    </row>
    <row r="214" spans="1:11" x14ac:dyDescent="0.2">
      <c r="C214" s="87" t="s">
        <v>151</v>
      </c>
      <c r="D214" s="47">
        <f t="shared" ref="D214:K215" si="10">+IFERROR(IF(D172&gt;0,+((D172/D45)*100)," "),"")</f>
        <v>35.049078283909395</v>
      </c>
      <c r="E214" s="47">
        <f t="shared" si="10"/>
        <v>49.391158648910718</v>
      </c>
      <c r="F214" s="47">
        <f t="shared" si="10"/>
        <v>59.120324785235127</v>
      </c>
      <c r="G214" s="47">
        <f t="shared" si="10"/>
        <v>64.134454219274943</v>
      </c>
      <c r="H214" s="47">
        <f t="shared" si="10"/>
        <v>41.086929110770178</v>
      </c>
      <c r="I214" s="47">
        <f t="shared" si="10"/>
        <v>30.058288663373833</v>
      </c>
      <c r="J214" s="47">
        <f t="shared" si="10"/>
        <v>36.856670566275533</v>
      </c>
      <c r="K214" s="47">
        <f t="shared" si="10"/>
        <v>7.4039687553996174</v>
      </c>
    </row>
    <row r="215" spans="1:11" x14ac:dyDescent="0.2">
      <c r="C215" s="91" t="s">
        <v>202</v>
      </c>
      <c r="D215" s="64">
        <f t="shared" si="10"/>
        <v>75.631619622661304</v>
      </c>
      <c r="E215" s="64">
        <f t="shared" si="10"/>
        <v>80.264273640591256</v>
      </c>
      <c r="F215" s="64">
        <f t="shared" si="10"/>
        <v>77.504082492170596</v>
      </c>
      <c r="G215" s="64">
        <f t="shared" si="10"/>
        <v>79.65208508697107</v>
      </c>
      <c r="H215" s="64">
        <f t="shared" si="10"/>
        <v>70.928051573260149</v>
      </c>
      <c r="I215" s="64">
        <f t="shared" si="10"/>
        <v>53.730096295912034</v>
      </c>
      <c r="J215" s="64">
        <f t="shared" si="10"/>
        <v>61.583414739194922</v>
      </c>
      <c r="K215" s="64">
        <f t="shared" si="10"/>
        <v>17.344588232378815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abril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55" t="s">
        <v>215</v>
      </c>
      <c r="E221" s="178"/>
      <c r="F221" s="178"/>
      <c r="G221" s="178"/>
      <c r="H221" s="178"/>
      <c r="I221" s="178"/>
      <c r="J221" s="178"/>
      <c r="K221" s="178"/>
    </row>
    <row r="222" spans="1:1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6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10</v>
      </c>
    </row>
    <row r="224" spans="1:11" ht="12" customHeight="1" thickBot="1" x14ac:dyDescent="0.25">
      <c r="C224" s="160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831.49980542253*Deflactores!$T$5</f>
        <v>1290.4262468290262</v>
      </c>
      <c r="E225" s="42">
        <f>780.757653156359*Deflactores!$U$5</f>
        <v>1192.4792604679494</v>
      </c>
      <c r="F225" s="42">
        <f>1246.75207125103*Deflactores!$V$5</f>
        <v>1802.8870524257061</v>
      </c>
      <c r="G225" s="42">
        <f>1160.71173850402*Deflactores!$W$5</f>
        <v>1483.7932857544179</v>
      </c>
      <c r="H225" s="42">
        <f>3221.382938719*Deflactores!$X$5</f>
        <v>3768.3453152314796</v>
      </c>
      <c r="I225" s="42">
        <f>2133.77796612862*Deflactores!$Y$5</f>
        <v>2372.6945079954476</v>
      </c>
      <c r="J225" s="42">
        <f>2140.06491885735*Deflactores!$Z$5</f>
        <v>2264.1886841510768</v>
      </c>
      <c r="K225" s="42">
        <f>303.67396447588*Deflactores!$AA$5</f>
        <v>303.67396447587998</v>
      </c>
    </row>
    <row r="226" spans="3:11" x14ac:dyDescent="0.2">
      <c r="C226" s="88" t="s">
        <v>124</v>
      </c>
      <c r="D226" s="50">
        <f>155.19338699352*Deflactores!$T$5</f>
        <v>240.8486671971821</v>
      </c>
      <c r="E226" s="50">
        <f>148.123213000239*Deflactores!$U$5</f>
        <v>226.23391366397254</v>
      </c>
      <c r="F226" s="50">
        <f>284.05262034974*Deflactores!$V$5</f>
        <v>410.75912624894931</v>
      </c>
      <c r="G226" s="50">
        <f>319.22715002427*Deflactores!$W$5</f>
        <v>408.08332174447935</v>
      </c>
      <c r="H226" s="50">
        <f>377.63529393953*Deflactores!$X$5</f>
        <v>441.75443213496936</v>
      </c>
      <c r="I226" s="50">
        <f>397.520546904029*Deflactores!$Y$5</f>
        <v>442.03044244842596</v>
      </c>
      <c r="J226" s="50">
        <f>503.67840832279*Deflactores!$Z$5</f>
        <v>532.89175600551187</v>
      </c>
      <c r="K226" s="50">
        <f>68.2073339336*Deflactores!$AA$5</f>
        <v>68.207333933599998</v>
      </c>
    </row>
    <row r="227" spans="3:11" x14ac:dyDescent="0.2">
      <c r="C227" s="87" t="s">
        <v>125</v>
      </c>
      <c r="D227" s="42">
        <f>127.44265654972*Deflactores!$T$5</f>
        <v>197.78158443922561</v>
      </c>
      <c r="E227" s="42">
        <f>159.44373548996*Deflactores!$U$5</f>
        <v>243.52415504947686</v>
      </c>
      <c r="F227" s="42">
        <f>334.840820390469*Deflactores!$V$5</f>
        <v>484.20226733597991</v>
      </c>
      <c r="G227" s="42">
        <f>265.99201824601*Deflactores!$W$5</f>
        <v>340.03030868488906</v>
      </c>
      <c r="H227" s="42">
        <f>293.92692347326*Deflactores!$X$5</f>
        <v>343.83311955185036</v>
      </c>
      <c r="I227" s="42">
        <f>300.61243224908*Deflactores!$Y$5</f>
        <v>334.27164323317021</v>
      </c>
      <c r="J227" s="42">
        <f>234.79407262684*Deflactores!$Z$5</f>
        <v>248.41212883919673</v>
      </c>
      <c r="K227" s="42">
        <f>13.943797681*Deflactores!$AA$5</f>
        <v>13.943797680999999</v>
      </c>
    </row>
    <row r="228" spans="3:11" x14ac:dyDescent="0.2">
      <c r="C228" s="88" t="s">
        <v>126</v>
      </c>
      <c r="D228" s="50">
        <f>120.41569268501*Deflactores!$T$5</f>
        <v>186.87625584214544</v>
      </c>
      <c r="E228" s="50">
        <f>84.20351596211*Deflactores!$U$5</f>
        <v>128.60706012597899</v>
      </c>
      <c r="F228" s="50">
        <f>103.194659830279*Deflactores!$V$5</f>
        <v>149.22639422671935</v>
      </c>
      <c r="G228" s="50">
        <f>146.15130569051*Deflactores!$W$5</f>
        <v>186.83219863643092</v>
      </c>
      <c r="H228" s="50">
        <f>172.411864912919*Deflactores!$X$5</f>
        <v>201.68587708895006</v>
      </c>
      <c r="I228" s="50">
        <f>50.6850753991*Deflactores!$Y$5</f>
        <v>56.360222078294107</v>
      </c>
      <c r="J228" s="50">
        <f>156.16812169469*Deflactores!$Z$5</f>
        <v>165.22587275298204</v>
      </c>
      <c r="K228" s="50">
        <f>49.34229365826*Deflactores!$AA$5</f>
        <v>49.342293658259997</v>
      </c>
    </row>
    <row r="229" spans="3:11" x14ac:dyDescent="0.2">
      <c r="C229" s="87" t="s">
        <v>127</v>
      </c>
      <c r="D229" s="42">
        <f>56.1706710994799*Deflactores!$T$5</f>
        <v>87.172730307418888</v>
      </c>
      <c r="E229" s="42">
        <f>63.9798286538699*Deflactores!$U$5</f>
        <v>97.718694718646205</v>
      </c>
      <c r="F229" s="42">
        <f>102.568897871439*Deflactores!$V$5</f>
        <v>148.32150049563367</v>
      </c>
      <c r="G229" s="42">
        <f>135.40986192558*Deflactores!$W$5</f>
        <v>173.10089773802395</v>
      </c>
      <c r="H229" s="42">
        <f>176.44283537095*Deflactores!$X$5</f>
        <v>206.40127073519508</v>
      </c>
      <c r="I229" s="42">
        <f>148.44162962711*Deflactores!$Y$5</f>
        <v>165.06245962093126</v>
      </c>
      <c r="J229" s="42">
        <f>143.897824087*Deflactores!$Z$5</f>
        <v>152.24389788404602</v>
      </c>
      <c r="K229" s="42">
        <f>48.83580860996*Deflactores!$AA$5</f>
        <v>48.835808609959997</v>
      </c>
    </row>
    <row r="230" spans="3:11" x14ac:dyDescent="0.2">
      <c r="C230" s="88" t="s">
        <v>128</v>
      </c>
      <c r="D230" s="50">
        <f>126.07571904938*Deflactores!$T$5</f>
        <v>195.66019846088824</v>
      </c>
      <c r="E230" s="50">
        <f>121.50204043517*Deflactores!$U$5</f>
        <v>185.57443880023317</v>
      </c>
      <c r="F230" s="50">
        <f>269.28198027427*Deflactores!$V$5</f>
        <v>389.39979077065811</v>
      </c>
      <c r="G230" s="50">
        <f>257.70229679655*Deflactores!$W$5</f>
        <v>329.43316159017957</v>
      </c>
      <c r="H230" s="50">
        <f>322.268912770119*Deflactores!$X$5</f>
        <v>376.98732835685195</v>
      </c>
      <c r="I230" s="50">
        <f>528.63048914799*Deflactores!$Y$5</f>
        <v>587.82060658169598</v>
      </c>
      <c r="J230" s="50">
        <f>389.09217031253*Deflactores!$Z$5</f>
        <v>411.6595161906568</v>
      </c>
      <c r="K230" s="50">
        <f>89.8653904161*Deflactores!$AA$5</f>
        <v>89.865390416099999</v>
      </c>
    </row>
    <row r="231" spans="3:11" x14ac:dyDescent="0.2">
      <c r="C231" s="87" t="s">
        <v>129</v>
      </c>
      <c r="D231" s="42">
        <f>657.643914370949*Deflactores!$T$5</f>
        <v>1020.614752567997</v>
      </c>
      <c r="E231" s="42">
        <f>984.95463971829*Deflactores!$U$5</f>
        <v>1504.3566663963552</v>
      </c>
      <c r="F231" s="42">
        <f>1436.97174639999*Deflactores!$V$5</f>
        <v>2077.9574512248537</v>
      </c>
      <c r="G231" s="42">
        <f>1304.19742820289*Deflactores!$W$5</f>
        <v>1667.2179000789222</v>
      </c>
      <c r="H231" s="42">
        <f>1294.71539464193*Deflactores!$X$5</f>
        <v>1514.5466356437362</v>
      </c>
      <c r="I231" s="42">
        <f>1059.3938250174*Deflactores!$Y$5</f>
        <v>1178.0128721563335</v>
      </c>
      <c r="J231" s="42">
        <f>861.73677625517*Deflactores!$Z$5</f>
        <v>911.71750927796984</v>
      </c>
      <c r="K231" s="42">
        <f>301.10359299398*Deflactores!$AA$5</f>
        <v>301.10359299397999</v>
      </c>
    </row>
    <row r="232" spans="3:11" x14ac:dyDescent="0.2">
      <c r="C232" s="88" t="s">
        <v>130</v>
      </c>
      <c r="D232" s="50">
        <f>230.302374533769*Deflactores!$T$5</f>
        <v>357.41226500276429</v>
      </c>
      <c r="E232" s="50">
        <f>204.19736059113*Deflactores!$U$5</f>
        <v>311.8779771966615</v>
      </c>
      <c r="F232" s="50">
        <f>635.752490601649*Deflactores!$V$5</f>
        <v>919.34070957907898</v>
      </c>
      <c r="G232" s="50">
        <f>507.382871380989*Deflactores!$W$5</f>
        <v>648.61177231843885</v>
      </c>
      <c r="H232" s="50">
        <f>512.78972961935*Deflactores!$X$5</f>
        <v>599.85689750946267</v>
      </c>
      <c r="I232" s="50">
        <f>321.04538850098*Deflactores!$Y$5</f>
        <v>356.9924529193604</v>
      </c>
      <c r="J232" s="50">
        <f>258.97770164243*Deflactores!$Z$5</f>
        <v>273.99840833769099</v>
      </c>
      <c r="K232" s="50">
        <f>125.234767385*Deflactores!$AA$5</f>
        <v>125.234767385</v>
      </c>
    </row>
    <row r="233" spans="3:11" x14ac:dyDescent="0.2">
      <c r="C233" s="87" t="s">
        <v>131</v>
      </c>
      <c r="D233" s="42">
        <f>3615.88028740662*Deflactores!$T$5</f>
        <v>5611.5789779290744</v>
      </c>
      <c r="E233" s="42">
        <f>3952.36958644122*Deflactores!$U$5</f>
        <v>6036.5963016587484</v>
      </c>
      <c r="F233" s="42">
        <f>4816.5881248928*Deflactores!$V$5</f>
        <v>6965.1092366127596</v>
      </c>
      <c r="G233" s="42">
        <f>5457.23801525114*Deflactores!$W$5</f>
        <v>6976.2481563508036</v>
      </c>
      <c r="H233" s="42">
        <f>6731.16341195197*Deflactores!$X$5</f>
        <v>7874.0555196376044</v>
      </c>
      <c r="I233" s="42">
        <f>5631.11083306629*Deflactores!$Y$5</f>
        <v>6261.6195122546724</v>
      </c>
      <c r="J233" s="42">
        <f>6103.97139294635*Deflactores!$Z$5</f>
        <v>6458.0017337372383</v>
      </c>
      <c r="K233" s="42">
        <f>1662.29231091887*Deflactores!$AA$5</f>
        <v>1662.29231091887</v>
      </c>
    </row>
    <row r="234" spans="3:11" x14ac:dyDescent="0.2">
      <c r="C234" s="88" t="s">
        <v>132</v>
      </c>
      <c r="D234" s="50">
        <f>15.82750613848*Deflactores!$T$5</f>
        <v>24.563119810429136</v>
      </c>
      <c r="E234" s="50">
        <f>18.47924453267*Deflactores!$U$5</f>
        <v>28.224015179665024</v>
      </c>
      <c r="F234" s="50">
        <f>18.74275271973*Deflactores!$V$5</f>
        <v>27.103276573112801</v>
      </c>
      <c r="G234" s="50">
        <f>15.5735068128899*Deflactores!$W$5</f>
        <v>19.908358016951926</v>
      </c>
      <c r="H234" s="50">
        <f>15.58480259389*Deflactores!$X$5</f>
        <v>18.230964452443104</v>
      </c>
      <c r="I234" s="50">
        <f>16.2117949298999*Deflactores!$Y$5</f>
        <v>18.027010028935361</v>
      </c>
      <c r="J234" s="50">
        <f>15.61785591425*Deflactores!$Z$5</f>
        <v>16.5236915572765</v>
      </c>
      <c r="K234" s="50">
        <f>2.371895293*Deflactores!$AA$5</f>
        <v>2.3718952930000001</v>
      </c>
    </row>
    <row r="235" spans="3:11" x14ac:dyDescent="0.2">
      <c r="C235" s="87" t="s">
        <v>133</v>
      </c>
      <c r="D235" s="42">
        <f>71.75964631023*Deflactores!$T$5</f>
        <v>111.36566774640811</v>
      </c>
      <c r="E235" s="42">
        <f>82.58783512007*Deflactores!$U$5</f>
        <v>126.1393726330941</v>
      </c>
      <c r="F235" s="42">
        <f>107.18147040371*Deflactores!$V$5</f>
        <v>154.99158951217834</v>
      </c>
      <c r="G235" s="42">
        <f>140.28140386449*Deflactores!$W$5</f>
        <v>179.32842260956696</v>
      </c>
      <c r="H235" s="42">
        <f>146.44762847544*Deflactores!$X$5</f>
        <v>171.31314258206035</v>
      </c>
      <c r="I235" s="42">
        <f>154.987248532139*Deflactores!$Y$5</f>
        <v>172.34098356949912</v>
      </c>
      <c r="J235" s="42">
        <f>189.306010943289*Deflactores!$Z$5</f>
        <v>200.28575957799978</v>
      </c>
      <c r="K235" s="42">
        <f>8.27244566808*Deflactores!$AA$5</f>
        <v>8.2724456680799996</v>
      </c>
    </row>
    <row r="236" spans="3:11" x14ac:dyDescent="0.2">
      <c r="C236" s="88" t="s">
        <v>134</v>
      </c>
      <c r="D236" s="50">
        <f>506.516502913519*Deflactores!$T$5</f>
        <v>786.07617891084772</v>
      </c>
      <c r="E236" s="50">
        <f>545.432410609499*Deflactores!$U$5</f>
        <v>833.05854897410802</v>
      </c>
      <c r="F236" s="50">
        <f>766.940848248379*Deflactores!$V$5</f>
        <v>1109.0478669876511</v>
      </c>
      <c r="G236" s="50">
        <f>952.55666504925*Deflactores!$W$5</f>
        <v>1217.6987076242976</v>
      </c>
      <c r="H236" s="50">
        <f>1032.56918892119*Deflactores!$X$5</f>
        <v>1207.8903190785641</v>
      </c>
      <c r="I236" s="50">
        <f>945.06497279963*Deflactores!$Y$5</f>
        <v>1050.8827564326741</v>
      </c>
      <c r="J236" s="50">
        <f>632.16662656359*Deflactores!$Z$5</f>
        <v>668.83229090427824</v>
      </c>
      <c r="K236" s="50">
        <f>565.160294745379*Deflactores!$AA$5</f>
        <v>565.16029474537902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5908.9827952033*Deflactores!$Y$5</f>
        <v>6570.6044624013839</v>
      </c>
      <c r="J237" s="42">
        <f>6293.11152951165*Deflactores!$Z$5</f>
        <v>6658.1119982233258</v>
      </c>
      <c r="K237" s="42">
        <f>1942.25145240828*Deflactores!$AA$5</f>
        <v>1942.2514524082801</v>
      </c>
    </row>
    <row r="238" spans="3:11" x14ac:dyDescent="0.2">
      <c r="C238" s="88" t="s">
        <v>136</v>
      </c>
      <c r="D238" s="50">
        <f>6966.95545508716*Deflactores!$T$5</f>
        <v>10812.199980208839</v>
      </c>
      <c r="E238" s="50">
        <f>8313.01657532428*Deflactores!$U$5</f>
        <v>12696.769372576677</v>
      </c>
      <c r="F238" s="50">
        <f>10835.8248953266*Deflactores!$V$5</f>
        <v>15669.329016260352</v>
      </c>
      <c r="G238" s="50">
        <f>18652.4962292094*Deflactores!$W$5</f>
        <v>23844.377332765853</v>
      </c>
      <c r="H238" s="50">
        <f>14751.9484644893*Deflactores!$X$5</f>
        <v>17256.699046404061</v>
      </c>
      <c r="I238" s="50">
        <f>8406.17716686667*Deflactores!$Y$5</f>
        <v>9347.406671955021</v>
      </c>
      <c r="J238" s="50">
        <f>6844.6693317788*Deflactores!$Z$5</f>
        <v>7241.6601530219714</v>
      </c>
      <c r="K238" s="50">
        <f>2671.18037532162*Deflactores!$AA$5</f>
        <v>2671.18037532162</v>
      </c>
    </row>
    <row r="239" spans="3:11" x14ac:dyDescent="0.2">
      <c r="C239" s="87" t="s">
        <v>137</v>
      </c>
      <c r="D239" s="42">
        <f>157.51847690306*Deflactores!$T$5</f>
        <v>244.45703490327327</v>
      </c>
      <c r="E239" s="42">
        <f>150.48391518932*Deflactores!$U$5</f>
        <v>229.83949907096772</v>
      </c>
      <c r="F239" s="42">
        <f>186.61742393987*Deflactores!$V$5</f>
        <v>269.86130212771656</v>
      </c>
      <c r="G239" s="42">
        <f>202.454211757*Deflactores!$W$5</f>
        <v>258.80689417762727</v>
      </c>
      <c r="H239" s="42">
        <f>341.3385152087*Deflactores!$X$5</f>
        <v>399.2947808950247</v>
      </c>
      <c r="I239" s="42">
        <f>537.894357638169*Deflactores!$Y$5</f>
        <v>598.12173923858597</v>
      </c>
      <c r="J239" s="42">
        <f>439.19075076426*Deflactores!$Z$5</f>
        <v>464.66381430858706</v>
      </c>
      <c r="K239" s="42">
        <f>75.1505065418499*Deflactores!$AA$5</f>
        <v>75.150506541849893</v>
      </c>
    </row>
    <row r="240" spans="3:11" x14ac:dyDescent="0.2">
      <c r="C240" s="88" t="s">
        <v>138</v>
      </c>
      <c r="D240" s="50">
        <f>4.76299823841*Deflactores!$T$5</f>
        <v>7.391821261246613</v>
      </c>
      <c r="E240" s="50">
        <f>6.86644852094*Deflactores!$U$5</f>
        <v>10.487373926070219</v>
      </c>
      <c r="F240" s="50">
        <f>7.52410469154*Deflactores!$V$5</f>
        <v>10.880359649903225</v>
      </c>
      <c r="G240" s="50">
        <f>6.92170782745*Deflactores!$W$5</f>
        <v>8.8483499043104885</v>
      </c>
      <c r="H240" s="50">
        <f>19.5820033794*Deflactores!$X$5</f>
        <v>22.906854633976756</v>
      </c>
      <c r="I240" s="50">
        <f>16.3466193832*Deflactores!$Y$5</f>
        <v>18.176930613441648</v>
      </c>
      <c r="J240" s="50">
        <f>15.28163051567*Deflactores!$Z$5</f>
        <v>16.16796508557886</v>
      </c>
      <c r="K240" s="50">
        <f>4.35180875905*Deflactores!$AA$5</f>
        <v>4.3518087590499999</v>
      </c>
    </row>
    <row r="241" spans="3:11" x14ac:dyDescent="0.2">
      <c r="C241" s="87" t="s">
        <v>160</v>
      </c>
      <c r="D241" s="42">
        <f>56.33923937076*Deflactores!$T$5</f>
        <v>87.434335806570985</v>
      </c>
      <c r="E241" s="42">
        <f>180.48963312414*Deflactores!$U$5</f>
        <v>275.66831187616003</v>
      </c>
      <c r="F241" s="42">
        <f>302.87816957598*Deflactores!$V$5</f>
        <v>437.9821321195023</v>
      </c>
      <c r="G241" s="42">
        <f>448.64499702241*Deflactores!$W$5</f>
        <v>573.5243404423079</v>
      </c>
      <c r="H241" s="42">
        <f>231.05889590605*Deflactores!$X$5</f>
        <v>270.2906560610158</v>
      </c>
      <c r="I241" s="42">
        <f>216.14172170666*Deflactores!$Y$5</f>
        <v>240.34284924805513</v>
      </c>
      <c r="J241" s="42">
        <f>226.52304626985*Deflactores!$Z$5</f>
        <v>239.66138295350132</v>
      </c>
      <c r="K241" s="42">
        <f>20.3001384113899*Deflactores!$AA$5</f>
        <v>20.300138411389899</v>
      </c>
    </row>
    <row r="242" spans="3:11" x14ac:dyDescent="0.2">
      <c r="C242" s="88" t="s">
        <v>161</v>
      </c>
      <c r="D242" s="50">
        <f>44.3871746213999*Deflactores!$T$5</f>
        <v>68.885614621318439</v>
      </c>
      <c r="E242" s="50">
        <f>86.99436187871*Deflactores!$U$5</f>
        <v>132.86961952741808</v>
      </c>
      <c r="F242" s="50">
        <f>67.49391293035*Deflactores!$V$5</f>
        <v>97.600721543277274</v>
      </c>
      <c r="G242" s="50">
        <f>65.7400326780199*Deflactores!$W$5</f>
        <v>84.038625489083131</v>
      </c>
      <c r="H242" s="50">
        <f>152.66151323161*Deflactores!$X$5</f>
        <v>178.58209009800299</v>
      </c>
      <c r="I242" s="50">
        <f>173.06363522605*Deflactores!$Y$5</f>
        <v>192.44136145036211</v>
      </c>
      <c r="J242" s="50">
        <f>208.27255029644*Deflactores!$Z$5</f>
        <v>220.35235821363352</v>
      </c>
      <c r="K242" s="50">
        <f>36.463973907*Deflactores!$AA$5</f>
        <v>36.463973907000003</v>
      </c>
    </row>
    <row r="243" spans="3:11" x14ac:dyDescent="0.2">
      <c r="C243" s="87" t="s">
        <v>140</v>
      </c>
      <c r="D243" s="42">
        <f>2489.26845413335*Deflactores!$T$5</f>
        <v>3863.1606738439218</v>
      </c>
      <c r="E243" s="42">
        <f>2611.78285350464*Deflactores!$U$5</f>
        <v>3989.0699413052785</v>
      </c>
      <c r="F243" s="42">
        <f>4058.52998701613*Deflactores!$V$5</f>
        <v>5868.9063641423681</v>
      </c>
      <c r="G243" s="42">
        <f>3595.74618192593*Deflactores!$W$5</f>
        <v>4596.6141850992399</v>
      </c>
      <c r="H243" s="42">
        <f>6019.95213296458*Deflactores!$X$5</f>
        <v>7042.0868458425939</v>
      </c>
      <c r="I243" s="42">
        <f>4055.70523693843*Deflactores!$Y$5</f>
        <v>4509.8176541729908</v>
      </c>
      <c r="J243" s="42">
        <f>4371.62091294051*Deflactores!$Z$5</f>
        <v>4625.1749258910595</v>
      </c>
      <c r="K243" s="42">
        <f>2501.33840465717*Deflactores!$AA$5</f>
        <v>2501.33840465717</v>
      </c>
    </row>
    <row r="244" spans="3:11" x14ac:dyDescent="0.2">
      <c r="C244" s="88" t="s">
        <v>141</v>
      </c>
      <c r="D244" s="50">
        <f>88.0391492213199*Deflactores!$T$5</f>
        <v>136.63025314354468</v>
      </c>
      <c r="E244" s="50">
        <f>138.704273806039*Deflactores!$U$5</f>
        <v>211.84802887720781</v>
      </c>
      <c r="F244" s="50">
        <f>146.82482003572*Deflactores!$V$5</f>
        <v>212.31852997967522</v>
      </c>
      <c r="G244" s="50">
        <f>174.92951562245*Deflactores!$W$5</f>
        <v>223.62075970334891</v>
      </c>
      <c r="H244" s="50">
        <f>297.228480203929*Deflactores!$X$5</f>
        <v>347.69525146092877</v>
      </c>
      <c r="I244" s="50">
        <f>344.725257502229*Deflactores!$Y$5</f>
        <v>383.32372825409152</v>
      </c>
      <c r="J244" s="50">
        <f>230.666522926599*Deflactores!$Z$5</f>
        <v>244.04518125634175</v>
      </c>
      <c r="K244" s="50">
        <f>69.64702173839*Deflactores!$AA$5</f>
        <v>69.647021738389995</v>
      </c>
    </row>
    <row r="245" spans="3:11" x14ac:dyDescent="0.2">
      <c r="C245" s="87" t="s">
        <v>142</v>
      </c>
      <c r="D245" s="42">
        <f>142.25467665546*Deflactores!$T$5</f>
        <v>220.76874497535272</v>
      </c>
      <c r="E245" s="42">
        <f>115.81430272671*Deflactores!$U$5</f>
        <v>176.88735231584135</v>
      </c>
      <c r="F245" s="42">
        <f>367.08058492916*Deflactores!$V$5</f>
        <v>530.82312756983163</v>
      </c>
      <c r="G245" s="42">
        <f>235.55994928746*Deflactores!$W$5</f>
        <v>301.12754058631737</v>
      </c>
      <c r="H245" s="42">
        <f>353.09455431769*Deflactores!$X$5</f>
        <v>413.04689163279897</v>
      </c>
      <c r="I245" s="42">
        <f>362.00239251995*Deflactores!$Y$5</f>
        <v>402.53536321385161</v>
      </c>
      <c r="J245" s="42">
        <f>243.0389058167*Deflactores!$Z$5</f>
        <v>257.1351623540686</v>
      </c>
      <c r="K245" s="42">
        <f>44.50026988387*Deflactores!$AA$5</f>
        <v>44.500269883869997</v>
      </c>
    </row>
    <row r="246" spans="3:11" x14ac:dyDescent="0.2">
      <c r="C246" s="88" t="s">
        <v>143</v>
      </c>
      <c r="D246" s="50">
        <f>83.64624915036*Deflactores!$T$5</f>
        <v>129.81279688643448</v>
      </c>
      <c r="E246" s="50">
        <f>96.7766911839799*Deflactores!$U$5</f>
        <v>147.81052310798927</v>
      </c>
      <c r="F246" s="50">
        <f>329.19726469817*Deflactores!$V$5</f>
        <v>476.04130757348304</v>
      </c>
      <c r="G246" s="50">
        <f>215.22714796652*Deflactores!$W$5</f>
        <v>275.13514895299636</v>
      </c>
      <c r="H246" s="50">
        <f>133.670681254939*Deflactores!$X$5</f>
        <v>156.36678255058854</v>
      </c>
      <c r="I246" s="50">
        <f>90.31862748685*Deflactores!$Y$5</f>
        <v>100.4314951271824</v>
      </c>
      <c r="J246" s="50">
        <f>333.4928368553*Deflactores!$Z$5</f>
        <v>352.83542139290745</v>
      </c>
      <c r="K246" s="50">
        <f>25.38688405075*Deflactores!$AA$5</f>
        <v>25.386884050750002</v>
      </c>
    </row>
    <row r="247" spans="3:11" x14ac:dyDescent="0.2">
      <c r="C247" s="87" t="s">
        <v>144</v>
      </c>
      <c r="D247" s="42">
        <f>85.39372257432*Deflactores!$T$5</f>
        <v>132.52474649509168</v>
      </c>
      <c r="E247" s="42">
        <f>117.47647423659*Deflactores!$U$5</f>
        <v>179.42604667875867</v>
      </c>
      <c r="F247" s="42">
        <f>134.42534392621*Deflactores!$V$5</f>
        <v>194.38805651170983</v>
      </c>
      <c r="G247" s="42">
        <f>197.41762997504*Deflactores!$W$5</f>
        <v>252.36839098745781</v>
      </c>
      <c r="H247" s="42">
        <f>316.03648607077*Deflactores!$X$5</f>
        <v>369.69669063951352</v>
      </c>
      <c r="I247" s="42">
        <f>273.69532425554*Deflactores!$Y$5</f>
        <v>304.34065916585098</v>
      </c>
      <c r="J247" s="42">
        <f>413.75541038021*Deflactores!$Z$5</f>
        <v>437.75322418226216</v>
      </c>
      <c r="K247" s="42">
        <f>24.95111676457*Deflactores!$AA$5</f>
        <v>24.951116764569999</v>
      </c>
    </row>
    <row r="248" spans="3:11" x14ac:dyDescent="0.2">
      <c r="C248" s="88" t="s">
        <v>145</v>
      </c>
      <c r="D248" s="50">
        <f>45.763409356*Deflactores!$T$5</f>
        <v>71.021429220124389</v>
      </c>
      <c r="E248" s="50">
        <f>78.70152049808*Deflactores!$U$5</f>
        <v>120.20366445573435</v>
      </c>
      <c r="F248" s="50">
        <f>47.942235419*Deflactores!$V$5</f>
        <v>69.327685507295115</v>
      </c>
      <c r="G248" s="50">
        <f>105.647963472*Deflactores!$W$5</f>
        <v>135.05484062341</v>
      </c>
      <c r="H248" s="50">
        <f>119.955067789*Deflactores!$X$5</f>
        <v>140.32237903411311</v>
      </c>
      <c r="I248" s="50">
        <f>98.1743662298*Deflactores!$Y$5</f>
        <v>109.16683144966882</v>
      </c>
      <c r="J248" s="50">
        <f>148.973050154*Deflactores!$Z$5</f>
        <v>157.61348706293199</v>
      </c>
      <c r="K248" s="50">
        <f>2.82655255*Deflactores!$AA$5</f>
        <v>2.8265525500000002</v>
      </c>
    </row>
    <row r="249" spans="3:11" x14ac:dyDescent="0.2">
      <c r="C249" s="87" t="s">
        <v>146</v>
      </c>
      <c r="D249" s="42">
        <f>33.60684902011*Deflactores!$T$5</f>
        <v>52.155345997625432</v>
      </c>
      <c r="E249" s="42">
        <f>37.69416342996*Deflactores!$U$5</f>
        <v>57.57165229082279</v>
      </c>
      <c r="F249" s="42">
        <f>53.11331817313*Deflactores!$V$5</f>
        <v>76.805417736035636</v>
      </c>
      <c r="G249" s="42">
        <f>48.45713720763*Deflactores!$W$5</f>
        <v>61.945074259549187</v>
      </c>
      <c r="H249" s="42">
        <f>66.19232723216*Deflactores!$X$5</f>
        <v>77.431199883602972</v>
      </c>
      <c r="I249" s="42">
        <f>29.25509856256*Deflactores!$Y$5</f>
        <v>32.530756616720787</v>
      </c>
      <c r="J249" s="42">
        <f>15.25847688394*Deflactores!$Z$5</f>
        <v>16.14346854320852</v>
      </c>
      <c r="K249" s="42">
        <f>0.041533331*Deflactores!$AA$5</f>
        <v>4.1533331E-2</v>
      </c>
    </row>
    <row r="250" spans="3:11" x14ac:dyDescent="0.2">
      <c r="C250" s="88" t="s">
        <v>162</v>
      </c>
      <c r="D250" s="50">
        <f>497.85164759372*Deflactores!$T$5</f>
        <v>772.62896382224903</v>
      </c>
      <c r="E250" s="50">
        <f>544.57065222106*Deflactores!$U$5</f>
        <v>831.7423543757028</v>
      </c>
      <c r="F250" s="50">
        <f>683.87962904999*Deflactores!$V$5</f>
        <v>988.93577725901298</v>
      </c>
      <c r="G250" s="50">
        <f>935.052207824839*Deflactores!$W$5</f>
        <v>1195.3219234161602</v>
      </c>
      <c r="H250" s="50">
        <f>1264.38755484838*Deflactores!$X$5</f>
        <v>1479.0693964637951</v>
      </c>
      <c r="I250" s="50">
        <f>798.35743606098*Deflactores!$Y$5</f>
        <v>887.74855398662964</v>
      </c>
      <c r="J250" s="50">
        <f>790.64797548967*Deflactores!$Z$5</f>
        <v>836.50555806807085</v>
      </c>
      <c r="K250" s="50">
        <f>88.2335581512399*Deflactores!$AA$5</f>
        <v>88.233558151239905</v>
      </c>
    </row>
    <row r="251" spans="3:11" x14ac:dyDescent="0.2">
      <c r="C251" s="87" t="s">
        <v>148</v>
      </c>
      <c r="D251" s="42">
        <f>92.63155866232*Deflactores!$T$5</f>
        <v>143.75733319841078</v>
      </c>
      <c r="E251" s="42">
        <f>138.628278518*Deflactores!$U$5</f>
        <v>211.73195853897491</v>
      </c>
      <c r="F251" s="42">
        <f>178.78469355741*Deflactores!$V$5</f>
        <v>258.53464904463118</v>
      </c>
      <c r="G251" s="42">
        <f>218.56945861701*Deflactores!$W$5</f>
        <v>279.40778438657469</v>
      </c>
      <c r="H251" s="42">
        <f>206.08951802692*Deflactores!$X$5</f>
        <v>241.08169831056571</v>
      </c>
      <c r="I251" s="42">
        <f>193.75256609657*Deflactores!$Y$5</f>
        <v>215.44680692407422</v>
      </c>
      <c r="J251" s="42">
        <f>207.06352164687*Deflactores!$Z$5</f>
        <v>219.07320590238845</v>
      </c>
      <c r="K251" s="42">
        <f>54.36599209797*Deflactores!$AA$5</f>
        <v>54.36599209797</v>
      </c>
    </row>
    <row r="252" spans="3:11" x14ac:dyDescent="0.2">
      <c r="C252" s="88" t="s">
        <v>149</v>
      </c>
      <c r="D252" s="50">
        <f>13.78380147429*Deflactores!$T$5</f>
        <v>21.391441209617501</v>
      </c>
      <c r="E252" s="50">
        <f>0*Deflactores!$U$5</f>
        <v>0</v>
      </c>
      <c r="F252" s="50">
        <f>0*Deflactores!$V$5</f>
        <v>0</v>
      </c>
      <c r="G252" s="50">
        <f>0*Deflactores!$W$5</f>
        <v>0</v>
      </c>
      <c r="H252" s="50">
        <f>0*Deflactores!$X$5</f>
        <v>0</v>
      </c>
      <c r="I252" s="50">
        <f>169.88984203201*Deflactores!$Y$5</f>
        <v>188.91220246543045</v>
      </c>
      <c r="J252" s="50">
        <f>343.77604554727*Deflactores!$Z$5</f>
        <v>363.71505618901165</v>
      </c>
      <c r="K252" s="50">
        <f>0*Deflactores!$AA$5</f>
        <v>0</v>
      </c>
    </row>
    <row r="253" spans="3:11" x14ac:dyDescent="0.2">
      <c r="C253" s="87" t="s">
        <v>163</v>
      </c>
      <c r="D253" s="42">
        <f>3362.79547808916*Deflactores!$T$5</f>
        <v>5218.8100578557696</v>
      </c>
      <c r="E253" s="42">
        <f>3689.07330769045*Deflactores!$U$5</f>
        <v>5634.4544199885822</v>
      </c>
      <c r="F253" s="42">
        <f>2215.35846565099*Deflactores!$V$5</f>
        <v>3203.5568147852387</v>
      </c>
      <c r="G253" s="42">
        <f>2472.53556331318*Deflactores!$W$5</f>
        <v>3160.7603730806991</v>
      </c>
      <c r="H253" s="42">
        <f>2535.73110195576*Deflactores!$X$5</f>
        <v>2966.2758512471496</v>
      </c>
      <c r="I253" s="42">
        <f>2769.65734363743*Deflactores!$Y$5</f>
        <v>3079.7725314413851</v>
      </c>
      <c r="J253" s="42">
        <f>2821.97246031024*Deflactores!$Z$5</f>
        <v>2985.646863008234</v>
      </c>
      <c r="K253" s="42">
        <f>644.684565614029*Deflactores!$AA$5</f>
        <v>644.684565614029</v>
      </c>
    </row>
    <row r="254" spans="3:11" x14ac:dyDescent="0.2">
      <c r="C254" s="88" t="s">
        <v>150</v>
      </c>
      <c r="D254" s="50">
        <f>3541.84660173827*Deflactores!$T$5</f>
        <v>5496.6841691595364</v>
      </c>
      <c r="E254" s="50">
        <f>4019.94497807177*Deflactores!$U$5</f>
        <v>6139.8066291037139</v>
      </c>
      <c r="F254" s="50">
        <f>6321.60810004545*Deflactores!$V$5</f>
        <v>9141.4689872102299</v>
      </c>
      <c r="G254" s="50">
        <f>6797.77927606223*Deflactores!$W$5</f>
        <v>8689.9261145248838</v>
      </c>
      <c r="H254" s="50">
        <f>7707.14003677219*Deflactores!$X$5</f>
        <v>9015.7443569725438</v>
      </c>
      <c r="I254" s="50">
        <f>3302.96941455801*Deflactores!$Y$5</f>
        <v>3672.7989108527208</v>
      </c>
      <c r="J254" s="50">
        <f>2410.10714519478*Deflactores!$Z$5</f>
        <v>2549.8933596160773</v>
      </c>
      <c r="K254" s="50">
        <f>1001.03104020847*Deflactores!$AA$5</f>
        <v>1001.03104020847</v>
      </c>
    </row>
    <row r="255" spans="3:11" x14ac:dyDescent="0.2">
      <c r="C255" s="87" t="s">
        <v>151</v>
      </c>
      <c r="D255" s="42">
        <f>685.72883814402*Deflactores!$T$5</f>
        <v>1064.2004786747482</v>
      </c>
      <c r="E255" s="42">
        <f>985.788235944099*Deflactores!$U$5</f>
        <v>1505.6298479103154</v>
      </c>
      <c r="F255" s="42">
        <f>1911.31594845107*Deflactores!$V$5</f>
        <v>2763.890957966873</v>
      </c>
      <c r="G255" s="42">
        <f>2029.19921821926*Deflactores!$W$5</f>
        <v>2594.0223360991049</v>
      </c>
      <c r="H255" s="42">
        <f>2048.35031908934*Deflactores!$X$5</f>
        <v>2396.1421152750868</v>
      </c>
      <c r="I255" s="42">
        <f>1612.91081893585*Deflactores!$Y$5</f>
        <v>1793.5064953917752</v>
      </c>
      <c r="J255" s="42">
        <f>1474.55170074259*Deflactores!$Z$5</f>
        <v>1560.0756993856603</v>
      </c>
      <c r="K255" s="42">
        <f>190.817546404889*Deflactores!$AA$5</f>
        <v>190.81754640488899</v>
      </c>
    </row>
    <row r="256" spans="3:11" x14ac:dyDescent="0.2">
      <c r="C256" s="79" t="s">
        <v>202</v>
      </c>
      <c r="D256" s="44">
        <f>+SUM(D225:D255)</f>
        <v>38654.291866327076</v>
      </c>
      <c r="E256" s="44">
        <f>+SUM(E225:E255)</f>
        <v>43466.207000791095</v>
      </c>
      <c r="F256" s="44">
        <f>+SUM(F225:F255)</f>
        <v>54908.997468980429</v>
      </c>
      <c r="G256" s="44">
        <f>+SUM(G225:G255)</f>
        <v>60165.18650564635</v>
      </c>
      <c r="H256" s="44">
        <f>+SUM(H225:H255)</f>
        <v>59497.633709408525</v>
      </c>
      <c r="I256" s="44">
        <f>41047.5022231425*Deflactores!$Y$5</f>
        <v>45643.541473288635</v>
      </c>
      <c r="J256" s="44">
        <f>SUM(J225:J255)</f>
        <v>41750.209533874746</v>
      </c>
      <c r="K256" s="44">
        <f>SUM(K225:K255)</f>
        <v>12635.826636580645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abril</v>
      </c>
      <c r="D257" s="121">
        <f>+D256-'C6 Ejec. Nac 19-26'!D130</f>
        <v>0</v>
      </c>
      <c r="E257" s="121">
        <f>+E256-'C6 Ejec. Nac 19-26'!E130</f>
        <v>7.2759576141834259E-11</v>
      </c>
      <c r="F257" s="121">
        <f>+F256-'C6 Ejec. Nac 19-26'!F130</f>
        <v>9.4587448984384537E-11</v>
      </c>
      <c r="G257" s="121">
        <f>+G256-'C6 Ejec. Nac 19-26'!G130</f>
        <v>-8.0035533756017685E-11</v>
      </c>
      <c r="H257" s="121">
        <f>+H256-'C6 Ejec. Nac 19-26'!H130</f>
        <v>0</v>
      </c>
      <c r="I257" s="121">
        <f>+I256-'C6 Ejec. Nac 19-26'!I130</f>
        <v>0</v>
      </c>
      <c r="J257" s="121">
        <f>+J256-'C6 Ejec. Nac 19-26'!J130</f>
        <v>0</v>
      </c>
      <c r="K257" s="121">
        <f>+K256-'C6 Ejec. Nac 19-26'!K130</f>
        <v>4.5474735088646412E-11</v>
      </c>
    </row>
    <row r="258" spans="1:11" x14ac:dyDescent="0.2">
      <c r="C258" s="1" t="s">
        <v>52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1" t="s">
        <v>216</v>
      </c>
      <c r="E262" s="131"/>
      <c r="F262" s="131"/>
      <c r="G262" s="131"/>
      <c r="H262" s="131"/>
      <c r="I262" s="131"/>
      <c r="J262" s="131"/>
      <c r="K262" s="131"/>
    </row>
    <row r="263" spans="1:11" ht="11.25" hidden="1" customHeight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76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10</v>
      </c>
    </row>
    <row r="266" spans="1:11" ht="12" customHeight="1" thickBot="1" x14ac:dyDescent="0.25">
      <c r="C266" s="160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1">+IFERROR(IF(D225&gt;0,+((D225/D15)*100)," "),"")</f>
        <v>56.69287763372246</v>
      </c>
      <c r="E267" s="47">
        <f t="shared" si="11"/>
        <v>74.985879727803777</v>
      </c>
      <c r="F267" s="47">
        <f t="shared" si="11"/>
        <v>74.185530228020852</v>
      </c>
      <c r="G267" s="47">
        <f t="shared" si="11"/>
        <v>65.987518118332403</v>
      </c>
      <c r="H267" s="47">
        <f t="shared" si="11"/>
        <v>73.611250524850917</v>
      </c>
      <c r="I267" s="47">
        <f t="shared" si="11"/>
        <v>31.799031706003351</v>
      </c>
      <c r="J267" s="47">
        <f t="shared" si="11"/>
        <v>52.247960642374856</v>
      </c>
      <c r="K267" s="47">
        <f t="shared" si="11"/>
        <v>9.6695041504030144</v>
      </c>
    </row>
    <row r="268" spans="1:11" x14ac:dyDescent="0.2">
      <c r="C268" s="88" t="s">
        <v>124</v>
      </c>
      <c r="D268" s="116">
        <f t="shared" si="11"/>
        <v>76.101979546075356</v>
      </c>
      <c r="E268" s="116">
        <f t="shared" si="11"/>
        <v>57.22290781757998</v>
      </c>
      <c r="F268" s="116">
        <f t="shared" si="11"/>
        <v>46.609289975867156</v>
      </c>
      <c r="G268" s="116">
        <f t="shared" si="11"/>
        <v>42.366509500881655</v>
      </c>
      <c r="H268" s="116">
        <f t="shared" si="11"/>
        <v>28.52195372810008</v>
      </c>
      <c r="I268" s="116">
        <f t="shared" si="11"/>
        <v>31.721958902866149</v>
      </c>
      <c r="J268" s="116">
        <f t="shared" si="11"/>
        <v>62.353139972194086</v>
      </c>
      <c r="K268" s="116">
        <f t="shared" si="11"/>
        <v>7.4113507562029488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86.641915716549391</v>
      </c>
      <c r="G269" s="47">
        <f t="shared" si="11"/>
        <v>87.814711001104428</v>
      </c>
      <c r="H269" s="47">
        <f t="shared" si="11"/>
        <v>64.230697522473037</v>
      </c>
      <c r="I269" s="47">
        <f t="shared" si="11"/>
        <v>86.419740850164658</v>
      </c>
      <c r="J269" s="47">
        <f t="shared" si="11"/>
        <v>92.284332065112267</v>
      </c>
      <c r="K269" s="47">
        <f t="shared" si="11"/>
        <v>4.0003195525722051</v>
      </c>
    </row>
    <row r="270" spans="1:11" x14ac:dyDescent="0.2">
      <c r="C270" s="88" t="s">
        <v>126</v>
      </c>
      <c r="D270" s="116">
        <f t="shared" si="11"/>
        <v>60.315594633742855</v>
      </c>
      <c r="E270" s="116">
        <f t="shared" si="11"/>
        <v>39.390355498752996</v>
      </c>
      <c r="F270" s="116">
        <f t="shared" si="11"/>
        <v>31.950473056271296</v>
      </c>
      <c r="G270" s="116">
        <f t="shared" si="11"/>
        <v>46.678729356533481</v>
      </c>
      <c r="H270" s="116">
        <f t="shared" si="11"/>
        <v>37.019171797381567</v>
      </c>
      <c r="I270" s="116">
        <f t="shared" si="11"/>
        <v>26.932818771953571</v>
      </c>
      <c r="J270" s="116">
        <f t="shared" si="11"/>
        <v>68.543970314246707</v>
      </c>
      <c r="K270" s="116">
        <f t="shared" si="11"/>
        <v>23.632830256958222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76.953282922668251</v>
      </c>
      <c r="F271" s="47">
        <f t="shared" si="11"/>
        <v>88.640414545997615</v>
      </c>
      <c r="G271" s="47">
        <f t="shared" si="11"/>
        <v>64.779039574677881</v>
      </c>
      <c r="H271" s="47">
        <f t="shared" si="11"/>
        <v>63.80910053912725</v>
      </c>
      <c r="I271" s="47">
        <f t="shared" si="11"/>
        <v>56.441684268863114</v>
      </c>
      <c r="J271" s="47">
        <f t="shared" si="11"/>
        <v>71.948912043500002</v>
      </c>
      <c r="K271" s="47">
        <f t="shared" si="11"/>
        <v>24.417904304979999</v>
      </c>
    </row>
    <row r="272" spans="1:11" x14ac:dyDescent="0.2">
      <c r="C272" s="88" t="s">
        <v>128</v>
      </c>
      <c r="D272" s="116">
        <f t="shared" si="11"/>
        <v>90.395502013768834</v>
      </c>
      <c r="E272" s="116">
        <f t="shared" si="11"/>
        <v>90.534988791876231</v>
      </c>
      <c r="F272" s="116">
        <f t="shared" si="11"/>
        <v>74.576350554023335</v>
      </c>
      <c r="G272" s="116">
        <f t="shared" si="11"/>
        <v>71.907055436076973</v>
      </c>
      <c r="H272" s="116">
        <f t="shared" si="11"/>
        <v>65.410451217766166</v>
      </c>
      <c r="I272" s="116">
        <f t="shared" si="11"/>
        <v>54.466932117023561</v>
      </c>
      <c r="J272" s="116">
        <f t="shared" si="11"/>
        <v>54.150820935141077</v>
      </c>
      <c r="K272" s="116">
        <f t="shared" si="11"/>
        <v>12.485160057050205</v>
      </c>
    </row>
    <row r="273" spans="3:11" x14ac:dyDescent="0.2">
      <c r="C273" s="87" t="s">
        <v>129</v>
      </c>
      <c r="D273" s="47">
        <f t="shared" si="11"/>
        <v>62.251221497742861</v>
      </c>
      <c r="E273" s="47">
        <f t="shared" si="11"/>
        <v>73.685350417669838</v>
      </c>
      <c r="F273" s="47">
        <f t="shared" si="11"/>
        <v>70.784662450372608</v>
      </c>
      <c r="G273" s="47">
        <f t="shared" si="11"/>
        <v>64.467980543914337</v>
      </c>
      <c r="H273" s="47">
        <f t="shared" si="11"/>
        <v>67.471023255468182</v>
      </c>
      <c r="I273" s="47">
        <f t="shared" si="11"/>
        <v>35.163572729976792</v>
      </c>
      <c r="J273" s="47">
        <f t="shared" si="11"/>
        <v>39.139573440736733</v>
      </c>
      <c r="K273" s="47">
        <f t="shared" si="11"/>
        <v>8.4847464794496545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48.343622959020365</v>
      </c>
      <c r="F274" s="116">
        <f t="shared" si="11"/>
        <v>87.347860989701573</v>
      </c>
      <c r="G274" s="116">
        <f t="shared" si="11"/>
        <v>60.024088483070983</v>
      </c>
      <c r="H274" s="116">
        <f t="shared" si="11"/>
        <v>57.506390153402961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28.340551361798472</v>
      </c>
    </row>
    <row r="275" spans="3:11" x14ac:dyDescent="0.2">
      <c r="C275" s="87" t="s">
        <v>131</v>
      </c>
      <c r="D275" s="47">
        <f t="shared" si="11"/>
        <v>89.214974959269838</v>
      </c>
      <c r="E275" s="47">
        <f t="shared" si="11"/>
        <v>99.183581277330461</v>
      </c>
      <c r="F275" s="47">
        <f t="shared" si="11"/>
        <v>99.315469814289216</v>
      </c>
      <c r="G275" s="47">
        <f t="shared" si="11"/>
        <v>98.817690944733684</v>
      </c>
      <c r="H275" s="47">
        <f t="shared" si="11"/>
        <v>91.122801700993136</v>
      </c>
      <c r="I275" s="47">
        <f t="shared" si="11"/>
        <v>69.848094729288107</v>
      </c>
      <c r="J275" s="47">
        <f t="shared" si="11"/>
        <v>90.36234515074878</v>
      </c>
      <c r="K275" s="47">
        <f t="shared" si="11"/>
        <v>24.524192080349547</v>
      </c>
    </row>
    <row r="276" spans="3:11" x14ac:dyDescent="0.2">
      <c r="C276" s="88" t="s">
        <v>132</v>
      </c>
      <c r="D276" s="116">
        <f t="shared" si="11"/>
        <v>87.006402144240624</v>
      </c>
      <c r="E276" s="116">
        <f t="shared" si="11"/>
        <v>87.215560036868027</v>
      </c>
      <c r="F276" s="116">
        <f t="shared" si="11"/>
        <v>91.887866749782205</v>
      </c>
      <c r="G276" s="116">
        <f t="shared" si="11"/>
        <v>82.826578520765949</v>
      </c>
      <c r="H276" s="116">
        <f t="shared" si="11"/>
        <v>78.700998203278999</v>
      </c>
      <c r="I276" s="116">
        <f t="shared" si="11"/>
        <v>88.589268906237862</v>
      </c>
      <c r="J276" s="116">
        <f t="shared" si="11"/>
        <v>91.867815776522846</v>
      </c>
      <c r="K276" s="116">
        <f t="shared" si="11"/>
        <v>22.614881523538386</v>
      </c>
    </row>
    <row r="277" spans="3:11" x14ac:dyDescent="0.2">
      <c r="C277" s="87" t="s">
        <v>133</v>
      </c>
      <c r="D277" s="47">
        <f t="shared" ref="D277:K286" si="12">+IFERROR(IF(D235&gt;0,+((D235/D25)*100)," "),"")</f>
        <v>63.327830078501179</v>
      </c>
      <c r="E277" s="47">
        <f t="shared" si="12"/>
        <v>67.179491177873658</v>
      </c>
      <c r="F277" s="47">
        <f t="shared" si="12"/>
        <v>85.763502102745278</v>
      </c>
      <c r="G277" s="47">
        <f t="shared" si="12"/>
        <v>82.118531966447506</v>
      </c>
      <c r="H277" s="47">
        <f t="shared" si="12"/>
        <v>72.17580669206211</v>
      </c>
      <c r="I277" s="47">
        <f t="shared" si="12"/>
        <v>67.601813938667419</v>
      </c>
      <c r="J277" s="47">
        <f t="shared" si="12"/>
        <v>59.544962143906368</v>
      </c>
      <c r="K277" s="47">
        <f t="shared" si="12"/>
        <v>2.117536160848871</v>
      </c>
    </row>
    <row r="278" spans="3:11" x14ac:dyDescent="0.2">
      <c r="C278" s="88" t="s">
        <v>134</v>
      </c>
      <c r="D278" s="116">
        <f t="shared" si="12"/>
        <v>28.302922624633602</v>
      </c>
      <c r="E278" s="116">
        <f t="shared" si="12"/>
        <v>28.965289418083195</v>
      </c>
      <c r="F278" s="116">
        <f t="shared" si="12"/>
        <v>34.863476678449743</v>
      </c>
      <c r="G278" s="116">
        <f t="shared" si="12"/>
        <v>37.618440903191235</v>
      </c>
      <c r="H278" s="116">
        <f t="shared" si="12"/>
        <v>21.737746883161403</v>
      </c>
      <c r="I278" s="116">
        <f t="shared" si="12"/>
        <v>29.161929692422099</v>
      </c>
      <c r="J278" s="116">
        <f t="shared" si="12"/>
        <v>23.27023962965621</v>
      </c>
      <c r="K278" s="116">
        <f t="shared" si="12"/>
        <v>12.062461450080184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90.905842465813748</v>
      </c>
      <c r="J279" s="47">
        <f t="shared" si="12"/>
        <v>93.333672087077801</v>
      </c>
      <c r="K279" s="47">
        <f t="shared" si="12"/>
        <v>30.6188567967992</v>
      </c>
    </row>
    <row r="280" spans="3:11" x14ac:dyDescent="0.2">
      <c r="C280" s="88" t="s">
        <v>136</v>
      </c>
      <c r="D280" s="116">
        <f t="shared" si="12"/>
        <v>87.068605113396131</v>
      </c>
      <c r="E280" s="116">
        <f t="shared" si="12"/>
        <v>96.284817996707218</v>
      </c>
      <c r="F280" s="116">
        <f t="shared" si="12"/>
        <v>88.885528717601744</v>
      </c>
      <c r="G280" s="116">
        <f t="shared" si="12"/>
        <v>96.769790675138808</v>
      </c>
      <c r="H280" s="116">
        <f t="shared" si="12"/>
        <v>87.903394424832157</v>
      </c>
      <c r="I280" s="116">
        <f t="shared" si="12"/>
        <v>75.376124026061547</v>
      </c>
      <c r="J280" s="116">
        <f t="shared" si="12"/>
        <v>77.110985832072927</v>
      </c>
      <c r="K280" s="116">
        <f t="shared" si="12"/>
        <v>23.789983057880526</v>
      </c>
    </row>
    <row r="281" spans="3:11" x14ac:dyDescent="0.2">
      <c r="C281" s="87" t="s">
        <v>137</v>
      </c>
      <c r="D281" s="47">
        <f t="shared" si="12"/>
        <v>85.154749256157032</v>
      </c>
      <c r="E281" s="47">
        <f t="shared" si="12"/>
        <v>83.87922311842479</v>
      </c>
      <c r="F281" s="47">
        <f t="shared" si="12"/>
        <v>58.214490884281958</v>
      </c>
      <c r="G281" s="47">
        <f t="shared" si="12"/>
        <v>50.957257639664086</v>
      </c>
      <c r="H281" s="47">
        <f t="shared" si="12"/>
        <v>45.400322288579062</v>
      </c>
      <c r="I281" s="47">
        <f t="shared" si="12"/>
        <v>54.434222755224425</v>
      </c>
      <c r="J281" s="47">
        <f t="shared" si="12"/>
        <v>62.419318843383529</v>
      </c>
      <c r="K281" s="47">
        <f t="shared" si="12"/>
        <v>16.002574289702906</v>
      </c>
    </row>
    <row r="282" spans="3:11" x14ac:dyDescent="0.2">
      <c r="C282" s="88" t="s">
        <v>138</v>
      </c>
      <c r="D282" s="116">
        <f t="shared" si="12"/>
        <v>65.780091142444832</v>
      </c>
      <c r="E282" s="116">
        <f t="shared" si="12"/>
        <v>96.787518520749074</v>
      </c>
      <c r="F282" s="116">
        <f t="shared" si="12"/>
        <v>95.896709671133408</v>
      </c>
      <c r="G282" s="116">
        <f t="shared" si="12"/>
        <v>86.521347843125</v>
      </c>
      <c r="H282" s="116">
        <f t="shared" si="12"/>
        <v>67.52414958413793</v>
      </c>
      <c r="I282" s="116">
        <f t="shared" si="12"/>
        <v>40.323998133990543</v>
      </c>
      <c r="J282" s="116">
        <f t="shared" si="12"/>
        <v>43.415105868937651</v>
      </c>
      <c r="K282" s="116">
        <f t="shared" si="12"/>
        <v>18.794365600383578</v>
      </c>
    </row>
    <row r="283" spans="3:11" x14ac:dyDescent="0.2">
      <c r="C283" s="87" t="s">
        <v>160</v>
      </c>
      <c r="D283" s="47">
        <f t="shared" si="12"/>
        <v>56.83550515305155</v>
      </c>
      <c r="E283" s="47">
        <f t="shared" si="12"/>
        <v>83.77608800614766</v>
      </c>
      <c r="F283" s="47">
        <f t="shared" si="12"/>
        <v>84.94506324597188</v>
      </c>
      <c r="G283" s="47">
        <f t="shared" si="12"/>
        <v>67.238967150732591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48.494477660270455</v>
      </c>
      <c r="K283" s="47">
        <f t="shared" si="12"/>
        <v>4.4729433865412878</v>
      </c>
    </row>
    <row r="284" spans="3:11" x14ac:dyDescent="0.2">
      <c r="C284" s="88" t="s">
        <v>161</v>
      </c>
      <c r="D284" s="116">
        <f t="shared" si="12"/>
        <v>13.906610065708813</v>
      </c>
      <c r="E284" s="116">
        <f t="shared" si="12"/>
        <v>22.350720180879076</v>
      </c>
      <c r="F284" s="116">
        <f t="shared" si="12"/>
        <v>15.097566072576951</v>
      </c>
      <c r="G284" s="116">
        <f t="shared" si="12"/>
        <v>12.722444788632629</v>
      </c>
      <c r="H284" s="116">
        <f t="shared" si="12"/>
        <v>39.418266798576255</v>
      </c>
      <c r="I284" s="116">
        <f t="shared" si="12"/>
        <v>29.377057211685774</v>
      </c>
      <c r="J284" s="116">
        <f t="shared" si="12"/>
        <v>39.45323838789335</v>
      </c>
      <c r="K284" s="116">
        <f t="shared" si="12"/>
        <v>6.9889249751141955</v>
      </c>
    </row>
    <row r="285" spans="3:11" x14ac:dyDescent="0.2">
      <c r="C285" s="87" t="s">
        <v>140</v>
      </c>
      <c r="D285" s="47">
        <f t="shared" si="12"/>
        <v>82.542360530420865</v>
      </c>
      <c r="E285" s="47">
        <f t="shared" si="12"/>
        <v>87.426408273286</v>
      </c>
      <c r="F285" s="47">
        <f t="shared" si="12"/>
        <v>92.436079449290958</v>
      </c>
      <c r="G285" s="47">
        <f t="shared" si="12"/>
        <v>83.812571696720866</v>
      </c>
      <c r="H285" s="47">
        <f t="shared" si="12"/>
        <v>89.261125705001959</v>
      </c>
      <c r="I285" s="47">
        <f t="shared" si="12"/>
        <v>58.289397876446749</v>
      </c>
      <c r="J285" s="47">
        <f t="shared" si="12"/>
        <v>66.707968392251843</v>
      </c>
      <c r="K285" s="47">
        <f t="shared" si="12"/>
        <v>25.975134407182466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62.135277209440495</v>
      </c>
      <c r="F286" s="116">
        <f t="shared" si="12"/>
        <v>41.482779756104485</v>
      </c>
      <c r="G286" s="116">
        <f t="shared" si="12"/>
        <v>39.365620770265444</v>
      </c>
      <c r="H286" s="116">
        <f t="shared" si="12"/>
        <v>51.103650345418139</v>
      </c>
      <c r="I286" s="116">
        <f t="shared" si="12"/>
        <v>66.91512524811489</v>
      </c>
      <c r="J286" s="116">
        <f t="shared" si="12"/>
        <v>60.255445725605561</v>
      </c>
      <c r="K286" s="116">
        <f t="shared" si="12"/>
        <v>7.8344235192569345</v>
      </c>
    </row>
    <row r="287" spans="3:11" x14ac:dyDescent="0.2">
      <c r="C287" s="87" t="s">
        <v>142</v>
      </c>
      <c r="D287" s="47">
        <f t="shared" ref="D287:K296" si="13">+IFERROR(IF(D245&gt;0,+((D245/D35)*100)," "),"")</f>
        <v>50.930220218244507</v>
      </c>
      <c r="E287" s="47">
        <f t="shared" si="13"/>
        <v>60.398709651208982</v>
      </c>
      <c r="F287" s="47">
        <f t="shared" si="13"/>
        <v>65.360918415580571</v>
      </c>
      <c r="G287" s="47">
        <f t="shared" si="13"/>
        <v>21.258421596421233</v>
      </c>
      <c r="H287" s="47">
        <f t="shared" si="13"/>
        <v>25.627968575011717</v>
      </c>
      <c r="I287" s="47">
        <f t="shared" si="13"/>
        <v>38.12850214095743</v>
      </c>
      <c r="J287" s="47">
        <f t="shared" si="13"/>
        <v>40.021137777574076</v>
      </c>
      <c r="K287" s="47">
        <f t="shared" si="13"/>
        <v>4.4771246228441335</v>
      </c>
    </row>
    <row r="288" spans="3:11" x14ac:dyDescent="0.2">
      <c r="C288" s="88" t="s">
        <v>143</v>
      </c>
      <c r="D288" s="116">
        <f t="shared" si="13"/>
        <v>31.906379668820676</v>
      </c>
      <c r="E288" s="116">
        <f t="shared" si="13"/>
        <v>13.991069978264317</v>
      </c>
      <c r="F288" s="116">
        <f t="shared" si="13"/>
        <v>13.993197569815202</v>
      </c>
      <c r="G288" s="116">
        <f t="shared" si="13"/>
        <v>17.415286394755704</v>
      </c>
      <c r="H288" s="116">
        <f t="shared" si="13"/>
        <v>5.9866652831915879</v>
      </c>
      <c r="I288" s="116">
        <f t="shared" si="13"/>
        <v>11.76036807739048</v>
      </c>
      <c r="J288" s="116">
        <f t="shared" si="13"/>
        <v>68.986665237701644</v>
      </c>
      <c r="K288" s="116">
        <f t="shared" si="13"/>
        <v>9.372302047336655</v>
      </c>
    </row>
    <row r="289" spans="1:11" x14ac:dyDescent="0.2">
      <c r="C289" s="87" t="s">
        <v>144</v>
      </c>
      <c r="D289" s="47">
        <f t="shared" si="13"/>
        <v>24.927490100548255</v>
      </c>
      <c r="E289" s="47">
        <f t="shared" si="13"/>
        <v>42.510077648409563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43.476709810820424</v>
      </c>
      <c r="I289" s="47">
        <f t="shared" si="13"/>
        <v>24.07086541293479</v>
      </c>
      <c r="J289" s="47">
        <f t="shared" si="13"/>
        <v>33.115923985172103</v>
      </c>
      <c r="K289" s="47">
        <f t="shared" si="13"/>
        <v>1.7212289405229353</v>
      </c>
    </row>
    <row r="290" spans="1:11" x14ac:dyDescent="0.2">
      <c r="C290" s="88" t="s">
        <v>145</v>
      </c>
      <c r="D290" s="116">
        <f t="shared" si="13"/>
        <v>77.593573499428175</v>
      </c>
      <c r="E290" s="116">
        <f t="shared" si="13"/>
        <v>66.827689842476218</v>
      </c>
      <c r="F290" s="116">
        <f t="shared" si="13"/>
        <v>73.091321721059472</v>
      </c>
      <c r="G290" s="116">
        <f t="shared" si="13"/>
        <v>69.195736311600726</v>
      </c>
      <c r="H290" s="116">
        <f t="shared" si="13"/>
        <v>49.208243214048068</v>
      </c>
      <c r="I290" s="116">
        <f t="shared" si="13"/>
        <v>52.527247887626316</v>
      </c>
      <c r="J290" s="116">
        <f t="shared" si="13"/>
        <v>84.5154906177398</v>
      </c>
      <c r="K290" s="116">
        <f t="shared" si="13"/>
        <v>1.2512405701688274</v>
      </c>
    </row>
    <row r="291" spans="1:11" x14ac:dyDescent="0.2">
      <c r="C291" s="87" t="s">
        <v>146</v>
      </c>
      <c r="D291" s="47">
        <f t="shared" si="13"/>
        <v>83.296354752902417</v>
      </c>
      <c r="E291" s="47">
        <f t="shared" si="13"/>
        <v>87.881182597579567</v>
      </c>
      <c r="F291" s="47">
        <f t="shared" si="13"/>
        <v>75.023032743336998</v>
      </c>
      <c r="G291" s="47">
        <f t="shared" si="13"/>
        <v>64.721299523473292</v>
      </c>
      <c r="H291" s="47">
        <f t="shared" si="13"/>
        <v>75.329438675977457</v>
      </c>
      <c r="I291" s="47">
        <f t="shared" si="13"/>
        <v>77.753661946909233</v>
      </c>
      <c r="J291" s="47">
        <f t="shared" si="13"/>
        <v>80.191549628747666</v>
      </c>
      <c r="K291" s="47">
        <f t="shared" si="13"/>
        <v>0.41533331000000001</v>
      </c>
    </row>
    <row r="292" spans="1:11" x14ac:dyDescent="0.2">
      <c r="C292" s="88" t="s">
        <v>162</v>
      </c>
      <c r="D292" s="116">
        <f t="shared" si="13"/>
        <v>93.324512226477623</v>
      </c>
      <c r="E292" s="116">
        <f t="shared" si="13"/>
        <v>92.752002378373319</v>
      </c>
      <c r="F292" s="116">
        <f t="shared" si="13"/>
        <v>91.359087711646808</v>
      </c>
      <c r="G292" s="116">
        <f t="shared" si="13"/>
        <v>91.197299391529071</v>
      </c>
      <c r="H292" s="116">
        <f t="shared" si="13"/>
        <v>65.000696294133746</v>
      </c>
      <c r="I292" s="116">
        <f t="shared" si="13"/>
        <v>42.607854101413608</v>
      </c>
      <c r="J292" s="116">
        <f t="shared" si="13"/>
        <v>39.979790212916335</v>
      </c>
      <c r="K292" s="116">
        <f t="shared" si="13"/>
        <v>3.3518188706163978</v>
      </c>
    </row>
    <row r="293" spans="1:11" x14ac:dyDescent="0.2">
      <c r="C293" s="87" t="s">
        <v>148</v>
      </c>
      <c r="D293" s="47">
        <f t="shared" si="13"/>
        <v>61.503990634634008</v>
      </c>
      <c r="E293" s="47">
        <f t="shared" si="13"/>
        <v>77.892443986985612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78.260160187165084</v>
      </c>
      <c r="K293" s="47">
        <f t="shared" si="13"/>
        <v>20.454160190399502</v>
      </c>
    </row>
    <row r="294" spans="1:11" x14ac:dyDescent="0.2">
      <c r="C294" s="88" t="s">
        <v>149</v>
      </c>
      <c r="D294" s="116">
        <f t="shared" si="13"/>
        <v>93.272441969752322</v>
      </c>
      <c r="E294" s="116" t="str">
        <f t="shared" si="13"/>
        <v xml:space="preserve"> </v>
      </c>
      <c r="F294" s="116" t="str">
        <f t="shared" si="13"/>
        <v xml:space="preserve"> </v>
      </c>
      <c r="G294" s="116" t="str">
        <f t="shared" si="13"/>
        <v xml:space="preserve"> </v>
      </c>
      <c r="H294" s="116" t="str">
        <f t="shared" si="13"/>
        <v xml:space="preserve"> </v>
      </c>
      <c r="I294" s="116">
        <f t="shared" si="13"/>
        <v>21.068993660244516</v>
      </c>
      <c r="J294" s="116">
        <f t="shared" si="13"/>
        <v>68.253558733810962</v>
      </c>
      <c r="K294" s="116" t="str">
        <f t="shared" si="13"/>
        <v xml:space="preserve"> </v>
      </c>
    </row>
    <row r="295" spans="1:11" x14ac:dyDescent="0.2">
      <c r="C295" s="87" t="s">
        <v>163</v>
      </c>
      <c r="D295" s="47">
        <f t="shared" si="13"/>
        <v>93.178431604728033</v>
      </c>
      <c r="E295" s="47">
        <f t="shared" si="13"/>
        <v>86.054060786404079</v>
      </c>
      <c r="F295" s="47">
        <f t="shared" si="13"/>
        <v>87.418899957082459</v>
      </c>
      <c r="G295" s="47">
        <f t="shared" si="13"/>
        <v>92.689758734790345</v>
      </c>
      <c r="H295" s="47">
        <f t="shared" si="13"/>
        <v>86.625995802440499</v>
      </c>
      <c r="I295" s="47">
        <f t="shared" si="13"/>
        <v>79.063428266112453</v>
      </c>
      <c r="J295" s="47">
        <f t="shared" si="13"/>
        <v>76.277756617073294</v>
      </c>
      <c r="K295" s="47">
        <f t="shared" si="13"/>
        <v>16.676460003832023</v>
      </c>
    </row>
    <row r="296" spans="1:11" x14ac:dyDescent="0.2">
      <c r="C296" s="88" t="s">
        <v>150</v>
      </c>
      <c r="D296" s="116">
        <f t="shared" si="13"/>
        <v>78.478986484195772</v>
      </c>
      <c r="E296" s="116">
        <f t="shared" si="13"/>
        <v>82.361918643258477</v>
      </c>
      <c r="F296" s="116">
        <f t="shared" si="13"/>
        <v>82.962088922490608</v>
      </c>
      <c r="G296" s="116">
        <f t="shared" si="13"/>
        <v>78.877450138099874</v>
      </c>
      <c r="H296" s="116">
        <f t="shared" si="13"/>
        <v>87.383356332558037</v>
      </c>
      <c r="I296" s="116">
        <f t="shared" si="13"/>
        <v>34.377882436805194</v>
      </c>
      <c r="J296" s="116">
        <f t="shared" si="13"/>
        <v>28.858089711567803</v>
      </c>
      <c r="K296" s="116">
        <f t="shared" si="13"/>
        <v>9.9984317282917043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35.043130369733944</v>
      </c>
      <c r="E297" s="47">
        <f t="shared" si="14"/>
        <v>49.38886877962959</v>
      </c>
      <c r="F297" s="47">
        <f t="shared" si="14"/>
        <v>59.113463610007642</v>
      </c>
      <c r="G297" s="47">
        <f t="shared" si="14"/>
        <v>64.106687541363399</v>
      </c>
      <c r="H297" s="47">
        <f t="shared" si="14"/>
        <v>40.898056392847579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7.4010462564236903</v>
      </c>
    </row>
    <row r="298" spans="1:11" x14ac:dyDescent="0.2">
      <c r="C298" s="91" t="s">
        <v>202</v>
      </c>
      <c r="D298" s="64">
        <f t="shared" si="14"/>
        <v>74.41852486291431</v>
      </c>
      <c r="E298" s="64">
        <f t="shared" si="14"/>
        <v>79.866324059770875</v>
      </c>
      <c r="F298" s="64">
        <f t="shared" si="14"/>
        <v>76.89994450615157</v>
      </c>
      <c r="G298" s="64">
        <f t="shared" si="14"/>
        <v>79.379013118099195</v>
      </c>
      <c r="H298" s="64">
        <f t="shared" si="14"/>
        <v>70.686081040817115</v>
      </c>
      <c r="I298" s="64">
        <f t="shared" si="14"/>
        <v>53.249195593317232</v>
      </c>
      <c r="J298" s="64">
        <f t="shared" si="14"/>
        <v>61.336696037690508</v>
      </c>
      <c r="K298" s="64">
        <f t="shared" si="14"/>
        <v>17.20182633489943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abril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A9:C9"/>
    <mergeCell ref="K13:K14"/>
    <mergeCell ref="D221:K221"/>
    <mergeCell ref="C13:C14"/>
    <mergeCell ref="C223:C224"/>
    <mergeCell ref="J13:J14"/>
    <mergeCell ref="I13:I14"/>
    <mergeCell ref="I223:I224"/>
    <mergeCell ref="C56:C57"/>
    <mergeCell ref="C140:C141"/>
    <mergeCell ref="C182:C183"/>
    <mergeCell ref="G182:G183"/>
    <mergeCell ref="I182:I183"/>
    <mergeCell ref="H265:H266"/>
    <mergeCell ref="E98:E99"/>
    <mergeCell ref="G98:G99"/>
    <mergeCell ref="H98:H99"/>
    <mergeCell ref="E182:E183"/>
    <mergeCell ref="F265:F266"/>
    <mergeCell ref="D138:K138"/>
    <mergeCell ref="D11:K11"/>
    <mergeCell ref="F140:F141"/>
    <mergeCell ref="K98:K99"/>
    <mergeCell ref="I8:I9"/>
    <mergeCell ref="K8:K9"/>
    <mergeCell ref="D13:D14"/>
    <mergeCell ref="D53:K53"/>
    <mergeCell ref="H140:H141"/>
    <mergeCell ref="J56:J57"/>
    <mergeCell ref="F56:F57"/>
    <mergeCell ref="H56:H57"/>
    <mergeCell ref="D265:D266"/>
    <mergeCell ref="J223:J224"/>
    <mergeCell ref="E56:E57"/>
    <mergeCell ref="G56:G57"/>
    <mergeCell ref="K265:K266"/>
    <mergeCell ref="I98:I99"/>
    <mergeCell ref="D182:D183"/>
    <mergeCell ref="F182:F183"/>
    <mergeCell ref="G140:G141"/>
    <mergeCell ref="I140:I141"/>
    <mergeCell ref="D56:D57"/>
    <mergeCell ref="F223:F224"/>
    <mergeCell ref="H223:H224"/>
    <mergeCell ref="K140:K141"/>
    <mergeCell ref="G265:G266"/>
    <mergeCell ref="I265:I266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E265:E266"/>
    <mergeCell ref="D140:D141"/>
    <mergeCell ref="E13:E14"/>
    <mergeCell ref="G13:G14"/>
    <mergeCell ref="D2:K4"/>
    <mergeCell ref="K182:K183"/>
    <mergeCell ref="K223:K224"/>
    <mergeCell ref="I56:I57"/>
    <mergeCell ref="K56:K57"/>
    <mergeCell ref="D223:D224"/>
    <mergeCell ref="E223:E224"/>
    <mergeCell ref="G223:G224"/>
    <mergeCell ref="E8:E9"/>
    <mergeCell ref="G8:G9"/>
    <mergeCell ref="E140:E141"/>
    <mergeCell ref="H182:H183"/>
    <mergeCell ref="J182:J183"/>
    <mergeCell ref="J98:J99"/>
    <mergeCell ref="D6:K6"/>
    <mergeCell ref="F8:F9"/>
  </mergeCells>
  <pageMargins left="0.7" right="0.7" top="0.75" bottom="0.75" header="0.3" footer="0.3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1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2" ht="19.5" customHeight="1" x14ac:dyDescent="0.2">
      <c r="A5" s="165" t="s">
        <v>217</v>
      </c>
      <c r="B5" s="156"/>
      <c r="C5" s="156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9.5" customHeight="1" x14ac:dyDescent="0.25">
      <c r="A6" s="175"/>
      <c r="B6" s="175"/>
      <c r="C6" s="175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102" customFormat="1" ht="16.5" customHeight="1" x14ac:dyDescent="0.25">
      <c r="A7" s="162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C9" s="9"/>
      <c r="D9" s="155" t="s">
        <v>218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76" t="s">
        <v>120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 t="s">
        <v>121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122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</row>
    <row r="12" spans="1:22" ht="9.9499999999999993" customHeight="1" thickBot="1" x14ac:dyDescent="0.25"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22" x14ac:dyDescent="0.2">
      <c r="C13" s="87" t="s">
        <v>123</v>
      </c>
      <c r="D13" s="56">
        <f>33.331471*Deflactores!$A$5</f>
        <v>124.11683101467193</v>
      </c>
      <c r="E13" s="56">
        <f>34.613984*Deflactores!$B$5</f>
        <v>119.73485555403981</v>
      </c>
      <c r="F13" s="56">
        <f>27.844483848*Deflactores!$C$5</f>
        <v>90.023837053621193</v>
      </c>
      <c r="G13" s="56">
        <f>23.411860299*Deflactores!$D$5</f>
        <v>71.078767927343605</v>
      </c>
      <c r="H13" s="56">
        <f>47.861377*Deflactores!$E$5</f>
        <v>137.73652360238918</v>
      </c>
      <c r="I13" s="56">
        <f>40.4865*Deflactores!$F$5</f>
        <v>111.11797866482685</v>
      </c>
      <c r="J13" s="56">
        <f>54.201210496*Deflactores!$G$5</f>
        <v>142.38310139440244</v>
      </c>
      <c r="K13" s="56">
        <f>57.4483*Deflactores!$H$5</f>
        <v>142.78231363748924</v>
      </c>
      <c r="L13" s="56">
        <f>57.189145*Deflactores!$I$5</f>
        <v>132.00746527137565</v>
      </c>
      <c r="M13" s="56">
        <f>63.021*Deflactores!$J$5</f>
        <v>142.61404850261846</v>
      </c>
      <c r="N13" s="56">
        <f>78.46622*Deflactores!$K$5</f>
        <v>172.1080463048302</v>
      </c>
      <c r="O13" s="56">
        <f>52.70064*Deflactores!$L$5</f>
        <v>111.4407004647768</v>
      </c>
      <c r="P13" s="56">
        <f>42.634344*Deflactores!$M$5</f>
        <v>88.007150394146436</v>
      </c>
      <c r="Q13" s="56">
        <f>58.195504556*Deflactores!$N$5</f>
        <v>117.84283519029682</v>
      </c>
      <c r="R13" s="56">
        <f>86.179999999*Deflactores!$O$5</f>
        <v>168.3484142972483</v>
      </c>
      <c r="S13" s="56">
        <f>66.1917*Deflactores!$P$5</f>
        <v>121.10353847026127</v>
      </c>
      <c r="T13" s="56">
        <f>35.208*Deflactores!$Q$5</f>
        <v>60.913601399424905</v>
      </c>
      <c r="U13" s="56">
        <f>43.457466664*Deflactores!$R$5</f>
        <v>72.231780237144605</v>
      </c>
      <c r="V13" s="56">
        <f>58.9141*Deflactores!$S$5</f>
        <v>94.904681720575596</v>
      </c>
    </row>
    <row r="14" spans="1:22" x14ac:dyDescent="0.2">
      <c r="C14" s="88" t="s">
        <v>124</v>
      </c>
      <c r="D14" s="57">
        <f>5.7083*Deflactores!$A$5</f>
        <v>21.256070771105538</v>
      </c>
      <c r="E14" s="57">
        <f>3.08*Deflactores!$B$5</f>
        <v>10.654172461235396</v>
      </c>
      <c r="F14" s="57">
        <f>8.724*Deflactores!$C$5</f>
        <v>28.205513118613702</v>
      </c>
      <c r="G14" s="57">
        <f>10.92674909*Deflactores!$D$5</f>
        <v>33.173778283718732</v>
      </c>
      <c r="H14" s="57">
        <f>14.9951*Deflactores!$E$5</f>
        <v>43.15322864760423</v>
      </c>
      <c r="I14" s="57">
        <f>11.939*Deflactores!$F$5</f>
        <v>32.767405117245694</v>
      </c>
      <c r="J14" s="57">
        <f>14.61965052*Deflactores!$G$5</f>
        <v>38.404883641731729</v>
      </c>
      <c r="K14" s="57">
        <f>24.214802963*Deflactores!$H$5</f>
        <v>60.183601452663872</v>
      </c>
      <c r="L14" s="57">
        <f>22.269*Deflactores!$I$5</f>
        <v>51.40266118908167</v>
      </c>
      <c r="M14" s="57">
        <f>25.026*Deflactores!$J$5</f>
        <v>56.63285536291918</v>
      </c>
      <c r="N14" s="57">
        <f>29.688*Deflactores!$K$5</f>
        <v>65.11774976158911</v>
      </c>
      <c r="O14" s="57">
        <f>43.024*Deflactores!$L$5</f>
        <v>90.978490902511936</v>
      </c>
      <c r="P14" s="57">
        <f>37.332*Deflactores!$M$5</f>
        <v>77.061885566112494</v>
      </c>
      <c r="Q14" s="57">
        <f>46.52*Deflactores!$N$5</f>
        <v>94.200552686631951</v>
      </c>
      <c r="R14" s="57">
        <f>41.743689985*Deflactores!$O$5</f>
        <v>81.544256393272448</v>
      </c>
      <c r="S14" s="57">
        <f>43.541125728*Deflactores!$P$5</f>
        <v>79.662320119279769</v>
      </c>
      <c r="T14" s="57">
        <f>59.258585483*Deflactores!$Q$5</f>
        <v>102.52368369703503</v>
      </c>
      <c r="U14" s="57">
        <f>71.188861712*Deflactores!$R$5</f>
        <v>118.32484977255604</v>
      </c>
      <c r="V14" s="57">
        <f>83.555011021*Deflactores!$S$5</f>
        <v>134.59870773052955</v>
      </c>
    </row>
    <row r="15" spans="1:22" x14ac:dyDescent="0.2">
      <c r="C15" s="87" t="s">
        <v>125</v>
      </c>
      <c r="D15" s="56">
        <f>5.0034*Deflactores!$A$5</f>
        <v>18.631225495532721</v>
      </c>
      <c r="E15" s="56">
        <f>5.9847*Deflactores!$B$5</f>
        <v>20.701956470375151</v>
      </c>
      <c r="F15" s="56">
        <f>20.892379358*Deflactores!$C$5</f>
        <v>67.547028892838497</v>
      </c>
      <c r="G15" s="56">
        <f>26.16672092*Deflactores!$D$5</f>
        <v>79.442567140710707</v>
      </c>
      <c r="H15" s="56">
        <f>26.507757*Deflactores!$E$5</f>
        <v>76.284606221774553</v>
      </c>
      <c r="I15" s="56">
        <f>40.045592*Deflactores!$F$5</f>
        <v>109.90787639031184</v>
      </c>
      <c r="J15" s="56">
        <f>45.478942157*Deflactores!$G$5</f>
        <v>119.47026225416452</v>
      </c>
      <c r="K15" s="56">
        <f>54.51484678*Deflactores!$H$5</f>
        <v>135.49149323551143</v>
      </c>
      <c r="L15" s="56">
        <f>61.134410275*Deflactores!$I$5</f>
        <v>141.11416670529158</v>
      </c>
      <c r="M15" s="56">
        <f>46.93399793*Deflactores!$J$5</f>
        <v>106.20979446868209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0.767576*Deflactores!$A$5</f>
        <v>2.8582327099490397</v>
      </c>
      <c r="E16" s="57">
        <f>2*Deflactores!$B$5</f>
        <v>6.9182938059970098</v>
      </c>
      <c r="F16" s="57">
        <f>5.826169*Deflactores!$C$5</f>
        <v>18.836552746533755</v>
      </c>
      <c r="G16" s="57">
        <f>0.127919356*Deflactores!$D$5</f>
        <v>0.38836513213465634</v>
      </c>
      <c r="H16" s="57">
        <f>4.842*Deflactores!$E$5</f>
        <v>13.934414116057889</v>
      </c>
      <c r="I16" s="57">
        <f>4.883*Deflactores!$F$5</f>
        <v>13.401728719952317</v>
      </c>
      <c r="J16" s="57">
        <f>5.02949*Deflactores!$G$5</f>
        <v>13.212147442444699</v>
      </c>
      <c r="K16" s="57">
        <f>4.955805825*Deflactores!$H$5</f>
        <v>12.317186437747438</v>
      </c>
      <c r="L16" s="57">
        <f>11.24195483*Deflactores!$I$5</f>
        <v>25.949364373319423</v>
      </c>
      <c r="M16" s="57">
        <f>14.315155568*Deflactores!$J$5</f>
        <v>32.394634970839576</v>
      </c>
      <c r="N16" s="57">
        <f>16.39882231*Deflactores!$K$5</f>
        <v>35.969226878447337</v>
      </c>
      <c r="O16" s="57">
        <f>22.1429376*Deflactores!$L$5</f>
        <v>46.823425227698252</v>
      </c>
      <c r="P16" s="57">
        <f>19.140053*Deflactores!$M$5</f>
        <v>39.509497857476916</v>
      </c>
      <c r="Q16" s="57">
        <f>45.33360717*Deflactores!$N$5</f>
        <v>91.798169619360721</v>
      </c>
      <c r="R16" s="57">
        <f>53.237720336*Deflactores!$O$5</f>
        <v>103.99728242596851</v>
      </c>
      <c r="S16" s="57">
        <f>82.831512655*Deflactores!$P$5</f>
        <v>151.54753963661193</v>
      </c>
      <c r="T16" s="57">
        <f>81.175450023*Deflactores!$Q$5</f>
        <v>140.44220081004201</v>
      </c>
      <c r="U16" s="57">
        <f>115.356283703*Deflactores!$R$5</f>
        <v>191.7366651358746</v>
      </c>
      <c r="V16" s="57">
        <f>119.044773569*Deflactores!$S$5</f>
        <v>191.76914093678656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0.123*Deflactores!$A$5</f>
        <v>0.45801669583693583</v>
      </c>
      <c r="E18" s="57">
        <f>0.163*Deflactores!$B$5</f>
        <v>0.56384094518875627</v>
      </c>
      <c r="F18" s="57">
        <f>0.252*Deflactores!$C$5</f>
        <v>0.81473971869448103</v>
      </c>
      <c r="G18" s="57">
        <f>0.397355894*Deflactores!$D$5</f>
        <v>1.2063786052659182</v>
      </c>
      <c r="H18" s="57">
        <f>0.61157*Deflactores!$E$5</f>
        <v>1.7599895995368697</v>
      </c>
      <c r="I18" s="57">
        <f>0.46408*Deflactores!$F$5</f>
        <v>1.2736994192823001</v>
      </c>
      <c r="J18" s="57">
        <f>6.565123628*Deflactores!$G$5</f>
        <v>17.246158427795557</v>
      </c>
      <c r="K18" s="57">
        <f>5.448536332*Deflactores!$H$5</f>
        <v>13.541821488553694</v>
      </c>
      <c r="L18" s="57">
        <f>3.027950532*Deflactores!$I$5</f>
        <v>6.9892997123218645</v>
      </c>
      <c r="M18" s="57">
        <f>11.521*Deflactores!$J$5</f>
        <v>26.071570631990408</v>
      </c>
      <c r="N18" s="57">
        <f>6.1620778*Deflactores!$K$5</f>
        <v>13.515920243594836</v>
      </c>
      <c r="O18" s="57">
        <f>8.083267943*Deflactores!$L$5</f>
        <v>17.092867213992001</v>
      </c>
      <c r="P18" s="57">
        <f>8.389*Deflactores!$M$5</f>
        <v>17.316836976698749</v>
      </c>
      <c r="Q18" s="57">
        <f>7.84800016*Deflactores!$N$5</f>
        <v>15.891787458228201</v>
      </c>
      <c r="R18" s="57">
        <f>8.169890072*Deflactores!$O$5</f>
        <v>15.95948060594095</v>
      </c>
      <c r="S18" s="57">
        <f>14.6958917*Deflactores!$P$5</f>
        <v>26.887426759635172</v>
      </c>
      <c r="T18" s="57">
        <f>16.201587145*Deflactores!$Q$5</f>
        <v>28.03047663566737</v>
      </c>
      <c r="U18" s="57">
        <f>8.721629691*Deflactores!$R$5</f>
        <v>14.496446468471653</v>
      </c>
      <c r="V18" s="57">
        <f>10.740904898*Deflactores!$S$5</f>
        <v>17.302516048546302</v>
      </c>
    </row>
    <row r="19" spans="3:22" x14ac:dyDescent="0.2">
      <c r="C19" s="87" t="s">
        <v>129</v>
      </c>
      <c r="D19" s="56">
        <f>7.474*Deflactores!$A$5</f>
        <v>27.831030769798851</v>
      </c>
      <c r="E19" s="56">
        <f>9.59817*Deflactores!$B$5</f>
        <v>33.20148002995316</v>
      </c>
      <c r="F19" s="56">
        <f>9.63517*Deflactores!$C$5</f>
        <v>31.151411489577391</v>
      </c>
      <c r="G19" s="56">
        <f>9.408160079*Deflactores!$D$5</f>
        <v>28.563318691385795</v>
      </c>
      <c r="H19" s="56">
        <f>16.9332*Deflactores!$E$5</f>
        <v>48.730735462625248</v>
      </c>
      <c r="I19" s="56">
        <f>16.245*Deflactores!$F$5</f>
        <v>44.585517725911409</v>
      </c>
      <c r="J19" s="56">
        <f>21.781292*Deflactores!$G$5</f>
        <v>57.218056182821954</v>
      </c>
      <c r="K19" s="56">
        <f>14.87*Deflactores!$H$5</f>
        <v>36.95797793475986</v>
      </c>
      <c r="L19" s="56">
        <f>23.243*Deflactores!$I$5</f>
        <v>53.650907270996683</v>
      </c>
      <c r="M19" s="56">
        <f>23.293*Deflactores!$J$5</f>
        <v>52.711144408554162</v>
      </c>
      <c r="N19" s="56">
        <f>37.544*Deflactores!$K$5</f>
        <v>82.349124125879186</v>
      </c>
      <c r="O19" s="56">
        <f>66.455458382*Deflactores!$L$5</f>
        <v>140.52662039394403</v>
      </c>
      <c r="P19" s="56">
        <f>47.0974*Deflactores!$M$5</f>
        <v>97.219930602738316</v>
      </c>
      <c r="Q19" s="56">
        <f>44.506*Deflactores!$N$5</f>
        <v>90.122308638676728</v>
      </c>
      <c r="R19" s="56">
        <f>51.22936919*Deflactores!$O$5</f>
        <v>100.07406670555676</v>
      </c>
      <c r="S19" s="56">
        <f>95.82534965*Deflactores!$P$5</f>
        <v>175.32090757247531</v>
      </c>
      <c r="T19" s="56">
        <f>68.690954*Deflactores!$Q$5</f>
        <v>118.84268892587572</v>
      </c>
      <c r="U19" s="56">
        <f>75.680605627*Deflactores!$R$5</f>
        <v>125.79069360230191</v>
      </c>
      <c r="V19" s="56">
        <f>62.258012497*Deflactores!$S$5</f>
        <v>100.2913879798453</v>
      </c>
    </row>
    <row r="20" spans="3:22" x14ac:dyDescent="0.2">
      <c r="C20" s="88" t="s">
        <v>130</v>
      </c>
      <c r="D20" s="57">
        <f>7.9412*Deflactores!$A$5</f>
        <v>29.57074947138435</v>
      </c>
      <c r="E20" s="57">
        <f>12.685856*Deflactores!$B$5</f>
        <v>43.882239494285002</v>
      </c>
      <c r="F20" s="57">
        <f>14.0452*Deflactores!$C$5</f>
        <v>45.409453559554464</v>
      </c>
      <c r="G20" s="57">
        <f>12.3905955265*Deflactores!$D$5</f>
        <v>37.61803857796356</v>
      </c>
      <c r="H20" s="57">
        <f>13.308254642*Deflactores!$E$5</f>
        <v>38.298787968520806</v>
      </c>
      <c r="I20" s="57">
        <f>11.707*Deflactores!$F$5</f>
        <v>32.130665190350562</v>
      </c>
      <c r="J20" s="57">
        <f>19.90821*Deflactores!$G$5</f>
        <v>52.29758998132057</v>
      </c>
      <c r="K20" s="57">
        <f>15.099354449*Deflactores!$H$5</f>
        <v>37.528016715215884</v>
      </c>
      <c r="L20" s="57">
        <f>15.19399925*Deflactores!$I$5</f>
        <v>35.071713842332883</v>
      </c>
      <c r="M20" s="57">
        <f>14.892*Deflactores!$J$5</f>
        <v>33.700011270861999</v>
      </c>
      <c r="N20" s="57">
        <f>0*Deflactores!$K$5</f>
        <v>0</v>
      </c>
      <c r="O20" s="57">
        <f>3.380814*Deflactores!$L$5</f>
        <v>7.1490646091038723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91.216217126*Deflactores!$A$5</f>
        <v>339.66301117719547</v>
      </c>
      <c r="E21" s="56">
        <f>102.836083923*Deflactores!$B$5</f>
        <v>355.72512121873979</v>
      </c>
      <c r="F21" s="56">
        <f>143.796637523*Deflactores!$C$5</f>
        <v>464.90806351071927</v>
      </c>
      <c r="G21" s="56">
        <f>138.035095872*Deflactores!$D$5</f>
        <v>419.07667395971907</v>
      </c>
      <c r="H21" s="56">
        <f>147.143470962*Deflactores!$E$5</f>
        <v>423.4527176494521</v>
      </c>
      <c r="I21" s="56">
        <f>151.406784946*Deflactores!$F$5</f>
        <v>415.54631542216919</v>
      </c>
      <c r="J21" s="56">
        <f>172.207613293*Deflactores!$G$5</f>
        <v>452.37834801115338</v>
      </c>
      <c r="K21" s="56">
        <f>17.825910604*Deflactores!$H$5</f>
        <v>44.304614039652584</v>
      </c>
      <c r="L21" s="56">
        <f>18.174535269*Deflactores!$I$5</f>
        <v>41.951568489892779</v>
      </c>
      <c r="M21" s="56">
        <f>30.434424904*Deflactores!$J$5</f>
        <v>68.871908560771104</v>
      </c>
      <c r="N21" s="56">
        <f>4.414*Deflactores!$K$5</f>
        <v>9.6816810646609515</v>
      </c>
      <c r="O21" s="56">
        <f>4.589138186*Deflactores!$L$5</f>
        <v>9.7041852618392319</v>
      </c>
      <c r="P21" s="56">
        <f>5.997993114*Deflactores!$M$5</f>
        <v>12.381245552807208</v>
      </c>
      <c r="Q21" s="56">
        <f>16.172081914*Deflactores!$N$5</f>
        <v>32.747615098716352</v>
      </c>
      <c r="R21" s="56">
        <f>6.871371819*Deflactores!$O$5</f>
        <v>13.422888718831185</v>
      </c>
      <c r="S21" s="56">
        <f>10.288599167*Deflactores!$P$5</f>
        <v>18.823897331929569</v>
      </c>
      <c r="T21" s="56">
        <f>12.434971369*Deflactores!$Q$5</f>
        <v>21.513828941846374</v>
      </c>
      <c r="U21" s="56">
        <f>14.656377492*Deflactores!$R$5</f>
        <v>24.360744409240112</v>
      </c>
      <c r="V21" s="56">
        <f>10.273978355*Deflactores!$S$5</f>
        <v>16.550344413058298</v>
      </c>
    </row>
    <row r="22" spans="3:22" x14ac:dyDescent="0.2">
      <c r="C22" s="88" t="s">
        <v>132</v>
      </c>
      <c r="D22" s="57">
        <f>11.4*Deflactores!$A$5</f>
        <v>42.450327906837956</v>
      </c>
      <c r="E22" s="57">
        <f>21.291231*Deflactores!$B$5</f>
        <v>73.649495774675756</v>
      </c>
      <c r="F22" s="57">
        <f>19.406*Deflactores!$C$5</f>
        <v>62.741424527718642</v>
      </c>
      <c r="G22" s="57">
        <f>5.04883192584*Deflactores!$D$5</f>
        <v>15.328331374686744</v>
      </c>
      <c r="H22" s="57">
        <f>10.66781*Deflactores!$E$5</f>
        <v>30.70005829232208</v>
      </c>
      <c r="I22" s="57">
        <f>8.401981856*Deflactores!$F$5</f>
        <v>23.059816003291722</v>
      </c>
      <c r="J22" s="57">
        <f>17.931*Deflactores!$G$5</f>
        <v>47.103586206648373</v>
      </c>
      <c r="K22" s="57">
        <f>42.3754775*Deflactores!$H$5</f>
        <v>105.32023957094238</v>
      </c>
      <c r="L22" s="57">
        <f>40.680937*Deflactores!$I$5</f>
        <v>93.902214803779984</v>
      </c>
      <c r="M22" s="57">
        <f>65.498774*Deflactores!$J$5</f>
        <v>148.22115377569452</v>
      </c>
      <c r="N22" s="57">
        <f>83.586368999*Deflactores!$K$5</f>
        <v>183.3385967379659</v>
      </c>
      <c r="O22" s="57">
        <f>90.8669*Deflactores!$L$5</f>
        <v>192.14702108101204</v>
      </c>
      <c r="P22" s="57">
        <f>102.32939*Deflactores!$M$5</f>
        <v>211.23153707891612</v>
      </c>
      <c r="Q22" s="57">
        <f>113.803772*Deflactores!$N$5</f>
        <v>230.4466513375634</v>
      </c>
      <c r="R22" s="57">
        <f>127.1610685*Deflactores!$O$5</f>
        <v>248.40292692698043</v>
      </c>
      <c r="S22" s="57">
        <f>153.522832*Deflactores!$P$5</f>
        <v>280.88352755973119</v>
      </c>
      <c r="T22" s="57">
        <f>197.688789446*Deflactores!$Q$5</f>
        <v>342.02272555806866</v>
      </c>
      <c r="U22" s="57">
        <f>264.916585428*Deflactores!$R$5</f>
        <v>440.32471399585125</v>
      </c>
      <c r="V22" s="57">
        <f>350.238551568*Deflactores!$S$5</f>
        <v>564.19903321677566</v>
      </c>
    </row>
    <row r="23" spans="3:22" x14ac:dyDescent="0.2">
      <c r="C23" s="87" t="s">
        <v>133</v>
      </c>
      <c r="D23" s="56">
        <f>0*Deflactores!$A$5</f>
        <v>0</v>
      </c>
      <c r="E23" s="56">
        <f>0*Deflactores!$B$5</f>
        <v>0</v>
      </c>
      <c r="F23" s="56">
        <f>0*Deflactores!$C$5</f>
        <v>0</v>
      </c>
      <c r="G23" s="56">
        <f>0*Deflactores!$D$5</f>
        <v>0</v>
      </c>
      <c r="H23" s="56">
        <f>1.0222*Deflactores!$E$5</f>
        <v>2.9417096467233321</v>
      </c>
      <c r="I23" s="56">
        <f>2.60854*Deflactores!$F$5</f>
        <v>7.1593171073406552</v>
      </c>
      <c r="J23" s="56">
        <f>5.9*Deflactores!$G$5</f>
        <v>15.498921343997846</v>
      </c>
      <c r="K23" s="56">
        <f>1.1*Deflactores!$H$5</f>
        <v>2.7339459131295127</v>
      </c>
      <c r="L23" s="56">
        <f>5*Deflactores!$I$5</f>
        <v>11.541304321945681</v>
      </c>
      <c r="M23" s="56">
        <f>4.502234*Deflactores!$J$5</f>
        <v>10.188378763366781</v>
      </c>
      <c r="N23" s="56">
        <f>3.4892*Deflactores!$K$5</f>
        <v>7.6532219236101016</v>
      </c>
      <c r="O23" s="56">
        <f>5.387*Deflactores!$L$5</f>
        <v>11.391342750367976</v>
      </c>
      <c r="P23" s="56">
        <f>4.5*Deflactores!$M$5</f>
        <v>9.2890411723857866</v>
      </c>
      <c r="Q23" s="56">
        <f>5.5*Deflactores!$N$5</f>
        <v>11.137210657275919</v>
      </c>
      <c r="R23" s="56">
        <f>4*Deflactores!$O$5</f>
        <v>7.8138043304340563</v>
      </c>
      <c r="S23" s="56">
        <f>5*Deflactores!$P$5</f>
        <v>9.147939882965785</v>
      </c>
      <c r="T23" s="56">
        <f>8.896924682*Deflactores!$Q$5</f>
        <v>15.392630190867225</v>
      </c>
      <c r="U23" s="56">
        <f>7.8*Deflactores!$R$5</f>
        <v>12.964581902710238</v>
      </c>
      <c r="V23" s="56">
        <f>25.63*Deflactores!$S$5</f>
        <v>41.28734874161453</v>
      </c>
    </row>
    <row r="24" spans="3:22" x14ac:dyDescent="0.2">
      <c r="C24" s="88" t="s">
        <v>134</v>
      </c>
      <c r="D24" s="57">
        <f>8.38355015*Deflactores!$A$5</f>
        <v>31.217934464115835</v>
      </c>
      <c r="E24" s="57">
        <f>13.220052616*Deflactores!$B$5</f>
        <v>45.730104064113682</v>
      </c>
      <c r="F24" s="57">
        <f>21.941779323*Deflactores!$C$5</f>
        <v>70.939837751100796</v>
      </c>
      <c r="G24" s="57">
        <f>15.21971209854*Deflactores!$D$5</f>
        <v>46.207280000697587</v>
      </c>
      <c r="H24" s="57">
        <f>22.220180073*Deflactores!$E$5</f>
        <v>63.945723021594269</v>
      </c>
      <c r="I24" s="57">
        <f>28.621019*Deflactores!$F$5</f>
        <v>78.552351490190659</v>
      </c>
      <c r="J24" s="57">
        <f>12.406098991*Deflactores!$G$5</f>
        <v>32.590025838535603</v>
      </c>
      <c r="K24" s="57">
        <f>15.624225567*Deflactores!$H$5</f>
        <v>38.832534213375716</v>
      </c>
      <c r="L24" s="57">
        <f>14.2065*Deflactores!$I$5</f>
        <v>32.792307969944261</v>
      </c>
      <c r="M24" s="57">
        <f>12.280845*Deflactores!$J$5</f>
        <v>27.791070031943946</v>
      </c>
      <c r="N24" s="57">
        <f>13.157981822*Deflactores!$K$5</f>
        <v>28.860757466064886</v>
      </c>
      <c r="O24" s="57">
        <f>12.521*Deflactores!$L$5</f>
        <v>26.476889284825958</v>
      </c>
      <c r="P24" s="57">
        <f>17.185015*Deflactores!$M$5</f>
        <v>35.473847085126074</v>
      </c>
      <c r="Q24" s="57">
        <f>18.938359*Deflactores!$N$5</f>
        <v>38.34918067020314</v>
      </c>
      <c r="R24" s="57">
        <f>22.6385625*Deflactores!$O$5</f>
        <v>44.223324424325504</v>
      </c>
      <c r="S24" s="57">
        <f>29.53707284*Deflactores!$P$5</f>
        <v>54.040673331820294</v>
      </c>
      <c r="T24" s="57">
        <f>19.774412426*Deflactores!$Q$5</f>
        <v>34.21184606979093</v>
      </c>
      <c r="U24" s="57">
        <f>26.504951691*Deflactores!$R$5</f>
        <v>44.054566285300986</v>
      </c>
      <c r="V24" s="57">
        <f>32.079040924*Deflactores!$S$5</f>
        <v>51.676104171896696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988.594003*Deflactores!$A$5</f>
        <v>3681.2403152704865</v>
      </c>
      <c r="E26" s="57">
        <f>1024.548958*Deflactores!$B$5</f>
        <v>3544.0653550360457</v>
      </c>
      <c r="F26" s="57">
        <f>993.124687057*Deflactores!$C$5</f>
        <v>3210.865587941923</v>
      </c>
      <c r="G26" s="57">
        <f>1024.616947386*Deflactores!$D$5</f>
        <v>3110.7528102234355</v>
      </c>
      <c r="H26" s="57">
        <f>1062.63267616*Deflactores!$E$5</f>
        <v>3058.0676916291363</v>
      </c>
      <c r="I26" s="57">
        <f>1166.38396927993*Deflactores!$F$5</f>
        <v>3201.2208764265447</v>
      </c>
      <c r="J26" s="57">
        <f>1517.321493426*Deflactores!$G$5</f>
        <v>3985.9061830791388</v>
      </c>
      <c r="K26" s="57">
        <f>2129.364813466*Deflactores!$H$5</f>
        <v>5292.3347539428705</v>
      </c>
      <c r="L26" s="57">
        <f>2632.925978623*Deflactores!$I$5</f>
        <v>6077.479995288938</v>
      </c>
      <c r="M26" s="57">
        <f>3406.847781799*Deflactores!$J$5</f>
        <v>7709.5627615321991</v>
      </c>
      <c r="N26" s="57">
        <f>2829.717202915*Deflactores!$K$5</f>
        <v>6206.7103447683521</v>
      </c>
      <c r="O26" s="57">
        <f>3117.587245224*Deflactores!$L$5</f>
        <v>6592.4456774683658</v>
      </c>
      <c r="P26" s="57">
        <f>2940.600159318*Deflactores!$M$5</f>
        <v>6070.0791003175791</v>
      </c>
      <c r="Q26" s="57">
        <f>3392.522776858*Deflactores!$N$5</f>
        <v>6869.6801500862193</v>
      </c>
      <c r="R26" s="57">
        <f>1193.84*Deflactores!$O$5</f>
        <v>2332.1080404613481</v>
      </c>
      <c r="S26" s="57">
        <f>1294.527102667*Deflactores!$P$5</f>
        <v>2368.4512224135187</v>
      </c>
      <c r="T26" s="57">
        <f>2290.350040749*Deflactores!$Q$5</f>
        <v>3962.5502569683367</v>
      </c>
      <c r="U26" s="57">
        <f>2482.024403433*Deflactores!$R$5</f>
        <v>4125.4370080554672</v>
      </c>
      <c r="V26" s="57">
        <f>2346.272648031*Deflactores!$S$5</f>
        <v>3779.6089372675497</v>
      </c>
    </row>
    <row r="27" spans="3:22" x14ac:dyDescent="0.2">
      <c r="C27" s="87" t="s">
        <v>137</v>
      </c>
      <c r="D27" s="56">
        <f>12.5216*Deflactores!$A$5</f>
        <v>46.626844378794921</v>
      </c>
      <c r="E27" s="56">
        <f>17.126446*Deflactores!$B$5</f>
        <v>59.242892640271137</v>
      </c>
      <c r="F27" s="56">
        <f>20.181628*Deflactores!$C$5</f>
        <v>65.249102855224848</v>
      </c>
      <c r="G27" s="56">
        <f>23.73953577378*Deflactores!$D$5</f>
        <v>72.073595708216899</v>
      </c>
      <c r="H27" s="56">
        <f>28.879663798*Deflactores!$E$5</f>
        <v>83.110531783117963</v>
      </c>
      <c r="I27" s="56">
        <f>77.180038748*Deflactores!$F$5</f>
        <v>211.82591478519441</v>
      </c>
      <c r="J27" s="56">
        <f>50.427613018*Deflactores!$G$5</f>
        <v>132.47010300534643</v>
      </c>
      <c r="K27" s="56">
        <f>30.96912093*Deflactores!$H$5</f>
        <v>76.970819636170134</v>
      </c>
      <c r="L27" s="56">
        <f>54.24768273232*Deflactores!$I$5</f>
        <v>125.21780303481258</v>
      </c>
      <c r="M27" s="56">
        <f>55.84288298*Deflactores!$J$5</f>
        <v>126.37025153259654</v>
      </c>
      <c r="N27" s="56">
        <f>63.828*Deflactores!$K$5</f>
        <v>140.00052990375605</v>
      </c>
      <c r="O27" s="56">
        <f>53.826*Deflactores!$L$5</f>
        <v>113.82038516452695</v>
      </c>
      <c r="P27" s="56">
        <f>49.842873529*Deflactores!$M$5</f>
        <v>102.88722319131082</v>
      </c>
      <c r="Q27" s="56">
        <f>55.268*Deflactores!$N$5</f>
        <v>111.91479247387736</v>
      </c>
      <c r="R27" s="56">
        <f>58.133461075*Deflactores!$O$5</f>
        <v>113.56087247273867</v>
      </c>
      <c r="S27" s="56">
        <f>44.073*Deflactores!$P$5</f>
        <v>80.635430892390218</v>
      </c>
      <c r="T27" s="56">
        <f>38.23511959177*Deflactores!$Q$5</f>
        <v>66.150841691445692</v>
      </c>
      <c r="U27" s="56">
        <f>66.45947275*Deflactores!$R$5</f>
        <v>110.46400995875824</v>
      </c>
      <c r="V27" s="56">
        <f>51.951*Deflactores!$S$5</f>
        <v>83.68782889097217</v>
      </c>
    </row>
    <row r="28" spans="3:22" x14ac:dyDescent="0.2">
      <c r="C28" s="88" t="s">
        <v>138</v>
      </c>
      <c r="D28" s="57">
        <f>4.11*Deflactores!$A$5</f>
        <v>15.304460324307369</v>
      </c>
      <c r="E28" s="57">
        <f>4.225*Deflactores!$B$5</f>
        <v>14.614895665168682</v>
      </c>
      <c r="F28" s="57">
        <f>6.1477*Deflactores!$C$5</f>
        <v>19.876092732611355</v>
      </c>
      <c r="G28" s="57">
        <f>17.8601930205999*Deflactores!$D$5</f>
        <v>54.223820688995239</v>
      </c>
      <c r="H28" s="57">
        <f>27*Deflactores!$E$5</f>
        <v>77.701193955713137</v>
      </c>
      <c r="I28" s="57">
        <f>22.905*Deflactores!$F$5</f>
        <v>62.8643449376424</v>
      </c>
      <c r="J28" s="57">
        <f>45.01422*Deflactores!$G$5</f>
        <v>118.24946697312114</v>
      </c>
      <c r="K28" s="57">
        <f>44.1*Deflactores!$H$5</f>
        <v>109.60637706273774</v>
      </c>
      <c r="L28" s="57">
        <f>57.726176236*Deflactores!$I$5</f>
        <v>133.24707345638896</v>
      </c>
      <c r="M28" s="57">
        <f>65.90292803*Deflactores!$J$5</f>
        <v>149.1357384766188</v>
      </c>
      <c r="N28" s="57">
        <f>62.142977326*Deflactores!$K$5</f>
        <v>136.30459603053671</v>
      </c>
      <c r="O28" s="57">
        <f>50.842*Deflactores!$L$5</f>
        <v>107.51042289107271</v>
      </c>
      <c r="P28" s="57">
        <f>10*Deflactores!$M$5</f>
        <v>20.642313716412861</v>
      </c>
      <c r="Q28" s="57">
        <f>5*Deflactores!$N$5</f>
        <v>10.124736961159925</v>
      </c>
      <c r="R28" s="57">
        <f>0*Deflactores!$O$5</f>
        <v>0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97.230458*Deflactores!$A$5</f>
        <v>362.05831795017855</v>
      </c>
      <c r="E29" s="56">
        <f>55.835044269*Deflactores!$B$5</f>
        <v>193.14162046189577</v>
      </c>
      <c r="F29" s="56">
        <f>79.633278*Deflactores!$C$5</f>
        <v>257.46188300174367</v>
      </c>
      <c r="G29" s="56">
        <f>68.1467361221499*Deflactores!$D$5</f>
        <v>206.89453892047661</v>
      </c>
      <c r="H29" s="56">
        <f>161.931129821*Deflactores!$E$5</f>
        <v>466.00896761812169</v>
      </c>
      <c r="I29" s="56">
        <f>104.73659*Deflactores!$F$5</f>
        <v>287.4567614648517</v>
      </c>
      <c r="J29" s="56">
        <f>115.30867*Deflactores!$G$5</f>
        <v>302.90847569678039</v>
      </c>
      <c r="K29" s="56">
        <f>212.5*Deflactores!$H$5</f>
        <v>528.1486423091103</v>
      </c>
      <c r="L29" s="56">
        <f>290.7856852*Deflactores!$I$5</f>
        <v>671.2092170717392</v>
      </c>
      <c r="M29" s="56">
        <f>355.700560146*Deflactores!$J$5</f>
        <v>804.93640115311086</v>
      </c>
      <c r="N29" s="56">
        <f>318.582487162*Deflactores!$K$5</f>
        <v>698.77979915924925</v>
      </c>
      <c r="O29" s="56">
        <f>249.573873425*Deflactores!$L$5</f>
        <v>527.74856761112471</v>
      </c>
      <c r="P29" s="56">
        <f>266.965383098*Deflactores!$M$5</f>
        <v>551.07831893312596</v>
      </c>
      <c r="Q29" s="56">
        <f>376.371994363*Deflactores!$N$5</f>
        <v>762.13348849450824</v>
      </c>
      <c r="R29" s="56">
        <f>379.635709703*Deflactores!$O$5</f>
        <v>741.59978811617691</v>
      </c>
      <c r="S29" s="56">
        <f>458.915141732*Deflactores!$P$5</f>
        <v>839.62562558941181</v>
      </c>
      <c r="T29" s="56">
        <f>545.75880368*Deflactores!$Q$5</f>
        <v>944.22103577569055</v>
      </c>
      <c r="U29" s="56">
        <f>586.76978419*Deflactores!$R$5</f>
        <v>975.28524681626493</v>
      </c>
      <c r="V29" s="56">
        <f>38.031706034*Deflactores!$S$5</f>
        <v>61.265248157016146</v>
      </c>
    </row>
    <row r="30" spans="3:22" x14ac:dyDescent="0.2">
      <c r="C30" s="88" t="s">
        <v>140</v>
      </c>
      <c r="D30" s="57">
        <f>19.214099*Deflactores!$A$5</f>
        <v>71.547789735477835</v>
      </c>
      <c r="E30" s="57">
        <f>40.170842355*Deflactores!$B$5</f>
        <v>138.95684492313941</v>
      </c>
      <c r="F30" s="57">
        <f>16.07973095*Deflactores!$C$5</f>
        <v>51.98728361462674</v>
      </c>
      <c r="G30" s="57">
        <f>7.61225894106999*Deflactores!$D$5</f>
        <v>23.110935216808514</v>
      </c>
      <c r="H30" s="57">
        <f>35.752420038*Deflactores!$E$5</f>
        <v>102.88910087995417</v>
      </c>
      <c r="I30" s="57">
        <f>237.425797222*Deflactores!$F$5</f>
        <v>651.63139985411681</v>
      </c>
      <c r="J30" s="57">
        <f>231.7134*Deflactores!$G$5</f>
        <v>608.69623066954421</v>
      </c>
      <c r="K30" s="57">
        <f>137.81*Deflactores!$H$5</f>
        <v>342.51371480761645</v>
      </c>
      <c r="L30" s="57">
        <f>248.933277614*Deflactores!$I$5</f>
        <v>574.60294256051236</v>
      </c>
      <c r="M30" s="57">
        <f>339.220730743*Deflactores!$J$5</f>
        <v>767.64319428882243</v>
      </c>
      <c r="N30" s="57">
        <f>332.850024345*Deflactores!$K$5</f>
        <v>730.07425873876832</v>
      </c>
      <c r="O30" s="57">
        <f>533.1659*Deflactores!$L$5</f>
        <v>1127.4318748298529</v>
      </c>
      <c r="P30" s="57">
        <f>539.5974*Deflactores!$M$5</f>
        <v>1113.8538811360718</v>
      </c>
      <c r="Q30" s="57">
        <f>475.00096*Deflactores!$N$5</f>
        <v>961.85195525968959</v>
      </c>
      <c r="R30" s="57">
        <f>288.902116034*Deflactores!$O$5</f>
        <v>564.3561513345079</v>
      </c>
      <c r="S30" s="57">
        <f>190.337998364*Deflactores!$P$5</f>
        <v>348.24011329558238</v>
      </c>
      <c r="T30" s="57">
        <f>245.778159809*Deflactores!$Q$5</f>
        <v>425.22247384939732</v>
      </c>
      <c r="U30" s="57">
        <f>183.930402349*Deflactores!$R$5</f>
        <v>305.71548277590489</v>
      </c>
      <c r="V30" s="57">
        <f>235.528096031*Deflactores!$S$5</f>
        <v>379.41204211004191</v>
      </c>
    </row>
    <row r="31" spans="3:22" x14ac:dyDescent="0.2">
      <c r="C31" s="87" t="s">
        <v>141</v>
      </c>
      <c r="D31" s="56">
        <f>0*Deflactores!$A$5</f>
        <v>0</v>
      </c>
      <c r="E31" s="56">
        <f>0*Deflactores!$B$5</f>
        <v>0</v>
      </c>
      <c r="F31" s="56">
        <f>0*Deflactores!$C$5</f>
        <v>0</v>
      </c>
      <c r="G31" s="56">
        <f>0*Deflactores!$D$5</f>
        <v>0</v>
      </c>
      <c r="H31" s="56">
        <f>0*Deflactores!$E$5</f>
        <v>0</v>
      </c>
      <c r="I31" s="56">
        <f>0*Deflactores!$F$5</f>
        <v>0</v>
      </c>
      <c r="J31" s="56">
        <f>0*Deflactores!$G$5</f>
        <v>0</v>
      </c>
      <c r="K31" s="56">
        <f>1.44575*Deflactores!$H$5</f>
        <v>3.5932748217336297</v>
      </c>
      <c r="L31" s="56">
        <f>3.259*Deflactores!$I$5</f>
        <v>7.5226221570441938</v>
      </c>
      <c r="M31" s="56">
        <f>1.75*Deflactores!$J$5</f>
        <v>3.960181286866002</v>
      </c>
      <c r="N31" s="56">
        <f>4.724*Deflactores!$K$5</f>
        <v>10.361636010298671</v>
      </c>
      <c r="O31" s="56">
        <f>5.463*Deflactores!$L$5</f>
        <v>11.552052245268285</v>
      </c>
      <c r="P31" s="56">
        <f>5.008997988*Deflactores!$M$5</f>
        <v>10.339730787317682</v>
      </c>
      <c r="Q31" s="56">
        <f>6.2*Deflactores!$N$5</f>
        <v>12.554673831838308</v>
      </c>
      <c r="R31" s="56">
        <f>3.442*Deflactores!$O$5</f>
        <v>6.7237786263385058</v>
      </c>
      <c r="S31" s="56">
        <f>0*Deflactores!$P$5</f>
        <v>0</v>
      </c>
      <c r="T31" s="56">
        <f>3.1807*Deflactores!$Q$5</f>
        <v>5.5029508058154626</v>
      </c>
      <c r="U31" s="56">
        <f>0*Deflactores!$R$5</f>
        <v>0</v>
      </c>
      <c r="V31" s="56">
        <f>0*Deflactores!$S$5</f>
        <v>0</v>
      </c>
    </row>
    <row r="32" spans="3:22" x14ac:dyDescent="0.2">
      <c r="C32" s="88" t="s">
        <v>142</v>
      </c>
      <c r="D32" s="57">
        <f>2.25181*Deflactores!$A$5</f>
        <v>8.3850941126225234</v>
      </c>
      <c r="E32" s="57">
        <f>4.04*Deflactores!$B$5</f>
        <v>13.974953488113959</v>
      </c>
      <c r="F32" s="57">
        <f>4.866476*Deflactores!$C$5</f>
        <v>15.733774949497789</v>
      </c>
      <c r="G32" s="57">
        <f>5.415345017*Deflactores!$D$5</f>
        <v>16.441070756187653</v>
      </c>
      <c r="H32" s="57">
        <f>7.23*Deflactores!$E$5</f>
        <v>20.806653048140966</v>
      </c>
      <c r="I32" s="57">
        <f>7.05*Deflactores!$F$5</f>
        <v>19.349208985390913</v>
      </c>
      <c r="J32" s="57">
        <f>7.2615*Deflactores!$G$5</f>
        <v>19.075494464311923</v>
      </c>
      <c r="K32" s="57">
        <f>9.556*Deflactores!$H$5</f>
        <v>23.750533768968744</v>
      </c>
      <c r="L32" s="57">
        <f>13.85145986*Deflactores!$I$5</f>
        <v>31.972782709495021</v>
      </c>
      <c r="M32" s="57">
        <f>15.952*Deflactores!$J$5</f>
        <v>36.098749650335122</v>
      </c>
      <c r="N32" s="57">
        <f>25.4373*Deflactores!$K$5</f>
        <v>55.794251415065702</v>
      </c>
      <c r="O32" s="57">
        <f>29.177*Deflactores!$L$5</f>
        <v>61.697643851399008</v>
      </c>
      <c r="P32" s="57">
        <f>30.05231*Deflactores!$M$5</f>
        <v>62.034921092289139</v>
      </c>
      <c r="Q32" s="57">
        <f>41.4124*Deflactores!$N$5</f>
        <v>83.857931386067861</v>
      </c>
      <c r="R32" s="57">
        <f>18.74*Deflactores!$O$5</f>
        <v>36.607673288083554</v>
      </c>
      <c r="S32" s="57">
        <f>19.439*Deflactores!$P$5</f>
        <v>35.565360676994381</v>
      </c>
      <c r="T32" s="57">
        <f>17.67908812*Deflactores!$Q$5</f>
        <v>30.586711169250975</v>
      </c>
      <c r="U32" s="57">
        <f>17.279816551*Deflactores!$R$5</f>
        <v>28.721230376826597</v>
      </c>
      <c r="V32" s="57">
        <f>18.038236*Deflactores!$S$5</f>
        <v>29.057781522260868</v>
      </c>
    </row>
    <row r="33" spans="3:22" x14ac:dyDescent="0.2">
      <c r="C33" s="87" t="s">
        <v>143</v>
      </c>
      <c r="D33" s="56">
        <f>0.0585*Deflactores!$A$5</f>
        <v>0.21783720899561584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191.6387768854907</v>
      </c>
      <c r="I33" s="56">
        <f>8.86793114152*Deflactores!$F$5</f>
        <v>24.338645805010877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99.127997731178809</v>
      </c>
      <c r="Q33" s="56">
        <f>6.856473429*Deflactores!$N$5</f>
        <v>13.883997989961447</v>
      </c>
      <c r="R33" s="56">
        <f>12.826001183*Deflactores!$O$5</f>
        <v>25.054965896469433</v>
      </c>
      <c r="S33" s="56">
        <f>3.309*Deflactores!$P$5</f>
        <v>6.0541066145467575</v>
      </c>
      <c r="T33" s="56">
        <f>11.880739274*Deflactores!$Q$5</f>
        <v>20.554948206854377</v>
      </c>
      <c r="U33" s="56">
        <f>20.546765788*Deflactores!$R$5</f>
        <v>34.151311268503932</v>
      </c>
      <c r="V33" s="56">
        <f>152.863819794*Deflactores!$S$5</f>
        <v>246.24821840851331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5.03*Deflactores!$A$5</f>
        <v>18.730276260648676</v>
      </c>
      <c r="E35" s="56">
        <f>5*Deflactores!$B$5</f>
        <v>17.295734514992525</v>
      </c>
      <c r="F35" s="56">
        <f>4*Deflactores!$C$5</f>
        <v>12.932376487213984</v>
      </c>
      <c r="G35" s="56">
        <f>9.870944804*Deflactores!$D$5</f>
        <v>29.968340233821685</v>
      </c>
      <c r="H35" s="56">
        <f>13.053568989*Deflactores!$E$5</f>
        <v>37.565847993650792</v>
      </c>
      <c r="I35" s="56">
        <f>1.5396*Deflactores!$F$5</f>
        <v>4.2255378941713264</v>
      </c>
      <c r="J35" s="56">
        <f>22.066488055*Deflactores!$G$5</f>
        <v>57.967247915714076</v>
      </c>
      <c r="K35" s="56">
        <f>19.4*Deflactores!$H$5</f>
        <v>48.216864286102307</v>
      </c>
      <c r="L35" s="56">
        <f>11.026*Deflactores!$I$5</f>
        <v>25.450884290754612</v>
      </c>
      <c r="M35" s="56">
        <f>15.871*Deflactores!$J$5</f>
        <v>35.915449830771614</v>
      </c>
      <c r="N35" s="56">
        <f>22.845*Deflactores!$K$5</f>
        <v>50.10829268739905</v>
      </c>
      <c r="O35" s="56">
        <f>25.472150113*Deflactores!$L$5</f>
        <v>53.86337340375114</v>
      </c>
      <c r="P35" s="56">
        <f>31.308241876*Deflactores!$M$5</f>
        <v>64.627455071372637</v>
      </c>
      <c r="Q35" s="56">
        <f>27.399250201*Deflactores!$N$5</f>
        <v>55.482040243626649</v>
      </c>
      <c r="R35" s="56">
        <f>27.046943088*Deflactores!$O$5</f>
        <v>52.834880256504462</v>
      </c>
      <c r="S35" s="56">
        <f>39.292229095*Deflactores!$P$5</f>
        <v>71.888589925755838</v>
      </c>
      <c r="T35" s="56">
        <f>49.447810288*Deflactores!$Q$5</f>
        <v>85.549994488684789</v>
      </c>
      <c r="U35" s="56">
        <f>46.155453971*Deflactores!$R$5</f>
        <v>76.716174777410515</v>
      </c>
      <c r="V35" s="56">
        <f>50.652121353*Deflactores!$S$5</f>
        <v>81.595466203819399</v>
      </c>
    </row>
    <row r="36" spans="3:22" x14ac:dyDescent="0.2">
      <c r="C36" s="88" t="s">
        <v>146</v>
      </c>
      <c r="D36" s="57">
        <f>5*Deflactores!$A$5</f>
        <v>18.618564871420155</v>
      </c>
      <c r="E36" s="57">
        <f>7.56*Deflactores!$B$5</f>
        <v>26.151150586668695</v>
      </c>
      <c r="F36" s="57">
        <f>7.306698*Deflactores!$C$5</f>
        <v>23.623242353593362</v>
      </c>
      <c r="G36" s="57">
        <f>2.735757955*Deflactores!$D$5</f>
        <v>8.3058032256042011</v>
      </c>
      <c r="H36" s="57">
        <f>1.38248944*Deflactores!$E$5</f>
        <v>3.9785585229320461</v>
      </c>
      <c r="I36" s="57">
        <f>4.105*Deflactores!$F$5</f>
        <v>11.266454309933293</v>
      </c>
      <c r="J36" s="57">
        <f>4.78005*Deflactores!$G$5</f>
        <v>12.556884571250324</v>
      </c>
      <c r="K36" s="57">
        <f>4.483202125*Deflactores!$H$5</f>
        <v>11.142574661252088</v>
      </c>
      <c r="L36" s="57">
        <f>3.203*Deflactores!$I$5</f>
        <v>7.3933595486384025</v>
      </c>
      <c r="M36" s="57">
        <f>4.6368*Deflactores!$J$5</f>
        <v>10.492896337680159</v>
      </c>
      <c r="N36" s="57">
        <f>8.174*Deflactores!$K$5</f>
        <v>17.928876534331359</v>
      </c>
      <c r="O36" s="57">
        <f>9.328*Deflactores!$L$5</f>
        <v>19.724975900395858</v>
      </c>
      <c r="P36" s="57">
        <f>56.3293*Deflactores!$M$5</f>
        <v>116.27670820259351</v>
      </c>
      <c r="Q36" s="57">
        <f>45.655*Deflactores!$N$5</f>
        <v>92.448973192351289</v>
      </c>
      <c r="R36" s="57">
        <f>12.141666222*Deflactores!$O$5</f>
        <v>23.718151026037127</v>
      </c>
      <c r="S36" s="57">
        <f>38.738*Deflactores!$P$5</f>
        <v>70.874579037265718</v>
      </c>
      <c r="T36" s="57">
        <f>24.26004861*Deflactores!$Q$5</f>
        <v>41.972475885032161</v>
      </c>
      <c r="U36" s="57">
        <f>44.462062667*Deflactores!$R$5</f>
        <v>73.901545257661112</v>
      </c>
      <c r="V36" s="57">
        <f>14.957*Deflactores!$S$5</f>
        <v>24.094220644882114</v>
      </c>
    </row>
    <row r="37" spans="3:22" x14ac:dyDescent="0.2">
      <c r="C37" s="90" t="s">
        <v>147</v>
      </c>
      <c r="D37" s="58">
        <f>549.613135133*Deflactores!$A$5</f>
        <v>2046.6015621316747</v>
      </c>
      <c r="E37" s="58">
        <f>642.371092*Deflactores!$B$5</f>
        <v>2222.0559734675676</v>
      </c>
      <c r="F37" s="58">
        <f>580.045982*Deflactores!$C$5</f>
        <v>1875.3432547799364</v>
      </c>
      <c r="G37" s="58">
        <f>638.436806401*Deflactores!$D$5</f>
        <v>1938.3039629870584</v>
      </c>
      <c r="H37" s="58">
        <f>820.390154884*Deflactores!$E$5</f>
        <v>2360.9368349629344</v>
      </c>
      <c r="I37" s="58">
        <f>858.925877516*Deflactores!$F$5</f>
        <v>2357.3810364563637</v>
      </c>
      <c r="J37" s="58">
        <f>1032.322967055*Deflactores!$G$5</f>
        <v>2711.8461810149024</v>
      </c>
      <c r="K37" s="58">
        <f>1107.985667955*Deflactores!$H$5</f>
        <v>2753.7935351924048</v>
      </c>
      <c r="L37" s="58">
        <f>1278.2622989*Deflactores!$I$5</f>
        <v>2950.5628389749581</v>
      </c>
      <c r="M37" s="58">
        <f>1473.08851871*Deflactores!$J$5</f>
        <v>3333.5414775385716</v>
      </c>
      <c r="N37" s="58">
        <f>1932.011065536*Deflactores!$K$5</f>
        <v>4237.6789646387224</v>
      </c>
      <c r="O37" s="58">
        <f>2055.251411328*Deflactores!$L$5</f>
        <v>4346.0317922061931</v>
      </c>
      <c r="P37" s="58">
        <f>2291.387265689*Deflactores!$M$5</f>
        <v>4729.9534784145799</v>
      </c>
      <c r="Q37" s="58">
        <f>2288.003081879*Deflactores!$N$5</f>
        <v>4633.0858740696267</v>
      </c>
      <c r="R37" s="58">
        <f>940.228365931*Deflactores!$O$5</f>
        <v>1836.690119327146</v>
      </c>
      <c r="S37" s="58">
        <f>1467.019163975*Deflactores!$P$5</f>
        <v>2684.0406238404053</v>
      </c>
      <c r="T37" s="58">
        <f>1740.513954108*Deflactores!$Q$5</f>
        <v>3011.2750860790629</v>
      </c>
      <c r="U37" s="58">
        <f>1802.42724173*Deflactores!$R$5</f>
        <v>2995.860974241627</v>
      </c>
      <c r="V37" s="58">
        <f>1622.051876834*Deflactores!$S$5</f>
        <v>2612.9622128691276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98.9015*Deflactores!$A$5</f>
        <v>368.28079872615211</v>
      </c>
      <c r="E39" s="56">
        <f>116.756338*Deflactores!$B$5</f>
        <v>403.87732499814666</v>
      </c>
      <c r="F39" s="56">
        <f>125.9008*Deflactores!$C$5</f>
        <v>407.04913641035762</v>
      </c>
      <c r="G39" s="56">
        <f>62.866223244*Deflactores!$D$5</f>
        <v>190.86282061147071</v>
      </c>
      <c r="H39" s="56">
        <f>114.18489*Deflactores!$E$5</f>
        <v>328.60378832228776</v>
      </c>
      <c r="I39" s="56">
        <f>133.85148*Deflactores!$F$5</f>
        <v>367.36457581898901</v>
      </c>
      <c r="J39" s="56">
        <f>184.069098926*Deflactores!$G$5</f>
        <v>483.53770951095464</v>
      </c>
      <c r="K39" s="56">
        <f>293.277434559*Deflactores!$H$5</f>
        <v>728.9133123869874</v>
      </c>
      <c r="L39" s="56">
        <f>398.50953025*Deflactores!$I$5</f>
        <v>919.86395276217354</v>
      </c>
      <c r="M39" s="56">
        <f>655.382887867*Deflactores!$J$5</f>
        <v>1483.1057418646244</v>
      </c>
      <c r="N39" s="56">
        <f>668.020921168*Deflactores!$K$5</f>
        <v>1465.2391262504739</v>
      </c>
      <c r="O39" s="56">
        <f>743.603854668*Deflactores!$L$5</f>
        <v>1572.4236827581224</v>
      </c>
      <c r="P39" s="56">
        <f>793.0351*Deflactores!$M$5</f>
        <v>1637.0079322326847</v>
      </c>
      <c r="Q39" s="56">
        <f>1040.1088*Deflactores!$N$5</f>
        <v>2106.1656021975396</v>
      </c>
      <c r="R39" s="56">
        <f>1486.473636772*Deflactores!$O$5</f>
        <v>2903.7535350212784</v>
      </c>
      <c r="S39" s="56">
        <f>1117.427383892*Deflactores!$P$5</f>
        <v>2044.4317062847495</v>
      </c>
      <c r="T39" s="56">
        <f>1072.059561046*Deflactores!$Q$5</f>
        <v>1854.7775726538991</v>
      </c>
      <c r="U39" s="56">
        <f>1124.874949997*Deflactores!$R$5</f>
        <v>1869.6837717363064</v>
      </c>
      <c r="V39" s="56">
        <f>1017.342893346*Deflactores!$S$5</f>
        <v>1638.8369421529246</v>
      </c>
    </row>
    <row r="40" spans="3:22" x14ac:dyDescent="0.2">
      <c r="C40" s="88" t="s">
        <v>150</v>
      </c>
      <c r="D40" s="57">
        <f>374.49705638*Deflactores!$A$5</f>
        <v>1394.5195476733843</v>
      </c>
      <c r="E40" s="57">
        <f>620.729310222169*Deflactores!$B$5</f>
        <v>2147.1938710554141</v>
      </c>
      <c r="F40" s="57">
        <f>819.568153999999*Deflactores!$C$5</f>
        <v>2649.7409811147395</v>
      </c>
      <c r="G40" s="57">
        <f>589.5477118503*Deflactores!$D$5</f>
        <v>1789.875920047831</v>
      </c>
      <c r="H40" s="57">
        <f>556.45745207805*Deflactores!$E$5</f>
        <v>1601.3854967414263</v>
      </c>
      <c r="I40" s="57">
        <f>414.93196229092*Deflactores!$F$5</f>
        <v>1138.8092557567877</v>
      </c>
      <c r="J40" s="57">
        <f>626.344717247169*Deflactores!$G$5</f>
        <v>1645.367374041092</v>
      </c>
      <c r="K40" s="57">
        <f>622.014583239*Deflactores!$H$5</f>
        <v>1545.9583888665645</v>
      </c>
      <c r="L40" s="57">
        <f>607.0412298412*Deflactores!$I$5</f>
        <v>1401.2095139130925</v>
      </c>
      <c r="M40" s="57">
        <f>789.275460401*Deflactores!$J$5</f>
        <v>1786.0993762643363</v>
      </c>
      <c r="N40" s="57">
        <f>940.380620588*Deflactores!$K$5</f>
        <v>2062.633721776383</v>
      </c>
      <c r="O40" s="57">
        <f>640.692251700999*Deflactores!$L$5</f>
        <v>1354.8069494395972</v>
      </c>
      <c r="P40" s="57">
        <f>885.32743819*Deflactores!$M$5</f>
        <v>1827.5206720866095</v>
      </c>
      <c r="Q40" s="57">
        <f>805.128064220929*Deflactores!$N$5</f>
        <v>1630.3419740569564</v>
      </c>
      <c r="R40" s="57">
        <f>1083.207089551*Deflactores!$O$5</f>
        <v>2115.9920617726189</v>
      </c>
      <c r="S40" s="57">
        <f>1185.408594855*Deflactores!$P$5</f>
        <v>2168.8093124968968</v>
      </c>
      <c r="T40" s="57">
        <f>1194.542338375*Deflactores!$Q$5</f>
        <v>2066.6858627161928</v>
      </c>
      <c r="U40" s="57">
        <f>1713.156958357*Deflactores!$R$5</f>
        <v>2847.4825254893944</v>
      </c>
      <c r="V40" s="57">
        <f>1370.173098558*Deflactores!$S$5</f>
        <v>2207.2108683785691</v>
      </c>
    </row>
    <row r="41" spans="3:22" x14ac:dyDescent="0.2">
      <c r="C41" s="87" t="s">
        <v>151</v>
      </c>
      <c r="D41" s="56">
        <f>10*Deflactores!$A$5</f>
        <v>37.23712974284031</v>
      </c>
      <c r="E41" s="56">
        <f>39.85905156*Deflactores!$B$5</f>
        <v>137.87831476023172</v>
      </c>
      <c r="F41" s="56">
        <f>12.104*Deflactores!$C$5</f>
        <v>39.133371250309516</v>
      </c>
      <c r="G41" s="56">
        <f>0*Deflactores!$D$5</f>
        <v>0</v>
      </c>
      <c r="H41" s="56">
        <f>10*Deflactores!$E$5</f>
        <v>28.778219983597459</v>
      </c>
      <c r="I41" s="56">
        <f>80*Deflactores!$F$5</f>
        <v>219.56549203280471</v>
      </c>
      <c r="J41" s="56">
        <f>20*Deflactores!$G$5</f>
        <v>52.538716420331681</v>
      </c>
      <c r="K41" s="56">
        <f>0*Deflactores!$H$5</f>
        <v>0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202</v>
      </c>
      <c r="D42" s="44">
        <f t="shared" ref="D42:V42" si="0">+SUM(D13:D41)</f>
        <v>8707.4219688634112</v>
      </c>
      <c r="E42" s="44">
        <f t="shared" si="0"/>
        <v>9629.2104914162592</v>
      </c>
      <c r="F42" s="44">
        <f t="shared" si="0"/>
        <v>9509.5739498607491</v>
      </c>
      <c r="G42" s="44">
        <f t="shared" si="0"/>
        <v>8172.8971183135318</v>
      </c>
      <c r="H42" s="44">
        <f t="shared" si="0"/>
        <v>9242.4101565551045</v>
      </c>
      <c r="I42" s="44">
        <f t="shared" si="0"/>
        <v>9426.8021757786719</v>
      </c>
      <c r="J42" s="44">
        <f t="shared" si="0"/>
        <v>11118.923148087506</v>
      </c>
      <c r="K42" s="44">
        <f t="shared" si="0"/>
        <v>12094.93653638156</v>
      </c>
      <c r="L42" s="44">
        <f t="shared" si="0"/>
        <v>13552.10595971883</v>
      </c>
      <c r="M42" s="44">
        <f t="shared" si="0"/>
        <v>16952.268790504775</v>
      </c>
      <c r="N42" s="44">
        <f t="shared" si="0"/>
        <v>16410.208722419979</v>
      </c>
      <c r="O42" s="44">
        <f t="shared" si="0"/>
        <v>16542.788004959741</v>
      </c>
      <c r="P42" s="44">
        <f t="shared" si="0"/>
        <v>16992.920705199533</v>
      </c>
      <c r="Q42" s="44">
        <f t="shared" si="0"/>
        <v>18066.062501600376</v>
      </c>
      <c r="R42" s="44">
        <f t="shared" si="0"/>
        <v>11536.786462427806</v>
      </c>
      <c r="S42" s="44">
        <f t="shared" si="0"/>
        <v>11636.034441732227</v>
      </c>
      <c r="T42" s="44">
        <f t="shared" si="0"/>
        <v>13378.94389251828</v>
      </c>
      <c r="U42" s="44">
        <f t="shared" si="0"/>
        <v>14487.704322563579</v>
      </c>
      <c r="V42" s="44">
        <f t="shared" si="0"/>
        <v>12356.559031565303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55" t="s">
        <v>219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76" t="s">
        <v>120</v>
      </c>
      <c r="D51" s="153">
        <v>2000</v>
      </c>
      <c r="E51" s="153">
        <v>2001</v>
      </c>
      <c r="F51" s="153">
        <v>2002</v>
      </c>
      <c r="G51" s="153">
        <v>2003</v>
      </c>
      <c r="H51" s="153">
        <v>2004</v>
      </c>
      <c r="I51" s="153">
        <v>2005</v>
      </c>
      <c r="J51" s="153">
        <v>2006</v>
      </c>
      <c r="K51" s="153">
        <v>2007</v>
      </c>
      <c r="L51" s="153">
        <v>2008</v>
      </c>
      <c r="M51" s="153">
        <v>2009</v>
      </c>
      <c r="N51" s="153">
        <v>2010</v>
      </c>
      <c r="O51" s="153">
        <v>2011</v>
      </c>
      <c r="P51" s="153">
        <v>2012</v>
      </c>
      <c r="Q51" s="153">
        <v>2013</v>
      </c>
      <c r="R51" s="153">
        <v>2014</v>
      </c>
      <c r="S51" s="153">
        <v>2015</v>
      </c>
      <c r="T51" s="153">
        <v>2016</v>
      </c>
      <c r="U51" s="153">
        <v>2017</v>
      </c>
      <c r="V51" s="153">
        <v>2018</v>
      </c>
    </row>
    <row r="52" spans="3:22" ht="12" customHeight="1" thickBot="1" x14ac:dyDescent="0.25"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</row>
    <row r="53" spans="3:22" x14ac:dyDescent="0.2">
      <c r="C53" s="87" t="s">
        <v>123</v>
      </c>
      <c r="D53" s="56">
        <f>23.209210128*Deflactores!$A$5</f>
        <v>86.42443687651793</v>
      </c>
      <c r="E53" s="56">
        <f>29.664868468*Deflactores!$B$5</f>
        <v>102.61513788894021</v>
      </c>
      <c r="F53" s="56">
        <f>26.319890102*Deflactores!$C$5</f>
        <v>85.094681975290214</v>
      </c>
      <c r="G53" s="56">
        <f>22.536835683*Deflactores!$D$5</f>
        <v>68.422179735843358</v>
      </c>
      <c r="H53" s="56">
        <f>46.100004489*Deflactores!$E$5</f>
        <v>132.66760704292724</v>
      </c>
      <c r="I53" s="56">
        <f>38.55687265*Deflactores!$F$5</f>
        <v>105.82198393304301</v>
      </c>
      <c r="J53" s="56">
        <f>50.741952299*Deflactores!$G$5</f>
        <v>133.2958521225579</v>
      </c>
      <c r="K53" s="56">
        <f>53.790639818*Deflactores!$H$5</f>
        <v>133.69154535912975</v>
      </c>
      <c r="L53" s="56">
        <f>54.784359999*Deflactores!$I$5</f>
        <v>126.45659416629735</v>
      </c>
      <c r="M53" s="56">
        <f>48.550830098*Deflactores!$J$5</f>
        <v>109.86862218052015</v>
      </c>
      <c r="N53" s="56">
        <f>64.67939378*Deflactores!$K$5</f>
        <v>141.86797961793732</v>
      </c>
      <c r="O53" s="56">
        <f>46.0673355751299*Deflactores!$L$5</f>
        <v>97.413924101081264</v>
      </c>
      <c r="P53" s="56">
        <f>38.72166458843*Deflactores!$M$5</f>
        <v>79.930474805608682</v>
      </c>
      <c r="Q53" s="56">
        <f>46.31395061091*Deflactores!$N$5</f>
        <v>93.783313513523154</v>
      </c>
      <c r="R53" s="56">
        <f>81.65292511278*Deflactores!$O$5</f>
        <v>159.50499495971201</v>
      </c>
      <c r="S53" s="56">
        <f>52.59631935204*Deflactores!$P$5</f>
        <v>96.229593499546368</v>
      </c>
      <c r="T53" s="56">
        <f>34.51405773565*Deflactores!$Q$5</f>
        <v>59.713007145708985</v>
      </c>
      <c r="U53" s="56">
        <f>41.83505273063*Deflactores!$R$5</f>
        <v>69.535124042365922</v>
      </c>
      <c r="V53" s="56">
        <f>51.71735349469*Deflactores!$S$5</f>
        <v>83.311447902014166</v>
      </c>
    </row>
    <row r="54" spans="3:22" x14ac:dyDescent="0.2">
      <c r="C54" s="88" t="s">
        <v>124</v>
      </c>
      <c r="D54" s="57">
        <f>3.04604505296*Deflactores!$A$5</f>
        <v>11.342597483960841</v>
      </c>
      <c r="E54" s="57">
        <f>1.062717388*Deflactores!$B$5</f>
        <v>3.6760955614628608</v>
      </c>
      <c r="F54" s="57">
        <f>7.36757275538999*Deflactores!$C$5</f>
        <v>23.820056167410964</v>
      </c>
      <c r="G54" s="57">
        <f>8.58197371639*Deflactores!$D$5</f>
        <v>26.055004188278978</v>
      </c>
      <c r="H54" s="57">
        <f>11.4031171549599*Deflactores!$E$5</f>
        <v>32.816141398417003</v>
      </c>
      <c r="I54" s="57">
        <f>8.77429770821999*Deflactores!$F$5</f>
        <v>24.08166241934541</v>
      </c>
      <c r="J54" s="57">
        <f>11.65714183993*Deflactores!$G$5</f>
        <v>30.622563469983287</v>
      </c>
      <c r="K54" s="57">
        <f>20.93919499082*Deflactores!$H$5</f>
        <v>52.042387790340271</v>
      </c>
      <c r="L54" s="57">
        <f>17.04992551237*Deflactores!$I$5</f>
        <v>39.355675800953556</v>
      </c>
      <c r="M54" s="57">
        <f>20.7066014237699*Deflactores!$J$5</f>
        <v>46.858225984575128</v>
      </c>
      <c r="N54" s="57">
        <f>24.02984087722*Deflactores!$K$5</f>
        <v>52.707126281784454</v>
      </c>
      <c r="O54" s="57">
        <f>38.07912427073*Deflactores!$L$5</f>
        <v>80.522063523620091</v>
      </c>
      <c r="P54" s="57">
        <f>33.42179785151*Deflactores!$M$5</f>
        <v>68.990323621740274</v>
      </c>
      <c r="Q54" s="57">
        <f>35.14800508274*Deflactores!$N$5</f>
        <v>71.17286123445092</v>
      </c>
      <c r="R54" s="57">
        <f>39.0767289976999*Deflactores!$O$5</f>
        <v>76.334478565356392</v>
      </c>
      <c r="S54" s="57">
        <f>37.11706677972*Deflactores!$P$5</f>
        <v>67.908939106581002</v>
      </c>
      <c r="T54" s="57">
        <f>52.77448568989*Deflactores!$Q$5</f>
        <v>91.305498334856097</v>
      </c>
      <c r="U54" s="57">
        <f>68.91064596491*Deflactores!$R$5</f>
        <v>114.53816840778777</v>
      </c>
      <c r="V54" s="57">
        <f>81.46567146615*Deflactores!$S$5</f>
        <v>131.23299213003241</v>
      </c>
    </row>
    <row r="55" spans="3:22" x14ac:dyDescent="0.2">
      <c r="C55" s="87" t="s">
        <v>125</v>
      </c>
      <c r="D55" s="56">
        <f>5.0011216421*Deflactores!$A$5</f>
        <v>18.622741544660428</v>
      </c>
      <c r="E55" s="56">
        <f>5.94429947522999*Deflactores!$B$5</f>
        <v>20.562205120237458</v>
      </c>
      <c r="F55" s="56">
        <f>20.7327861223699*Deflactores!$C$5</f>
        <v>67.031048940843235</v>
      </c>
      <c r="G55" s="56">
        <f>26.06584200239*Deflactores!$D$5</f>
        <v>79.136297195392899</v>
      </c>
      <c r="H55" s="56">
        <f>26.506704538*Deflactores!$E$5</f>
        <v>76.28157742347851</v>
      </c>
      <c r="I55" s="56">
        <f>39.99792735841*Deflactores!$F$5</f>
        <v>109.7770575092709</v>
      </c>
      <c r="J55" s="56">
        <f>45.03790471065*Deflactores!$G$5</f>
        <v>118.31168518793802</v>
      </c>
      <c r="K55" s="56">
        <f>52.3041580905*Deflactores!$H$5</f>
        <v>129.99703568291127</v>
      </c>
      <c r="L55" s="56">
        <f>59.2253059354*Deflactores!$I$5</f>
        <v>136.70745587215742</v>
      </c>
      <c r="M55" s="56">
        <f>46.141062034*Deflactores!$J$5</f>
        <v>104.41541167038294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0.767423013*Deflactores!$A$5</f>
        <v>2.857663030272243</v>
      </c>
      <c r="E56" s="57">
        <f>0.290857026*Deflactores!$B$5</f>
        <v>1.0061171807032556</v>
      </c>
      <c r="F56" s="57">
        <f>1.028965653*Deflactores!$C$5</f>
        <v>3.326742804251996</v>
      </c>
      <c r="G56" s="57">
        <f>0.127919356*Deflactores!$D$5</f>
        <v>0.38836513213465634</v>
      </c>
      <c r="H56" s="57">
        <f>2.272435411*Deflactores!$E$5</f>
        <v>6.5396646156274709</v>
      </c>
      <c r="I56" s="57">
        <f>3.10901975*Deflactores!$F$5</f>
        <v>8.5329181393557185</v>
      </c>
      <c r="J56" s="57">
        <f>2.175061771*Deflactores!$G$5</f>
        <v>5.7137476791636708</v>
      </c>
      <c r="K56" s="57">
        <f>4.920850719*Deflactores!$H$5</f>
        <v>12.230308829391339</v>
      </c>
      <c r="L56" s="57">
        <f>10.4884077636*Deflactores!$I$5</f>
        <v>24.209981170473061</v>
      </c>
      <c r="M56" s="57">
        <f>13.6273551686*Deflactores!$J$5</f>
        <v>30.83816967323795</v>
      </c>
      <c r="N56" s="57">
        <f>14.3642611669*Deflactores!$K$5</f>
        <v>31.506614260856445</v>
      </c>
      <c r="O56" s="57">
        <f>18.07443329359*Deflactores!$L$5</f>
        <v>38.220171647660301</v>
      </c>
      <c r="P56" s="57">
        <f>16.76340375216*Deflactores!$M$5</f>
        <v>34.603543920697916</v>
      </c>
      <c r="Q56" s="57">
        <f>42.9016047916999*Deflactores!$N$5</f>
        <v>86.873492745519954</v>
      </c>
      <c r="R56" s="57">
        <f>52.273225058*Deflactores!$O$5</f>
        <v>102.11318808098861</v>
      </c>
      <c r="S56" s="57">
        <f>79.09879771742*Deflactores!$P$5</f>
        <v>144.71820926676588</v>
      </c>
      <c r="T56" s="57">
        <f>79.17216206013*Deflactores!$Q$5</f>
        <v>136.97629861569618</v>
      </c>
      <c r="U56" s="57">
        <f>114.446524580219*Deflactores!$R$5</f>
        <v>190.22453094881919</v>
      </c>
      <c r="V56" s="57">
        <f>116.476834320699*Deflactores!$S$5</f>
        <v>187.63244943105565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0.110112825*Deflactores!$A$5</f>
        <v>0.41002855508756703</v>
      </c>
      <c r="E58" s="57">
        <f>0.134241411*Deflactores!$B$5</f>
        <v>0.46436076111479946</v>
      </c>
      <c r="F58" s="57">
        <f>0.235194906*Deflactores!$C$5</f>
        <v>0.76040726806672587</v>
      </c>
      <c r="G58" s="57">
        <f>0.393911981*Deflactores!$D$5</f>
        <v>1.1959228324327182</v>
      </c>
      <c r="H58" s="57">
        <f>0.589622361*Deflactores!$E$5</f>
        <v>1.6968282012106115</v>
      </c>
      <c r="I58" s="57">
        <f>0.461787985*Deflactores!$F$5</f>
        <v>1.2674088267670305</v>
      </c>
      <c r="J58" s="57">
        <f>2.305815455*Deflactores!$G$5</f>
        <v>6.0572292153931526</v>
      </c>
      <c r="K58" s="57">
        <f>2.97763172*Deflactores!$H$5</f>
        <v>7.4006218833625468</v>
      </c>
      <c r="L58" s="57">
        <f>2.603315972*Deflactores!$I$5</f>
        <v>6.0091323758067636</v>
      </c>
      <c r="M58" s="57">
        <f>3.093967776*Deflactores!$J$5</f>
        <v>7.0015275935323551</v>
      </c>
      <c r="N58" s="57">
        <f>6.042086124*Deflactores!$K$5</f>
        <v>13.252730135428518</v>
      </c>
      <c r="O58" s="57">
        <f>6.5263708449*Deflactores!$L$5</f>
        <v>13.800654763368208</v>
      </c>
      <c r="P58" s="57">
        <f>8.07377242931*Deflactores!$M$5</f>
        <v>16.666134336074183</v>
      </c>
      <c r="Q58" s="57">
        <f>7.18527594852*Deflactores!$N$5</f>
        <v>14.549805794422777</v>
      </c>
      <c r="R58" s="57">
        <f>7.99685104244999*Deflactores!$O$5</f>
        <v>15.621457326332957</v>
      </c>
      <c r="S58" s="57">
        <f>14.10024263784*Deflactores!$P$5</f>
        <v>25.797634397238244</v>
      </c>
      <c r="T58" s="57">
        <f>15.92549632639*Deflactores!$Q$5</f>
        <v>27.552810023680021</v>
      </c>
      <c r="U58" s="57">
        <f>8.599866694*Deflactores!$R$5</f>
        <v>14.294061039327298</v>
      </c>
      <c r="V58" s="57">
        <f>10.63036282977*Deflactores!$S$5</f>
        <v>17.124443909582922</v>
      </c>
    </row>
    <row r="59" spans="3:22" x14ac:dyDescent="0.2">
      <c r="C59" s="87" t="s">
        <v>129</v>
      </c>
      <c r="D59" s="56">
        <f>7.21262575329*Deflactores!$A$5</f>
        <v>26.857748096181108</v>
      </c>
      <c r="E59" s="56">
        <f>8.75865134876*Deflactores!$B$5</f>
        <v>30.297461687506836</v>
      </c>
      <c r="F59" s="56">
        <f>9.52102413243*Deflactores!$C$5</f>
        <v>30.782367156108663</v>
      </c>
      <c r="G59" s="56">
        <f>9.17939615728999*Deflactores!$D$5</f>
        <v>27.868787906830011</v>
      </c>
      <c r="H59" s="56">
        <f>16.81115388476*Deflactores!$E$5</f>
        <v>48.379508467373228</v>
      </c>
      <c r="I59" s="56">
        <f>15.9709902885*Deflactores!$F$5</f>
        <v>43.8334792618206</v>
      </c>
      <c r="J59" s="56">
        <f>21.24512186586*Deflactores!$G$5</f>
        <v>55.809571651290319</v>
      </c>
      <c r="K59" s="56">
        <f>14.667663945*Deflactores!$H$5</f>
        <v>36.455090815990772</v>
      </c>
      <c r="L59" s="56">
        <f>22.75498075126*Deflactores!$I$5</f>
        <v>52.524431538061556</v>
      </c>
      <c r="M59" s="56">
        <f>23.20263890351*Deflactores!$J$5</f>
        <v>52.506660795193937</v>
      </c>
      <c r="N59" s="56">
        <f>35.82100586768*Deflactores!$K$5</f>
        <v>78.569903540150946</v>
      </c>
      <c r="O59" s="56">
        <f>43.69068769902*Deflactores!$L$5</f>
        <v>92.388267788903448</v>
      </c>
      <c r="P59" s="56">
        <f>41.17788786357*Deflactores!$M$5</f>
        <v>85.000687945908169</v>
      </c>
      <c r="Q59" s="56">
        <f>33.33100086114*Deflactores!$N$5</f>
        <v>67.493523274247494</v>
      </c>
      <c r="R59" s="56">
        <f>48.37344954376*Deflactores!$O$5</f>
        <v>94.495167380766304</v>
      </c>
      <c r="S59" s="56">
        <f>87.2204518721999*Deflactores!$P$5</f>
        <v>159.57749005839906</v>
      </c>
      <c r="T59" s="56">
        <f>66.8094183374999*Deflactores!$Q$5</f>
        <v>115.58743121841339</v>
      </c>
      <c r="U59" s="56">
        <f>75.2055244444199*Deflactores!$R$5</f>
        <v>125.00104887127675</v>
      </c>
      <c r="V59" s="56">
        <f>60.69539856807*Deflactores!$S$5</f>
        <v>97.774174314912102</v>
      </c>
    </row>
    <row r="60" spans="3:22" x14ac:dyDescent="0.2">
      <c r="C60" s="88" t="s">
        <v>130</v>
      </c>
      <c r="D60" s="57">
        <f>6.917689511*Deflactores!$A$5</f>
        <v>25.759490184179253</v>
      </c>
      <c r="E60" s="57">
        <f>12.03410639055*Deflactores!$B$5</f>
        <v>41.627741851225551</v>
      </c>
      <c r="F60" s="57">
        <f>13.7299584874699*Deflactores!$C$5</f>
        <v>44.390248078444955</v>
      </c>
      <c r="G60" s="57">
        <f>11.69979258176*Deflactores!$D$5</f>
        <v>35.520750213621263</v>
      </c>
      <c r="H60" s="57">
        <f>12.86607683206*Deflactores!$E$5</f>
        <v>37.02627893988894</v>
      </c>
      <c r="I60" s="57">
        <f>11.40206241893*Deflactores!$F$5</f>
        <v>31.293743065013963</v>
      </c>
      <c r="J60" s="57">
        <f>18.66318358301*Deflactores!$G$5</f>
        <v>49.026985488417608</v>
      </c>
      <c r="K60" s="57">
        <f>14.46829588636*Deflactores!$H$5</f>
        <v>35.959580371329508</v>
      </c>
      <c r="L60" s="57">
        <f>14.48993519508*Deflactores!$I$5</f>
        <v>33.446550338337921</v>
      </c>
      <c r="M60" s="57">
        <f>8.16160844437*Deflactores!$J$5</f>
        <v>18.469399446926637</v>
      </c>
      <c r="N60" s="57">
        <f>0*Deflactores!$K$5</f>
        <v>0</v>
      </c>
      <c r="O60" s="57">
        <f>3.172530085*Deflactores!$L$5</f>
        <v>6.7086277304787547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88.85655027866*Deflactores!$A$5</f>
        <v>330.87628912276756</v>
      </c>
      <c r="E61" s="56">
        <f>99.17929733453*Deflactores!$B$5</f>
        <v>343.07575921630735</v>
      </c>
      <c r="F61" s="56">
        <f>130.63248999904*Deflactores!$C$5</f>
        <v>422.34713553245018</v>
      </c>
      <c r="G61" s="56">
        <f>134.54748541064*Deflactores!$D$5</f>
        <v>408.48823496179068</v>
      </c>
      <c r="H61" s="56">
        <f>138.42184262557*Deflactores!$E$5</f>
        <v>398.35342376135617</v>
      </c>
      <c r="I61" s="56">
        <f>149.40221290245*Deflactores!$F$5</f>
        <v>410.04462983395348</v>
      </c>
      <c r="J61" s="56">
        <f>68.11224037019*Deflactores!$G$5</f>
        <v>178.92648407814397</v>
      </c>
      <c r="K61" s="56">
        <f>16.03621764636*Deflactores!$H$5</f>
        <v>39.856501542110266</v>
      </c>
      <c r="L61" s="56">
        <f>17.13660215002*Deflactores!$I$5</f>
        <v>39.55574809149789</v>
      </c>
      <c r="M61" s="56">
        <f>27.59628116223*Deflactores!$J$5</f>
        <v>62.449300711860573</v>
      </c>
      <c r="N61" s="56">
        <f>3.900918542*Deflactores!$K$5</f>
        <v>8.5562866295573645</v>
      </c>
      <c r="O61" s="56">
        <f>4.43949667109*Deflactores!$L$5</f>
        <v>9.3877535213484009</v>
      </c>
      <c r="P61" s="56">
        <f>5.46275456291999*Deflactores!$M$5</f>
        <v>11.276389344356026</v>
      </c>
      <c r="Q61" s="56">
        <f>15.76222204436*Deflactores!$N$5</f>
        <v>31.917670424508291</v>
      </c>
      <c r="R61" s="56">
        <f>6.03571215*Deflactores!$O$5</f>
        <v>11.790468433730862</v>
      </c>
      <c r="S61" s="56">
        <f>9.06207895043*Deflactores!$P$5</f>
        <v>16.579870690644665</v>
      </c>
      <c r="T61" s="56">
        <f>10.7161556452699*Deflactores!$Q$5</f>
        <v>18.540094112422398</v>
      </c>
      <c r="U61" s="56">
        <f>13.6330621061699*Deflactores!$R$5</f>
        <v>22.659865417971154</v>
      </c>
      <c r="V61" s="56">
        <f>10.03837515781*Deflactores!$S$5</f>
        <v>16.170811390544724</v>
      </c>
    </row>
    <row r="62" spans="3:22" x14ac:dyDescent="0.2">
      <c r="C62" s="88" t="s">
        <v>132</v>
      </c>
      <c r="D62" s="57">
        <f>10.7303846523199*Deflactores!$A$5</f>
        <v>39.956872548901856</v>
      </c>
      <c r="E62" s="57">
        <f>14.35896077104*Deflactores!$B$5</f>
        <v>49.669754681420038</v>
      </c>
      <c r="F62" s="57">
        <f>13.98099950814*Deflactores!$C$5</f>
        <v>45.201887326705005</v>
      </c>
      <c r="G62" s="57">
        <f>4.93750024996999*Deflactores!$D$5</f>
        <v>14.990326694534748</v>
      </c>
      <c r="H62" s="57">
        <f>9.23444872430999*Deflactores!$E$5</f>
        <v>26.575099681544383</v>
      </c>
      <c r="I62" s="57">
        <f>7.83337265804999*Deflactores!$F$5</f>
        <v>21.499229024263318</v>
      </c>
      <c r="J62" s="57">
        <f>16.65211071796*Deflactores!$G$5</f>
        <v>43.744026140543312</v>
      </c>
      <c r="K62" s="57">
        <f>16.14065559263*Deflactores!$H$5</f>
        <v>40.116072175183454</v>
      </c>
      <c r="L62" s="57">
        <f>25.27236688397*Deflactores!$I$5</f>
        <v>58.335215428751972</v>
      </c>
      <c r="M62" s="57">
        <f>60.24449437957*Deflactores!$J$5</f>
        <v>136.33092530210124</v>
      </c>
      <c r="N62" s="57">
        <f>63.1095737997599*Deflactores!$K$5</f>
        <v>138.42473168463033</v>
      </c>
      <c r="O62" s="57">
        <f>66.15572337629*Deflactores!$L$5</f>
        <v>139.8928011653704</v>
      </c>
      <c r="P62" s="57">
        <f>76.0819283712*Deflactores!$M$5</f>
        <v>157.05070335879626</v>
      </c>
      <c r="Q62" s="57">
        <f>98.69501671383*Deflactores!$N$5</f>
        <v>199.85221672096225</v>
      </c>
      <c r="R62" s="57">
        <f>102.08940218641*Deflactores!$O$5</f>
        <v>199.42665322389863</v>
      </c>
      <c r="S62" s="57">
        <f>129.40824410987*Deflactores!$P$5</f>
        <v>236.7637674954504</v>
      </c>
      <c r="T62" s="57">
        <f>189.79637944675*Deflactores!$Q$5</f>
        <v>328.36801308433684</v>
      </c>
      <c r="U62" s="57">
        <f>256.027164765629*Deflactores!$R$5</f>
        <v>425.54937781060073</v>
      </c>
      <c r="V62" s="57">
        <f>333.99729948606*Deflactores!$S$5</f>
        <v>538.03601180797625</v>
      </c>
    </row>
    <row r="63" spans="3:22" x14ac:dyDescent="0.2">
      <c r="C63" s="87" t="s">
        <v>133</v>
      </c>
      <c r="D63" s="56">
        <f>0*Deflactores!$A$5</f>
        <v>0</v>
      </c>
      <c r="E63" s="56">
        <f>0*Deflactores!$B$5</f>
        <v>0</v>
      </c>
      <c r="F63" s="56">
        <f>0*Deflactores!$C$5</f>
        <v>0</v>
      </c>
      <c r="G63" s="56">
        <f>0*Deflactores!$D$5</f>
        <v>0</v>
      </c>
      <c r="H63" s="56">
        <f>0.917822978*Deflactores!$E$5</f>
        <v>2.641331156688453</v>
      </c>
      <c r="I63" s="56">
        <f>2.6084096012*Deflactores!$F$5</f>
        <v>7.1589592188821234</v>
      </c>
      <c r="J63" s="56">
        <f>5.9*Deflactores!$G$5</f>
        <v>15.498921343997846</v>
      </c>
      <c r="K63" s="56">
        <f>1.09751816106*Deflactores!$H$5</f>
        <v>2.7277775372867317</v>
      </c>
      <c r="L63" s="56">
        <f>4.94609906*Deflactores!$I$5</f>
        <v>11.416886891589893</v>
      </c>
      <c r="M63" s="56">
        <f>4.502234*Deflactores!$J$5</f>
        <v>10.188378763366781</v>
      </c>
      <c r="N63" s="56">
        <f>3.431674708*Deflactores!$K$5</f>
        <v>7.5270457726596058</v>
      </c>
      <c r="O63" s="56">
        <f>5.324889945*Deflactores!$L$5</f>
        <v>11.260004913956392</v>
      </c>
      <c r="P63" s="56">
        <f>4.41460858764999*Deflactores!$M$5</f>
        <v>9.1127735401441399</v>
      </c>
      <c r="Q63" s="56">
        <f>3.53564383299*Deflactores!$N$5</f>
        <v>7.1594927594742011</v>
      </c>
      <c r="R63" s="56">
        <f>3.98813691490999*Deflactores!$O$5</f>
        <v>7.790630374021899</v>
      </c>
      <c r="S63" s="56">
        <f>2.472103375*Deflactores!$P$5</f>
        <v>4.5229306117953652</v>
      </c>
      <c r="T63" s="56">
        <f>2.98089424655*Deflactores!$Q$5</f>
        <v>5.1572655063674659</v>
      </c>
      <c r="U63" s="56">
        <f>7.78810775331*Deflactores!$R$5</f>
        <v>12.944815491656426</v>
      </c>
      <c r="V63" s="56">
        <f>25.22369865832*Deflactores!$S$5</f>
        <v>40.632838199744533</v>
      </c>
    </row>
    <row r="64" spans="3:22" x14ac:dyDescent="0.2">
      <c r="C64" s="88" t="s">
        <v>134</v>
      </c>
      <c r="D64" s="57">
        <f>7.4030269236*Deflactores!$A$5</f>
        <v>27.566747404383317</v>
      </c>
      <c r="E64" s="57">
        <f>11.08305770535*Deflactores!$B$5</f>
        <v>38.337924737215168</v>
      </c>
      <c r="F64" s="57">
        <f>17.4207050769599*Deflactores!$C$5</f>
        <v>56.322779181991379</v>
      </c>
      <c r="G64" s="57">
        <f>15.08373477376*Deflactores!$D$5</f>
        <v>45.794450751420392</v>
      </c>
      <c r="H64" s="57">
        <f>16.2718543383299*Deflactores!$E$5</f>
        <v>46.827500368951249</v>
      </c>
      <c r="I64" s="57">
        <f>23.0512667862999*Deflactores!$F$5</f>
        <v>63.265784173917332</v>
      </c>
      <c r="J64" s="57">
        <f>11.98074788608*Deflactores!$G$5</f>
        <v>31.472655784512266</v>
      </c>
      <c r="K64" s="57">
        <f>14.27582194667*Deflactores!$H$5</f>
        <v>35.481204606966408</v>
      </c>
      <c r="L64" s="57">
        <f>13.5422993706699*Deflactores!$I$5</f>
        <v>31.259159651158956</v>
      </c>
      <c r="M64" s="57">
        <f>10.0651656352*Deflactores!$J$5</f>
        <v>22.777074627271883</v>
      </c>
      <c r="N64" s="57">
        <f>11.1853314043*Deflactores!$K$5</f>
        <v>24.533940022421564</v>
      </c>
      <c r="O64" s="57">
        <f>10.40983253541*Deflactores!$L$5</f>
        <v>22.01261748371773</v>
      </c>
      <c r="P64" s="57">
        <f>14.77170839575*Deflactores!$M$5</f>
        <v>30.492223883244126</v>
      </c>
      <c r="Q64" s="57">
        <f>18.06433416822*Deflactores!$N$5</f>
        <v>36.579326366344233</v>
      </c>
      <c r="R64" s="57">
        <f>21.844530181036*Deflactores!$O$5</f>
        <v>42.672221131219132</v>
      </c>
      <c r="S64" s="57">
        <f>21.7296389743699*Deflactores!$P$5</f>
        <v>39.756286203217236</v>
      </c>
      <c r="T64" s="57">
        <f>18.0046768588199*Deflactores!$Q$5</f>
        <v>31.150014471245317</v>
      </c>
      <c r="U64" s="57">
        <f>25.91607595112*Deflactores!$R$5</f>
        <v>43.075780675019793</v>
      </c>
      <c r="V64" s="57">
        <f>26.75419579889*Deflactores!$S$5</f>
        <v>43.098314953188051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783.75635207105*Deflactores!$A$5</f>
        <v>2918.4836968844916</v>
      </c>
      <c r="E66" s="57">
        <f>804.191050811169*Deflactores!$B$5</f>
        <v>2781.8149828325686</v>
      </c>
      <c r="F66" s="57">
        <f>897.48324592748*Deflactores!$C$5</f>
        <v>2901.6478068252568</v>
      </c>
      <c r="G66" s="57">
        <f>986.61322323573*Deflactores!$D$5</f>
        <v>2995.3729192300143</v>
      </c>
      <c r="H66" s="57">
        <f>1054.70162683411*Deflactores!$E$5</f>
        <v>3035.243543409013</v>
      </c>
      <c r="I66" s="57">
        <f>1144.4134547831*Deflactores!$F$5</f>
        <v>3140.9212911051654</v>
      </c>
      <c r="J66" s="57">
        <f>1506.35720168513*Deflactores!$G$5</f>
        <v>3957.1036923529709</v>
      </c>
      <c r="K66" s="57">
        <f>2057.71292613796*Deflactores!$H$5</f>
        <v>5114.2507680078597</v>
      </c>
      <c r="L66" s="57">
        <f>2578.49651102968*Deflactores!$I$5</f>
        <v>5951.8425853737399</v>
      </c>
      <c r="M66" s="57">
        <f>3378.34592939794*Deflactores!$J$5</f>
        <v>7645.0641886638023</v>
      </c>
      <c r="N66" s="57">
        <f>2699.11896025672*Deflactores!$K$5</f>
        <v>5920.2557609390215</v>
      </c>
      <c r="O66" s="57">
        <f>2758.98269483588*Deflactores!$L$5</f>
        <v>5834.1409911285327</v>
      </c>
      <c r="P66" s="57">
        <f>2851.41649076732*Deflactores!$M$5</f>
        <v>5885.983373857207</v>
      </c>
      <c r="Q66" s="57">
        <f>3296.97782184062*Deflactores!$N$5</f>
        <v>6676.2066425828543</v>
      </c>
      <c r="R66" s="57">
        <f>1153.41833109045*Deflactores!$O$5</f>
        <v>2253.146287569145</v>
      </c>
      <c r="S66" s="57">
        <f>1255.36784704984*Deflactores!$P$5</f>
        <v>2296.805919164025</v>
      </c>
      <c r="T66" s="57">
        <f>2274.79825354112*Deflactores!$Q$5</f>
        <v>3935.644003644391</v>
      </c>
      <c r="U66" s="57">
        <f>2469.56078951237*Deflactores!$R$5</f>
        <v>4104.7209127378046</v>
      </c>
      <c r="V66" s="57">
        <f>2317.27116193752*Deflactores!$S$5</f>
        <v>3732.8904639797393</v>
      </c>
    </row>
    <row r="67" spans="3:22" x14ac:dyDescent="0.2">
      <c r="C67" s="87" t="s">
        <v>137</v>
      </c>
      <c r="D67" s="56">
        <f>9.16418072909*Deflactores!$A$5</f>
        <v>34.124778679596126</v>
      </c>
      <c r="E67" s="56">
        <f>11.69453653486*Deflactores!$B$5</f>
        <v>40.453119836563836</v>
      </c>
      <c r="F67" s="56">
        <f>18.05998607355*Deflactores!$C$5</f>
        <v>58.389634814247508</v>
      </c>
      <c r="G67" s="56">
        <f>22.33358455534*Deflactores!$D$5</f>
        <v>67.805106186394013</v>
      </c>
      <c r="H67" s="56">
        <f>21.62871002702*Deflactores!$E$5</f>
        <v>62.243577511902167</v>
      </c>
      <c r="I67" s="56">
        <f>44.53138977466*Deflactores!$F$5</f>
        <v>122.21945633472289</v>
      </c>
      <c r="J67" s="56">
        <f>46.13845432529*Deflactores!$G$5</f>
        <v>121.20275839344185</v>
      </c>
      <c r="K67" s="56">
        <f>28.49453422167*Deflactores!$H$5</f>
        <v>70.820468528967027</v>
      </c>
      <c r="L67" s="56">
        <f>44.8560445389499*Deflactores!$I$5</f>
        <v>103.53945214055409</v>
      </c>
      <c r="M67" s="56">
        <f>44.18754418004*Deflactores!$J$5</f>
        <v>99.99467747106236</v>
      </c>
      <c r="N67" s="56">
        <f>35.22992994866*Deflactores!$K$5</f>
        <v>77.273435816328345</v>
      </c>
      <c r="O67" s="56">
        <f>37.00266176156*Deflactores!$L$5</f>
        <v>78.245777390359166</v>
      </c>
      <c r="P67" s="56">
        <f>42.4254209544599*Deflactores!$M$5</f>
        <v>87.575884889283728</v>
      </c>
      <c r="Q67" s="56">
        <f>44.96291783831*Deflactores!$N$5</f>
        <v>91.047543223826835</v>
      </c>
      <c r="R67" s="56">
        <f>54.6884594046*Deflactores!$O$5</f>
        <v>106.83123023010765</v>
      </c>
      <c r="S67" s="56">
        <f>41.2972567344199*Deflactores!$P$5</f>
        <v>75.556964387575448</v>
      </c>
      <c r="T67" s="56">
        <f>35.0278453277*Deflactores!$Q$5</f>
        <v>60.601914569763295</v>
      </c>
      <c r="U67" s="56">
        <f>64.05267357061*Deflactores!$R$5</f>
        <v>106.46360674278677</v>
      </c>
      <c r="V67" s="56">
        <f>41.36061043726*Deflactores!$S$5</f>
        <v>66.627777888771575</v>
      </c>
    </row>
    <row r="68" spans="3:22" x14ac:dyDescent="0.2">
      <c r="C68" s="88" t="s">
        <v>138</v>
      </c>
      <c r="D68" s="57">
        <f>3.91711488534*Deflactores!$A$5</f>
        <v>14.586211520301664</v>
      </c>
      <c r="E68" s="57">
        <f>4.09519986397*Deflactores!$B$5</f>
        <v>14.165897926611722</v>
      </c>
      <c r="F68" s="57">
        <f>5.52525726338*Deflactores!$C$5</f>
        <v>17.863676779685949</v>
      </c>
      <c r="G68" s="57">
        <f>17.00957829135*Deflactores!$D$5</f>
        <v>51.641341289076877</v>
      </c>
      <c r="H68" s="57">
        <f>25.34981986463*Deflactores!$E$5</f>
        <v>72.952269260889096</v>
      </c>
      <c r="I68" s="57">
        <f>17.8148936322399*Deflactores!$F$5</f>
        <v>48.894198573435418</v>
      </c>
      <c r="J68" s="57">
        <f>38.53041158853*Deflactores!$G$5</f>
        <v>101.21691840042196</v>
      </c>
      <c r="K68" s="57">
        <f>36.11206215059*Deflactores!$H$5</f>
        <v>89.753113392076799</v>
      </c>
      <c r="L68" s="57">
        <f>51.51198866141*Deflactores!$I$5</f>
        <v>118.90310747398962</v>
      </c>
      <c r="M68" s="57">
        <f>32.53208580133*Deflactores!$J$5</f>
        <v>73.618832807512135</v>
      </c>
      <c r="N68" s="57">
        <f>37.64325783754*Deflactores!$K$5</f>
        <v>82.566836569519921</v>
      </c>
      <c r="O68" s="57">
        <f>26.999793958*Deflactores!$L$5</f>
        <v>57.093726965823727</v>
      </c>
      <c r="P68" s="57">
        <f>10*Deflactores!$M$5</f>
        <v>20.642313716412861</v>
      </c>
      <c r="Q68" s="57">
        <f>5*Deflactores!$N$5</f>
        <v>10.124736961159925</v>
      </c>
      <c r="R68" s="57">
        <f>0*Deflactores!$O$5</f>
        <v>0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64.36264744443*Deflactores!$A$5</f>
        <v>239.66802534809293</v>
      </c>
      <c r="E69" s="56">
        <f>55.61952653211*Deflactores!$B$5</f>
        <v>192.39611294979147</v>
      </c>
      <c r="F69" s="56">
        <f>79.56779913279*Deflactores!$C$5</f>
        <v>257.25018366106468</v>
      </c>
      <c r="G69" s="56">
        <f>67.48878974761*Deflactores!$D$5</f>
        <v>204.89700360857503</v>
      </c>
      <c r="H69" s="56">
        <f>108.46387496175*Deflactores!$E$5</f>
        <v>312.13972539226501</v>
      </c>
      <c r="I69" s="56">
        <f>103.75606151124*Deflactores!$F$5</f>
        <v>284.76563371376704</v>
      </c>
      <c r="J69" s="56">
        <f>114.12112459343*Deflactores!$G$5</f>
        <v>299.78887012917789</v>
      </c>
      <c r="K69" s="56">
        <f>149.89817971907*Deflactores!$H$5</f>
        <v>372.5577416622769</v>
      </c>
      <c r="L69" s="56">
        <f>272.27543562105*Deflactores!$I$5</f>
        <v>628.48273237857347</v>
      </c>
      <c r="M69" s="56">
        <f>306.74790240321*Deflactores!$J$5</f>
        <v>694.15845879005201</v>
      </c>
      <c r="N69" s="56">
        <f>259.9464065344*Deflactores!$K$5</f>
        <v>570.16724104457603</v>
      </c>
      <c r="O69" s="56">
        <f>200.30747241681*Deflactores!$L$5</f>
        <v>423.56990416925225</v>
      </c>
      <c r="P69" s="56">
        <f>253.80679463581*Deflactores!$M$5</f>
        <v>523.91594782295635</v>
      </c>
      <c r="Q69" s="56">
        <f>340.03298142215*Deflactores!$N$5</f>
        <v>688.54889900364969</v>
      </c>
      <c r="R69" s="56">
        <f>332.06259455702*Deflactores!$O$5</f>
        <v>648.66803483120282</v>
      </c>
      <c r="S69" s="56">
        <f>452.827952995599*Deflactores!$P$5</f>
        <v>828.48857826603921</v>
      </c>
      <c r="T69" s="56">
        <f>538.61542109368*Deflactores!$Q$5</f>
        <v>931.8622207476659</v>
      </c>
      <c r="U69" s="56">
        <f>574.6538301149*Deflactores!$R$5</f>
        <v>955.14700592702002</v>
      </c>
      <c r="V69" s="56">
        <f>33.53913998675*Deflactores!$S$5</f>
        <v>54.028176711930406</v>
      </c>
    </row>
    <row r="70" spans="3:22" x14ac:dyDescent="0.2">
      <c r="C70" s="88" t="s">
        <v>140</v>
      </c>
      <c r="D70" s="57">
        <f>7.76798867261*Deflactores!$A$5</f>
        <v>28.925760204289244</v>
      </c>
      <c r="E70" s="57">
        <f>32.89961187753*Deflactores!$B$5</f>
        <v>113.80459053601072</v>
      </c>
      <c r="F70" s="57">
        <f>9.8005457963*Deflactores!$C$5</f>
        <v>31.686087004483493</v>
      </c>
      <c r="G70" s="57">
        <f>7.18372860872999*Deflactores!$D$5</f>
        <v>21.809910537299245</v>
      </c>
      <c r="H70" s="57">
        <f>35.0357179659*Deflactores!$E$5</f>
        <v>100.82655989059478</v>
      </c>
      <c r="I70" s="57">
        <f>215.98553864273*Deflactores!$F$5</f>
        <v>592.78713830076708</v>
      </c>
      <c r="J70" s="57">
        <f>227.957002549829*Deflactores!$G$5</f>
        <v>598.82841564971466</v>
      </c>
      <c r="K70" s="57">
        <f>115.259678674589*Deflactores!$H$5</f>
        <v>286.46702496455765</v>
      </c>
      <c r="L70" s="57">
        <f>235.40005174949*Deflactores!$I$5</f>
        <v>543.3647269285251</v>
      </c>
      <c r="M70" s="57">
        <f>253.58308678879*Deflactores!$J$5</f>
        <v>573.84856855239059</v>
      </c>
      <c r="N70" s="57">
        <f>277.06831678735*Deflactores!$K$5</f>
        <v>607.72249122282926</v>
      </c>
      <c r="O70" s="57">
        <f>468.92564922068*Deflactores!$L$5</f>
        <v>991.58952936914602</v>
      </c>
      <c r="P70" s="57">
        <f>477.40073643226*Deflactores!$M$5</f>
        <v>985.4655769881241</v>
      </c>
      <c r="Q70" s="57">
        <f>449.53578397965*Deflactores!$N$5</f>
        <v>910.28631348455326</v>
      </c>
      <c r="R70" s="57">
        <f>286.1552494147*Deflactores!$O$5</f>
        <v>558.9902817632551</v>
      </c>
      <c r="S70" s="57">
        <f>177.81687981949*Deflactores!$P$5</f>
        <v>325.33162535304928</v>
      </c>
      <c r="T70" s="57">
        <f>235.95637273672*Deflactores!$Q$5</f>
        <v>408.22973291691358</v>
      </c>
      <c r="U70" s="57">
        <f>177.72026931991*Deflactores!$R$5</f>
        <v>295.39345991919163</v>
      </c>
      <c r="V70" s="57">
        <f>220.66633762977*Deflactores!$S$5</f>
        <v>355.47124608876987</v>
      </c>
    </row>
    <row r="71" spans="3:22" x14ac:dyDescent="0.2">
      <c r="C71" s="87" t="s">
        <v>141</v>
      </c>
      <c r="D71" s="56">
        <f>0*Deflactores!$A$5</f>
        <v>0</v>
      </c>
      <c r="E71" s="56">
        <f>0*Deflactores!$B$5</f>
        <v>0</v>
      </c>
      <c r="F71" s="56">
        <f>0*Deflactores!$C$5</f>
        <v>0</v>
      </c>
      <c r="G71" s="56">
        <f>0*Deflactores!$D$5</f>
        <v>0</v>
      </c>
      <c r="H71" s="56">
        <f>0*Deflactores!$E$5</f>
        <v>0</v>
      </c>
      <c r="I71" s="56">
        <f>0*Deflactores!$F$5</f>
        <v>0</v>
      </c>
      <c r="J71" s="56">
        <f>0*Deflactores!$G$5</f>
        <v>0</v>
      </c>
      <c r="K71" s="56">
        <f>1.033709844*Deflactores!$H$5</f>
        <v>2.5691880030595873</v>
      </c>
      <c r="L71" s="56">
        <f>0.786042999*Deflactores!$I$5</f>
        <v>1.8143922923187688</v>
      </c>
      <c r="M71" s="56">
        <f>0.094315157*Deflactores!$J$5</f>
        <v>0.21343149703955944</v>
      </c>
      <c r="N71" s="56">
        <f>0.301809918*Deflactores!$K$5</f>
        <v>0.66199079479553113</v>
      </c>
      <c r="O71" s="56">
        <f>5.441148*Deflactores!$L$5</f>
        <v>11.505844036287213</v>
      </c>
      <c r="P71" s="56">
        <f>0.16075268*Deflactores!$M$5</f>
        <v>0.33183072513141276</v>
      </c>
      <c r="Q71" s="56">
        <f>0.327883872*Deflactores!$N$5</f>
        <v>0.6639475915613261</v>
      </c>
      <c r="R71" s="56">
        <f>2.868343936*Deflactores!$O$5</f>
        <v>5.6031695670727668</v>
      </c>
      <c r="S71" s="56">
        <f>0*Deflactores!$P$5</f>
        <v>0</v>
      </c>
      <c r="T71" s="56">
        <f>0.473329598*Deflactores!$Q$5</f>
        <v>0.818910772072314</v>
      </c>
      <c r="U71" s="56">
        <f>0*Deflactores!$R$5</f>
        <v>0</v>
      </c>
      <c r="V71" s="56">
        <f>0*Deflactores!$S$5</f>
        <v>0</v>
      </c>
    </row>
    <row r="72" spans="3:22" x14ac:dyDescent="0.2">
      <c r="C72" s="88" t="s">
        <v>142</v>
      </c>
      <c r="D72" s="57">
        <f>1.60707621494*Deflactores!$A$5</f>
        <v>5.9842905522353504</v>
      </c>
      <c r="E72" s="57">
        <f>3.92720358312*Deflactores!$B$5</f>
        <v>13.584774111994179</v>
      </c>
      <c r="F72" s="57">
        <f>4.85115981739999*Deflactores!$C$5</f>
        <v>15.68425628956523</v>
      </c>
      <c r="G72" s="57">
        <f>4.712578767*Deflactores!$D$5</f>
        <v>14.307461613087943</v>
      </c>
      <c r="H72" s="57">
        <f>6.74760077899999*Deflactores!$E$5</f>
        <v>19.41839395795553</v>
      </c>
      <c r="I72" s="57">
        <f>6.88851664572*Deflactores!$F$5</f>
        <v>18.906006833670965</v>
      </c>
      <c r="J72" s="57">
        <f>6.99672734065*Deflactores!$G$5</f>
        <v>18.379953681039588</v>
      </c>
      <c r="K72" s="57">
        <f>8.93850071522*Deflactores!$H$5</f>
        <v>22.215797727164492</v>
      </c>
      <c r="L72" s="57">
        <f>12.90488368072*Deflactores!$I$5</f>
        <v>29.787837959700003</v>
      </c>
      <c r="M72" s="57">
        <f>15.35513065792*Deflactores!$J$5</f>
        <v>34.748057765072701</v>
      </c>
      <c r="N72" s="57">
        <f>22.71480381291*Deflactores!$K$5</f>
        <v>49.822719973479636</v>
      </c>
      <c r="O72" s="57">
        <f>25.4518601440199*Deflactores!$L$5</f>
        <v>53.820468263404628</v>
      </c>
      <c r="P72" s="57">
        <f>27.23400668907*Deflactores!$M$5</f>
        <v>56.217290983066924</v>
      </c>
      <c r="Q72" s="57">
        <f>38.2486069114*Deflactores!$N$5</f>
        <v>77.451416821745724</v>
      </c>
      <c r="R72" s="57">
        <f>16.84911320897*Deflactores!$O$5</f>
        <v>32.913918439055863</v>
      </c>
      <c r="S72" s="57">
        <f>19.13725023883*Deflactores!$P$5</f>
        <v>35.013282942017888</v>
      </c>
      <c r="T72" s="57">
        <f>16.02984097178*Deflactores!$Q$5</f>
        <v>27.733337407724864</v>
      </c>
      <c r="U72" s="57">
        <f>16.43177132524*Deflactores!$R$5</f>
        <v>27.311672455471736</v>
      </c>
      <c r="V72" s="57">
        <f>17.58606328075*Deflactores!$S$5</f>
        <v>28.329376810941362</v>
      </c>
    </row>
    <row r="73" spans="3:22" x14ac:dyDescent="0.2">
      <c r="C73" s="87" t="s">
        <v>143</v>
      </c>
      <c r="D73" s="56">
        <f>0.0585*Deflactores!$A$5</f>
        <v>0.21783720899561584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51.62513713616*Deflactores!$E$5</f>
        <v>148.56795531877989</v>
      </c>
      <c r="I73" s="56">
        <f>8.41141910152*Deflactores!$F$5</f>
        <v>23.085717171492135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1.837994*Deflactores!$M$5</f>
        <v>3.7940448756884537</v>
      </c>
      <c r="Q73" s="56">
        <f>3.565116884*Deflactores!$N$5</f>
        <v>7.2191741372580207</v>
      </c>
      <c r="R73" s="56">
        <f>11.10531429688*Deflactores!$O$5</f>
        <v>21.693688235948045</v>
      </c>
      <c r="S73" s="56">
        <f>0.260502065*Deflactores!$P$5</f>
        <v>0.47661144600168909</v>
      </c>
      <c r="T73" s="56">
        <f>11.80826940417*Deflactores!$Q$5</f>
        <v>20.429567589827201</v>
      </c>
      <c r="U73" s="56">
        <f>20.3188699500599*Deflactores!$R$5</f>
        <v>33.772519697188393</v>
      </c>
      <c r="V73" s="56">
        <f>56.06953242524*Deflactores!$S$5</f>
        <v>90.322369840817316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1.76845274115*Deflactores!$A$5</f>
        <v>6.5852104166284144</v>
      </c>
      <c r="E75" s="56">
        <f>0.326138672*Deflactores!$B$5</f>
        <v>1.1281615771968452</v>
      </c>
      <c r="F75" s="56">
        <f>3.759734354*Deflactores!$C$5</f>
        <v>12.155575039460064</v>
      </c>
      <c r="G75" s="56">
        <f>9.785214233*Deflactores!$D$5</f>
        <v>29.70806090178381</v>
      </c>
      <c r="H75" s="56">
        <f>12.930728134*Deflactores!$E$5</f>
        <v>37.212333878834471</v>
      </c>
      <c r="I75" s="56">
        <f>1.490787856*Deflactores!$F$5</f>
        <v>4.0915696139896252</v>
      </c>
      <c r="J75" s="56">
        <f>13.85200792581*Deflactores!$G$5</f>
        <v>36.388335813315919</v>
      </c>
      <c r="K75" s="56">
        <f>15.71872646964*Deflactores!$H$5</f>
        <v>39.067407264793609</v>
      </c>
      <c r="L75" s="56">
        <f>10.802639176*Deflactores!$I$5</f>
        <v>24.935309242077704</v>
      </c>
      <c r="M75" s="56">
        <f>15.474536848*Deflactores!$J$5</f>
        <v>35.018269284781717</v>
      </c>
      <c r="N75" s="56">
        <f>15.636954889*Deflactores!$K$5</f>
        <v>34.29814455319184</v>
      </c>
      <c r="O75" s="56">
        <f>18.55610505966*Deflactores!$L$5</f>
        <v>39.23871409809253</v>
      </c>
      <c r="P75" s="56">
        <f>19.9258681739199*Deflactores!$M$5</f>
        <v>41.131602191794123</v>
      </c>
      <c r="Q75" s="56">
        <f>14.1210694408299*Deflactores!$N$5</f>
        <v>28.594422739735283</v>
      </c>
      <c r="R75" s="56">
        <f>21.09960034907*Deflactores!$O$5</f>
        <v>41.217037144497773</v>
      </c>
      <c r="S75" s="56">
        <f>30.03196868271*Deflactores!$P$5</f>
        <v>54.946128815308455</v>
      </c>
      <c r="T75" s="56">
        <f>47.216400572*Deflactores!$Q$5</f>
        <v>81.689417290342718</v>
      </c>
      <c r="U75" s="56">
        <f>43.530558076*Deflactores!$R$5</f>
        <v>72.353267364998274</v>
      </c>
      <c r="V75" s="56">
        <f>47.9328995984*Deflactores!$S$5</f>
        <v>77.215073816462578</v>
      </c>
    </row>
    <row r="76" spans="3:22" x14ac:dyDescent="0.2">
      <c r="C76" s="88" t="s">
        <v>146</v>
      </c>
      <c r="D76" s="57">
        <f>3.22159064087999*Deflactores!$A$5</f>
        <v>11.996278867276825</v>
      </c>
      <c r="E76" s="57">
        <f>4.51765405322999*Deflactores!$B$5</f>
        <v>15.627229027049161</v>
      </c>
      <c r="F76" s="57">
        <f>1.57433331087*Deflactores!$C$5</f>
        <v>5.0899677731332327</v>
      </c>
      <c r="G76" s="57">
        <f>2.73446456904*Deflactores!$D$5</f>
        <v>8.3018764859381839</v>
      </c>
      <c r="H76" s="57">
        <f>0.95751653006*Deflactores!$E$5</f>
        <v>2.7555621339997591</v>
      </c>
      <c r="I76" s="57">
        <f>3.37464939781*Deflactores!$F$5</f>
        <v>9.2619569433545088</v>
      </c>
      <c r="J76" s="57">
        <f>3.90773503727*Deflactores!$G$5</f>
        <v>10.26536914844614</v>
      </c>
      <c r="K76" s="57">
        <f>4.07851416467*Deflactores!$H$5</f>
        <v>10.136761029218521</v>
      </c>
      <c r="L76" s="57">
        <f>2.74858777098*Deflactores!$I$5</f>
        <v>6.3444575840917032</v>
      </c>
      <c r="M76" s="57">
        <f>3.44213520779*Deflactores!$J$5</f>
        <v>7.7894168210014714</v>
      </c>
      <c r="N76" s="57">
        <f>8.01837743081*Deflactores!$K$5</f>
        <v>17.587533516352039</v>
      </c>
      <c r="O76" s="57">
        <f>9.11835063947728*Deflactores!$L$5</f>
        <v>19.281651652556658</v>
      </c>
      <c r="P76" s="57">
        <f>56.0279819934679*Deflactores!$M$5</f>
        <v>115.65471812066951</v>
      </c>
      <c r="Q76" s="57">
        <f>44.4904725145049*Deflactores!$N$5</f>
        <v>90.090866297415516</v>
      </c>
      <c r="R76" s="57">
        <f>11.6096626035154*Deflactores!$O$5</f>
        <v>22.678907981556737</v>
      </c>
      <c r="S76" s="57">
        <f>38.2573618978981*Deflactores!$P$5</f>
        <v>69.995209344567527</v>
      </c>
      <c r="T76" s="57">
        <f>23.93139742884*Deflactores!$Q$5</f>
        <v>41.403874230617532</v>
      </c>
      <c r="U76" s="57">
        <f>44.34971060323*Deflactores!$R$5</f>
        <v>73.714801984240012</v>
      </c>
      <c r="V76" s="57">
        <f>14.92384023755*Deflactores!$S$5</f>
        <v>24.040803607173871</v>
      </c>
    </row>
    <row r="77" spans="3:22" x14ac:dyDescent="0.2">
      <c r="C77" s="90" t="s">
        <v>147</v>
      </c>
      <c r="D77" s="58">
        <f>392.71643165858*Deflactores!$A$5</f>
        <v>1462.3632717815824</v>
      </c>
      <c r="E77" s="58">
        <f>622.1630436247*Deflactores!$B$5</f>
        <v>2152.1533655145045</v>
      </c>
      <c r="F77" s="58">
        <f>540.48506314996*Deflactores!$C$5</f>
        <v>1747.4390805927269</v>
      </c>
      <c r="G77" s="58">
        <f>601.932012280869*Deflactores!$D$5</f>
        <v>1827.4748466177336</v>
      </c>
      <c r="H77" s="58">
        <f>787.98172753258*Deflactores!$E$5</f>
        <v>2267.671149798774</v>
      </c>
      <c r="I77" s="58">
        <f>813.61997882011*Deflactores!$F$5</f>
        <v>2233.03588721697</v>
      </c>
      <c r="J77" s="58">
        <f>998.49381883022*Deflactores!$G$5</f>
        <v>2622.9791797487483</v>
      </c>
      <c r="K77" s="58">
        <f>1079.94963227449*Deflactores!$H$5</f>
        <v>2684.1126214023293</v>
      </c>
      <c r="L77" s="58">
        <f>1248.53457846822*Deflactores!$I$5</f>
        <v>2881.943505314779</v>
      </c>
      <c r="M77" s="58">
        <f>1449.33358765908*Deflactores!$J$5</f>
        <v>3279.7850012993458</v>
      </c>
      <c r="N77" s="58">
        <f>1895.90294676126*Deflactores!$K$5</f>
        <v>4158.479306772404</v>
      </c>
      <c r="O77" s="58">
        <f>1748.19022975657*Deflactores!$L$5</f>
        <v>3696.72064228729</v>
      </c>
      <c r="P77" s="58">
        <f>2088.11680896278*Deflactores!$M$5</f>
        <v>4310.3562247124646</v>
      </c>
      <c r="Q77" s="58">
        <f>2240.35116434672*Deflactores!$N$5</f>
        <v>4536.5932479277826</v>
      </c>
      <c r="R77" s="58">
        <f>919.666933867093*Deflactores!$O$5</f>
        <v>1796.5243676019256</v>
      </c>
      <c r="S77" s="58">
        <f>1436.31079481222*Deflactores!$P$5</f>
        <v>2627.8569608393987</v>
      </c>
      <c r="T77" s="58">
        <f>1710.49589793522*Deflactores!$Q$5</f>
        <v>2959.3406419614116</v>
      </c>
      <c r="U77" s="58">
        <f>1758.58825164283*Deflactores!$R$5</f>
        <v>2922.9950540471118</v>
      </c>
      <c r="V77" s="58">
        <f>1551.01281285828*Deflactores!$S$5</f>
        <v>2498.5254353176874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93.52866373272*Deflactores!$A$5</f>
        <v>348.27389860897779</v>
      </c>
      <c r="E79" s="56">
        <f>115.96637658264*Deflactores!$B$5</f>
        <v>401.14473240779751</v>
      </c>
      <c r="F79" s="56">
        <f>125.12196392347*Deflactores!$C$5</f>
        <v>404.53108606947995</v>
      </c>
      <c r="G79" s="56">
        <f>62.0709848533*Deflactores!$D$5</f>
        <v>188.44846462704288</v>
      </c>
      <c r="H79" s="56">
        <f>114.00994420229*Deflactores!$E$5</f>
        <v>328.10032545711732</v>
      </c>
      <c r="I79" s="56">
        <f>131.9639349544*Deflactores!$F$5</f>
        <v>362.18407886059839</v>
      </c>
      <c r="J79" s="56">
        <f>168.87974848564*Deflactores!$G$5</f>
        <v>443.6362607411989</v>
      </c>
      <c r="K79" s="56">
        <f>289.82214956312*Deflactores!$H$5</f>
        <v>720.32552848409284</v>
      </c>
      <c r="L79" s="56">
        <f>380.62791087475*Deflactores!$I$5</f>
        <v>878.5885105663815</v>
      </c>
      <c r="M79" s="56">
        <f>552.24022622899*Deflactores!$J$5</f>
        <v>1249.6979484381106</v>
      </c>
      <c r="N79" s="56">
        <f>615.30212216*Deflactores!$K$5</f>
        <v>1349.605551690569</v>
      </c>
      <c r="O79" s="56">
        <f>706.63294722487*Deflactores!$L$5</f>
        <v>1494.2450530056024</v>
      </c>
      <c r="P79" s="56">
        <f>777.95317929196*Deflactores!$M$5</f>
        <v>1605.8753583625421</v>
      </c>
      <c r="Q79" s="56">
        <f>985.797221949282*Deflactores!$N$5</f>
        <v>1996.1875138557339</v>
      </c>
      <c r="R79" s="56">
        <f>1438.40911885927*Deflactores!$O$5</f>
        <v>2809.8618504695996</v>
      </c>
      <c r="S79" s="56">
        <f>1074.98519337358*Deflactores!$P$5</f>
        <v>1966.7799848119719</v>
      </c>
      <c r="T79" s="56">
        <f>1053.64491435101*Deflactores!$Q$5</f>
        <v>1822.9182665675021</v>
      </c>
      <c r="U79" s="56">
        <f>1107.18191374212*Deflactores!$R$5</f>
        <v>1840.2757181934844</v>
      </c>
      <c r="V79" s="56">
        <f>953.58440473304*Deflactores!$S$5</f>
        <v>1536.1284382667936</v>
      </c>
    </row>
    <row r="80" spans="3:22" x14ac:dyDescent="0.2">
      <c r="C80" s="88" t="s">
        <v>150</v>
      </c>
      <c r="D80" s="57">
        <f>298.70572025942*Deflactores!$A$5</f>
        <v>1112.2943660228586</v>
      </c>
      <c r="E80" s="57">
        <f>587.121851577179*Deflactores!$B$5</f>
        <v>2030.9407345659465</v>
      </c>
      <c r="F80" s="57">
        <f>679.63517038258*Deflactores!$C$5</f>
        <v>2197.3244743348369</v>
      </c>
      <c r="G80" s="57">
        <f>578.35788781344*Deflactores!$D$5</f>
        <v>1755.9034421795195</v>
      </c>
      <c r="H80" s="57">
        <f>527.75736763164*Deflactores!$E$5</f>
        <v>1518.7917623667654</v>
      </c>
      <c r="I80" s="57">
        <f>409.918353258159*Deflactores!$F$5</f>
        <v>1125.0490615800593</v>
      </c>
      <c r="J80" s="57">
        <f>617.20371751977*Deflactores!$G$5</f>
        <v>1621.3545544172848</v>
      </c>
      <c r="K80" s="57">
        <f>580.67927455963*Deflactores!$H$5</f>
        <v>1443.2233904739187</v>
      </c>
      <c r="L80" s="57">
        <f>586.86608809909*Deflactores!$I$5</f>
        <v>1354.6400237962764</v>
      </c>
      <c r="M80" s="57">
        <f>668.63008800732*Deflactores!$J$5</f>
        <v>1513.083635635518</v>
      </c>
      <c r="N80" s="57">
        <f>678.17253983387*Deflactores!$K$5</f>
        <v>1487.5057175991401</v>
      </c>
      <c r="O80" s="57">
        <f>522.794461012339*Deflactores!$L$5</f>
        <v>1105.5004442891111</v>
      </c>
      <c r="P80" s="57">
        <f>767.06311900422*Deflactores!$M$5</f>
        <v>1583.395754277524</v>
      </c>
      <c r="Q80" s="57">
        <f>773.220525703551*Deflactores!$N$5</f>
        <v>1565.7308871436501</v>
      </c>
      <c r="R80" s="57">
        <f>1051.37426015401*Deflactores!$O$5</f>
        <v>2053.8081867245764</v>
      </c>
      <c r="S80" s="57">
        <f>1149.5680926332*Deflactores!$P$5</f>
        <v>2103.2359605568313</v>
      </c>
      <c r="T80" s="57">
        <f>1185.76604587685*Deflactores!$Q$5</f>
        <v>2051.5019390909633</v>
      </c>
      <c r="U80" s="57">
        <f>1687.66088474946*Deflactores!$R$5</f>
        <v>2805.1048415813843</v>
      </c>
      <c r="V80" s="57">
        <f>1341.12715366985*Deflactores!$S$5</f>
        <v>2160.4207764500961</v>
      </c>
    </row>
    <row r="81" spans="3:22" x14ac:dyDescent="0.2">
      <c r="C81" s="87" t="s">
        <v>151</v>
      </c>
      <c r="D81" s="56">
        <f>3.071935497*Deflactores!$A$5</f>
        <v>11.439006066342564</v>
      </c>
      <c r="E81" s="56">
        <f>19.390758745*Deflactores!$B$5</f>
        <v>67.075483059557925</v>
      </c>
      <c r="F81" s="56">
        <f>4.212960129*Deflactores!$C$5</f>
        <v>13.620896628462399</v>
      </c>
      <c r="G81" s="56">
        <f>0*Deflactores!$D$5</f>
        <v>0</v>
      </c>
      <c r="H81" s="56">
        <f>0*Deflactores!$E$5</f>
        <v>0</v>
      </c>
      <c r="I81" s="56">
        <f>79.6222639375899*Deflactores!$F$5</f>
        <v>218.52876947778464</v>
      </c>
      <c r="J81" s="56">
        <f>0.12052760618*Deflactores!$G$5</f>
        <v>0.31661828609562181</v>
      </c>
      <c r="K81" s="56">
        <f>0*Deflactores!$H$5</f>
        <v>0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202</v>
      </c>
      <c r="D82" s="44">
        <f t="shared" ref="D82:V82" si="1">+SUM(D53:D81)</f>
        <v>6765.6172470085821</v>
      </c>
      <c r="E82" s="44">
        <f t="shared" si="1"/>
        <v>8455.6217430317265</v>
      </c>
      <c r="F82" s="44">
        <f t="shared" si="1"/>
        <v>8441.7600802439683</v>
      </c>
      <c r="G82" s="44">
        <f t="shared" si="1"/>
        <v>7873.5307528887452</v>
      </c>
      <c r="H82" s="44">
        <f t="shared" si="1"/>
        <v>8715.7281194343523</v>
      </c>
      <c r="I82" s="44">
        <f t="shared" si="1"/>
        <v>9010.3076211314128</v>
      </c>
      <c r="J82" s="44">
        <f t="shared" si="1"/>
        <v>10499.940648923799</v>
      </c>
      <c r="K82" s="44">
        <f t="shared" si="1"/>
        <v>11381.457937534318</v>
      </c>
      <c r="L82" s="44">
        <f t="shared" si="1"/>
        <v>13083.463472376094</v>
      </c>
      <c r="M82" s="44">
        <f t="shared" si="1"/>
        <v>15808.724183774657</v>
      </c>
      <c r="N82" s="44">
        <f t="shared" si="1"/>
        <v>14852.893088437633</v>
      </c>
      <c r="O82" s="44">
        <f t="shared" si="1"/>
        <v>14316.559633294964</v>
      </c>
      <c r="P82" s="44">
        <f t="shared" si="1"/>
        <v>15713.463176279434</v>
      </c>
      <c r="Q82" s="44">
        <f t="shared" si="1"/>
        <v>17288.127314604382</v>
      </c>
      <c r="R82" s="44">
        <f t="shared" si="1"/>
        <v>11061.686220033971</v>
      </c>
      <c r="S82" s="44">
        <f t="shared" si="1"/>
        <v>11176.341947256426</v>
      </c>
      <c r="T82" s="44">
        <f t="shared" si="1"/>
        <v>13156.524259301923</v>
      </c>
      <c r="U82" s="44">
        <f t="shared" si="1"/>
        <v>14255.075633355507</v>
      </c>
      <c r="V82" s="44">
        <f t="shared" si="1"/>
        <v>11779.013422818236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C87" s="9"/>
      <c r="D87" s="155" t="s">
        <v>220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</row>
    <row r="88" spans="3:22" ht="1.5" customHeight="1" x14ac:dyDescent="0.2">
      <c r="H88" s="27"/>
      <c r="I88" s="27"/>
      <c r="J88" s="27"/>
      <c r="L88" s="177"/>
      <c r="M88" s="156"/>
      <c r="N88" s="156"/>
      <c r="O88" s="156"/>
      <c r="P88" s="156"/>
      <c r="Q88" s="156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76" t="s">
        <v>120</v>
      </c>
      <c r="D90" s="153">
        <v>2000</v>
      </c>
      <c r="E90" s="153">
        <v>2001</v>
      </c>
      <c r="F90" s="153">
        <v>2002</v>
      </c>
      <c r="G90" s="153">
        <v>2003</v>
      </c>
      <c r="H90" s="153">
        <v>2004</v>
      </c>
      <c r="I90" s="153">
        <v>2005</v>
      </c>
      <c r="J90" s="153">
        <v>2006</v>
      </c>
      <c r="K90" s="153">
        <v>2007</v>
      </c>
      <c r="L90" s="153">
        <v>2008</v>
      </c>
      <c r="M90" s="153">
        <v>2009</v>
      </c>
      <c r="N90" s="153">
        <v>2010</v>
      </c>
      <c r="O90" s="153">
        <v>2011</v>
      </c>
      <c r="P90" s="153">
        <v>2012</v>
      </c>
      <c r="Q90" s="153">
        <v>2013</v>
      </c>
      <c r="R90" s="153">
        <v>2014</v>
      </c>
      <c r="S90" s="153">
        <v>2015</v>
      </c>
      <c r="T90" s="153">
        <v>2016</v>
      </c>
      <c r="U90" s="153">
        <v>2017</v>
      </c>
      <c r="V90" s="153">
        <v>2018</v>
      </c>
    </row>
    <row r="91" spans="3:22" ht="12" customHeight="1" thickBot="1" x14ac:dyDescent="0.25">
      <c r="C91" s="160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</row>
    <row r="92" spans="3:22" x14ac:dyDescent="0.2">
      <c r="C92" s="87" t="s">
        <v>123</v>
      </c>
      <c r="D92" s="60">
        <f t="shared" ref="D92:V92" si="2">+IFERROR(IF(D53&gt;0,+((D53/D13)*100)," "),"")</f>
        <v>69.631520697061333</v>
      </c>
      <c r="E92" s="60">
        <f t="shared" si="2"/>
        <v>85.701976599977627</v>
      </c>
      <c r="F92" s="60">
        <f t="shared" si="2"/>
        <v>94.524611214477545</v>
      </c>
      <c r="G92" s="60">
        <f t="shared" si="2"/>
        <v>96.262472931134937</v>
      </c>
      <c r="H92" s="60">
        <f t="shared" si="2"/>
        <v>96.319845726544813</v>
      </c>
      <c r="I92" s="60">
        <f t="shared" si="2"/>
        <v>95.233899324466194</v>
      </c>
      <c r="J92" s="60">
        <f t="shared" si="2"/>
        <v>93.61774734301315</v>
      </c>
      <c r="K92" s="60">
        <f t="shared" si="2"/>
        <v>93.633127208289892</v>
      </c>
      <c r="L92" s="60">
        <f t="shared" si="2"/>
        <v>95.795032429668254</v>
      </c>
      <c r="M92" s="60">
        <f t="shared" si="2"/>
        <v>77.039129969375281</v>
      </c>
      <c r="N92" s="60">
        <f t="shared" si="2"/>
        <v>82.42960318465704</v>
      </c>
      <c r="O92" s="60">
        <f t="shared" si="2"/>
        <v>87.413237439108698</v>
      </c>
      <c r="P92" s="60">
        <f t="shared" si="2"/>
        <v>90.822705254782392</v>
      </c>
      <c r="Q92" s="60">
        <f t="shared" si="2"/>
        <v>79.583381850986953</v>
      </c>
      <c r="R92" s="60">
        <f t="shared" si="2"/>
        <v>94.746954181628524</v>
      </c>
      <c r="S92" s="60">
        <f t="shared" si="2"/>
        <v>79.460596044579603</v>
      </c>
      <c r="T92" s="60">
        <f t="shared" si="2"/>
        <v>98.029021062400602</v>
      </c>
      <c r="U92" s="60">
        <f t="shared" si="2"/>
        <v>96.266662422101078</v>
      </c>
      <c r="V92" s="60">
        <f t="shared" si="2"/>
        <v>87.784339393608661</v>
      </c>
    </row>
    <row r="93" spans="3:22" x14ac:dyDescent="0.2">
      <c r="C93" s="88" t="s">
        <v>124</v>
      </c>
      <c r="D93" s="62">
        <f t="shared" ref="D93:V93" si="3">+IFERROR(IF(D54&gt;0,+((D54/D14)*100)," "),"")</f>
        <v>53.361684791619211</v>
      </c>
      <c r="E93" s="62">
        <f t="shared" si="3"/>
        <v>34.503811298701301</v>
      </c>
      <c r="F93" s="62">
        <f t="shared" si="3"/>
        <v>84.45177390405766</v>
      </c>
      <c r="G93" s="62">
        <f t="shared" si="3"/>
        <v>78.540960771617748</v>
      </c>
      <c r="H93" s="62">
        <f t="shared" si="3"/>
        <v>76.045622603116342</v>
      </c>
      <c r="I93" s="62">
        <f t="shared" si="3"/>
        <v>73.492735641343415</v>
      </c>
      <c r="J93" s="62">
        <f t="shared" si="3"/>
        <v>79.736118342793333</v>
      </c>
      <c r="K93" s="62">
        <f t="shared" si="3"/>
        <v>86.472704414794947</v>
      </c>
      <c r="L93" s="62">
        <f t="shared" si="3"/>
        <v>76.563498641025646</v>
      </c>
      <c r="M93" s="62">
        <f t="shared" si="3"/>
        <v>82.740355725125468</v>
      </c>
      <c r="N93" s="62">
        <f t="shared" si="3"/>
        <v>80.941258681015896</v>
      </c>
      <c r="O93" s="62">
        <f t="shared" si="3"/>
        <v>88.506703864656927</v>
      </c>
      <c r="P93" s="62">
        <f t="shared" si="3"/>
        <v>89.525870169050677</v>
      </c>
      <c r="Q93" s="62">
        <f t="shared" si="3"/>
        <v>75.554611097893371</v>
      </c>
      <c r="R93" s="62">
        <f t="shared" si="3"/>
        <v>93.611103885980285</v>
      </c>
      <c r="S93" s="62">
        <f t="shared" si="3"/>
        <v>85.24599710992571</v>
      </c>
      <c r="T93" s="62">
        <f t="shared" si="3"/>
        <v>89.057957188380513</v>
      </c>
      <c r="U93" s="62">
        <f t="shared" si="3"/>
        <v>96.799758147128827</v>
      </c>
      <c r="V93" s="62">
        <f t="shared" si="3"/>
        <v>97.499444342931284</v>
      </c>
    </row>
    <row r="94" spans="3:22" x14ac:dyDescent="0.2">
      <c r="C94" s="87" t="s">
        <v>125</v>
      </c>
      <c r="D94" s="60">
        <f t="shared" ref="D94:V94" si="4">+IFERROR(IF(D55&gt;0,+((D55/D15)*100)," "),"")</f>
        <v>99.9544638066115</v>
      </c>
      <c r="E94" s="60">
        <f t="shared" si="4"/>
        <v>99.324936508596764</v>
      </c>
      <c r="F94" s="60">
        <f t="shared" si="4"/>
        <v>99.23611747185231</v>
      </c>
      <c r="G94" s="60">
        <f t="shared" si="4"/>
        <v>99.614476273437475</v>
      </c>
      <c r="H94" s="60">
        <f t="shared" si="4"/>
        <v>99.996029607484331</v>
      </c>
      <c r="I94" s="60">
        <f t="shared" si="4"/>
        <v>99.880974061789388</v>
      </c>
      <c r="J94" s="60">
        <f t="shared" si="4"/>
        <v>99.03023811585706</v>
      </c>
      <c r="K94" s="60">
        <f t="shared" si="4"/>
        <v>95.944795188691529</v>
      </c>
      <c r="L94" s="60">
        <f t="shared" si="4"/>
        <v>96.877201675762777</v>
      </c>
      <c r="M94" s="60">
        <f t="shared" si="4"/>
        <v>98.310529827050686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99.980068814032748</v>
      </c>
      <c r="E95" s="62">
        <f t="shared" si="5"/>
        <v>14.542851300000001</v>
      </c>
      <c r="F95" s="62">
        <f t="shared" si="5"/>
        <v>17.661102055227026</v>
      </c>
      <c r="G95" s="62">
        <f t="shared" si="5"/>
        <v>100</v>
      </c>
      <c r="H95" s="62">
        <f t="shared" si="5"/>
        <v>46.931751569599342</v>
      </c>
      <c r="I95" s="62">
        <f t="shared" si="5"/>
        <v>63.670279541265614</v>
      </c>
      <c r="J95" s="62">
        <f t="shared" si="5"/>
        <v>43.246169512216944</v>
      </c>
      <c r="K95" s="62">
        <f t="shared" si="5"/>
        <v>99.294663527298312</v>
      </c>
      <c r="L95" s="62">
        <f t="shared" si="5"/>
        <v>93.297010370570931</v>
      </c>
      <c r="M95" s="62">
        <f t="shared" si="5"/>
        <v>95.195299162954925</v>
      </c>
      <c r="N95" s="62">
        <f t="shared" si="5"/>
        <v>87.593248437972747</v>
      </c>
      <c r="O95" s="62">
        <f t="shared" si="5"/>
        <v>81.626176346132141</v>
      </c>
      <c r="P95" s="62">
        <f t="shared" si="5"/>
        <v>87.582849181034135</v>
      </c>
      <c r="Q95" s="62">
        <f t="shared" si="5"/>
        <v>94.635321276817564</v>
      </c>
      <c r="R95" s="62">
        <f t="shared" si="5"/>
        <v>98.188323482086076</v>
      </c>
      <c r="S95" s="62">
        <f t="shared" si="5"/>
        <v>95.49360525006098</v>
      </c>
      <c r="T95" s="62">
        <f t="shared" si="5"/>
        <v>97.53215046876565</v>
      </c>
      <c r="U95" s="62">
        <f t="shared" si="5"/>
        <v>99.211348447109032</v>
      </c>
      <c r="V95" s="62">
        <f t="shared" si="5"/>
        <v>97.842879471888295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89.52262195121952</v>
      </c>
      <c r="E97" s="62">
        <f t="shared" si="7"/>
        <v>82.356693865030678</v>
      </c>
      <c r="F97" s="62">
        <f t="shared" si="7"/>
        <v>93.331311904761918</v>
      </c>
      <c r="G97" s="62">
        <f t="shared" si="7"/>
        <v>99.133292584304797</v>
      </c>
      <c r="H97" s="62">
        <f t="shared" si="7"/>
        <v>96.411262978890406</v>
      </c>
      <c r="I97" s="62">
        <f t="shared" si="7"/>
        <v>99.506116402344418</v>
      </c>
      <c r="J97" s="62">
        <f t="shared" si="7"/>
        <v>35.122193970053893</v>
      </c>
      <c r="K97" s="62">
        <f t="shared" si="7"/>
        <v>54.650121400713836</v>
      </c>
      <c r="L97" s="62">
        <f t="shared" si="7"/>
        <v>85.976172479953846</v>
      </c>
      <c r="M97" s="62">
        <f t="shared" si="7"/>
        <v>26.855028001041571</v>
      </c>
      <c r="N97" s="62">
        <f t="shared" si="7"/>
        <v>98.0527400027309</v>
      </c>
      <c r="O97" s="62">
        <f t="shared" si="7"/>
        <v>80.739261532852552</v>
      </c>
      <c r="P97" s="62">
        <f t="shared" si="7"/>
        <v>96.242370119322942</v>
      </c>
      <c r="Q97" s="62">
        <f t="shared" si="7"/>
        <v>91.555502064617698</v>
      </c>
      <c r="R97" s="62">
        <f t="shared" si="7"/>
        <v>97.881990724170791</v>
      </c>
      <c r="S97" s="62">
        <f t="shared" si="7"/>
        <v>95.946832799808931</v>
      </c>
      <c r="T97" s="62">
        <f t="shared" si="7"/>
        <v>98.295902641271738</v>
      </c>
      <c r="U97" s="62">
        <f t="shared" si="7"/>
        <v>98.603896274962807</v>
      </c>
      <c r="V97" s="62">
        <f t="shared" si="7"/>
        <v>98.970830956239226</v>
      </c>
    </row>
    <row r="98" spans="3:22" x14ac:dyDescent="0.2">
      <c r="C98" s="87" t="s">
        <v>129</v>
      </c>
      <c r="D98" s="60">
        <f t="shared" ref="D98:V98" si="8">+IFERROR(IF(D59&gt;0,+((D59/D19)*100)," "),"")</f>
        <v>96.502886717821781</v>
      </c>
      <c r="E98" s="60">
        <f t="shared" si="8"/>
        <v>91.253346718801623</v>
      </c>
      <c r="F98" s="60">
        <f t="shared" si="8"/>
        <v>98.815320668239366</v>
      </c>
      <c r="G98" s="60">
        <f t="shared" si="8"/>
        <v>97.568452069383511</v>
      </c>
      <c r="H98" s="60">
        <f t="shared" si="8"/>
        <v>99.279249549760237</v>
      </c>
      <c r="I98" s="60">
        <f t="shared" si="8"/>
        <v>98.313267396121873</v>
      </c>
      <c r="J98" s="60">
        <f t="shared" si="8"/>
        <v>97.538391505242203</v>
      </c>
      <c r="K98" s="60">
        <f t="shared" si="8"/>
        <v>98.639300235373241</v>
      </c>
      <c r="L98" s="60">
        <f t="shared" si="8"/>
        <v>97.900360328959252</v>
      </c>
      <c r="M98" s="60">
        <f t="shared" si="8"/>
        <v>99.612067589018167</v>
      </c>
      <c r="N98" s="60">
        <f t="shared" si="8"/>
        <v>95.410733719582367</v>
      </c>
      <c r="O98" s="60">
        <f t="shared" si="8"/>
        <v>65.744317717104167</v>
      </c>
      <c r="P98" s="60">
        <f t="shared" si="8"/>
        <v>87.431339869228438</v>
      </c>
      <c r="Q98" s="60">
        <f t="shared" si="8"/>
        <v>74.891027863973406</v>
      </c>
      <c r="R98" s="60">
        <f t="shared" si="8"/>
        <v>94.425229723895413</v>
      </c>
      <c r="S98" s="60">
        <f t="shared" si="8"/>
        <v>91.020228145027076</v>
      </c>
      <c r="T98" s="60">
        <f t="shared" si="8"/>
        <v>97.260868348836595</v>
      </c>
      <c r="U98" s="60">
        <f t="shared" si="8"/>
        <v>99.372255046528565</v>
      </c>
      <c r="V98" s="60">
        <f t="shared" si="8"/>
        <v>97.49009988231586</v>
      </c>
    </row>
    <row r="99" spans="3:22" x14ac:dyDescent="0.2">
      <c r="C99" s="88" t="s">
        <v>130</v>
      </c>
      <c r="D99" s="62">
        <f t="shared" ref="D99:V99" si="9">+IFERROR(IF(D60&gt;0,+((D60/D20)*100)," "),"")</f>
        <v>87.111387586258999</v>
      </c>
      <c r="E99" s="62">
        <f t="shared" si="9"/>
        <v>94.862391552844372</v>
      </c>
      <c r="F99" s="62">
        <f t="shared" si="9"/>
        <v>97.755521370075911</v>
      </c>
      <c r="G99" s="62">
        <f t="shared" si="9"/>
        <v>94.424780122452006</v>
      </c>
      <c r="H99" s="62">
        <f t="shared" si="9"/>
        <v>96.677416972887528</v>
      </c>
      <c r="I99" s="62">
        <f t="shared" si="9"/>
        <v>97.395254283163908</v>
      </c>
      <c r="J99" s="62">
        <f t="shared" si="9"/>
        <v>93.746165943648379</v>
      </c>
      <c r="K99" s="62">
        <f t="shared" si="9"/>
        <v>95.82062554547295</v>
      </c>
      <c r="L99" s="62">
        <f t="shared" si="9"/>
        <v>95.366170266725518</v>
      </c>
      <c r="M99" s="62">
        <f t="shared" si="9"/>
        <v>54.805321275651352</v>
      </c>
      <c r="N99" s="62" t="str">
        <f t="shared" si="9"/>
        <v xml:space="preserve"> </v>
      </c>
      <c r="O99" s="62">
        <f t="shared" si="9"/>
        <v>93.83923768062958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97.413106000569471</v>
      </c>
      <c r="E100" s="60">
        <f t="shared" si="10"/>
        <v>96.444062775466961</v>
      </c>
      <c r="F100" s="60">
        <f t="shared" si="10"/>
        <v>90.845302261080747</v>
      </c>
      <c r="G100" s="60">
        <f t="shared" si="10"/>
        <v>97.473388605029797</v>
      </c>
      <c r="H100" s="60">
        <f t="shared" si="10"/>
        <v>94.072704497583615</v>
      </c>
      <c r="I100" s="60">
        <f t="shared" si="10"/>
        <v>98.676035526238195</v>
      </c>
      <c r="J100" s="60">
        <f t="shared" si="10"/>
        <v>39.552397868903434</v>
      </c>
      <c r="K100" s="60">
        <f t="shared" si="10"/>
        <v>89.960159694515653</v>
      </c>
      <c r="L100" s="60">
        <f t="shared" si="10"/>
        <v>94.289080278435591</v>
      </c>
      <c r="M100" s="60">
        <f t="shared" si="10"/>
        <v>90.674560959431872</v>
      </c>
      <c r="N100" s="60">
        <f t="shared" si="10"/>
        <v>88.376043090167641</v>
      </c>
      <c r="O100" s="60">
        <f t="shared" si="10"/>
        <v>96.739224036301451</v>
      </c>
      <c r="P100" s="60">
        <f t="shared" si="10"/>
        <v>91.076372698216318</v>
      </c>
      <c r="Q100" s="60">
        <f t="shared" si="10"/>
        <v>97.465633232507997</v>
      </c>
      <c r="R100" s="60">
        <f t="shared" si="10"/>
        <v>87.83853223181255</v>
      </c>
      <c r="S100" s="60">
        <f t="shared" si="10"/>
        <v>88.078841476262568</v>
      </c>
      <c r="T100" s="60">
        <f t="shared" si="10"/>
        <v>86.177565892792856</v>
      </c>
      <c r="U100" s="60">
        <f t="shared" si="10"/>
        <v>93.017951493207207</v>
      </c>
      <c r="V100" s="60">
        <f t="shared" si="10"/>
        <v>97.706796831284549</v>
      </c>
    </row>
    <row r="101" spans="3:22" x14ac:dyDescent="0.2">
      <c r="C101" s="88" t="s">
        <v>132</v>
      </c>
      <c r="D101" s="62">
        <f t="shared" ref="D101:V101" si="11">+IFERROR(IF(D62&gt;0,+((D62/D22)*100)," "),"")</f>
        <v>94.126181160700881</v>
      </c>
      <c r="E101" s="62">
        <f t="shared" si="11"/>
        <v>67.44072604839053</v>
      </c>
      <c r="F101" s="62">
        <f t="shared" si="11"/>
        <v>72.044725899927869</v>
      </c>
      <c r="G101" s="62">
        <f t="shared" si="11"/>
        <v>97.794902315915621</v>
      </c>
      <c r="H101" s="62">
        <f t="shared" si="11"/>
        <v>86.563678246144164</v>
      </c>
      <c r="I101" s="62">
        <f t="shared" si="11"/>
        <v>93.232439587524752</v>
      </c>
      <c r="J101" s="62">
        <f t="shared" si="11"/>
        <v>92.867719134236793</v>
      </c>
      <c r="K101" s="62">
        <f t="shared" si="11"/>
        <v>38.089613486078122</v>
      </c>
      <c r="L101" s="62">
        <f t="shared" si="11"/>
        <v>62.123364769031753</v>
      </c>
      <c r="M101" s="62">
        <f t="shared" si="11"/>
        <v>91.978048901449682</v>
      </c>
      <c r="N101" s="62">
        <f t="shared" si="11"/>
        <v>75.502231470917124</v>
      </c>
      <c r="O101" s="62">
        <f t="shared" si="11"/>
        <v>72.80508455366035</v>
      </c>
      <c r="P101" s="62">
        <f t="shared" si="11"/>
        <v>74.35002629371678</v>
      </c>
      <c r="Q101" s="62">
        <f t="shared" si="11"/>
        <v>86.723853681958801</v>
      </c>
      <c r="R101" s="62">
        <f t="shared" si="11"/>
        <v>80.283535983664692</v>
      </c>
      <c r="S101" s="62">
        <f t="shared" si="11"/>
        <v>84.292507130059974</v>
      </c>
      <c r="T101" s="62">
        <f t="shared" si="11"/>
        <v>96.007659300576648</v>
      </c>
      <c r="U101" s="62">
        <f t="shared" si="11"/>
        <v>96.644445402310595</v>
      </c>
      <c r="V101" s="62">
        <f t="shared" si="11"/>
        <v>95.362802864153949</v>
      </c>
    </row>
    <row r="102" spans="3:22" x14ac:dyDescent="0.2">
      <c r="C102" s="87" t="s">
        <v>133</v>
      </c>
      <c r="D102" s="60" t="str">
        <f t="shared" ref="D102:V102" si="12">+IFERROR(IF(D63&gt;0,+((D63/D23)*100)," "),"")</f>
        <v xml:space="preserve"> </v>
      </c>
      <c r="E102" s="60" t="str">
        <f t="shared" si="12"/>
        <v xml:space="preserve"> </v>
      </c>
      <c r="F102" s="60" t="str">
        <f t="shared" si="12"/>
        <v xml:space="preserve"> </v>
      </c>
      <c r="G102" s="60" t="str">
        <f t="shared" si="12"/>
        <v xml:space="preserve"> </v>
      </c>
      <c r="H102" s="60">
        <f t="shared" si="12"/>
        <v>89.788982390921547</v>
      </c>
      <c r="I102" s="60">
        <f t="shared" si="12"/>
        <v>99.995001081064487</v>
      </c>
      <c r="J102" s="60">
        <f t="shared" si="12"/>
        <v>100</v>
      </c>
      <c r="K102" s="60">
        <f t="shared" si="12"/>
        <v>99.7743782781818</v>
      </c>
      <c r="L102" s="60">
        <f t="shared" si="12"/>
        <v>98.921981200000005</v>
      </c>
      <c r="M102" s="60">
        <f t="shared" si="12"/>
        <v>100</v>
      </c>
      <c r="N102" s="60">
        <f t="shared" si="12"/>
        <v>98.351332912988667</v>
      </c>
      <c r="O102" s="60">
        <f t="shared" si="12"/>
        <v>98.847038147391871</v>
      </c>
      <c r="P102" s="60">
        <f t="shared" si="12"/>
        <v>98.102413058888686</v>
      </c>
      <c r="Q102" s="60">
        <f t="shared" si="12"/>
        <v>64.284433327090909</v>
      </c>
      <c r="R102" s="60">
        <f t="shared" si="12"/>
        <v>99.703422872749741</v>
      </c>
      <c r="S102" s="60">
        <f t="shared" si="12"/>
        <v>49.442067500000007</v>
      </c>
      <c r="T102" s="60">
        <f t="shared" si="12"/>
        <v>33.504771065229519</v>
      </c>
      <c r="U102" s="60">
        <f t="shared" si="12"/>
        <v>99.847535298846154</v>
      </c>
      <c r="V102" s="60">
        <f t="shared" si="12"/>
        <v>98.414743106984005</v>
      </c>
    </row>
    <row r="103" spans="3:22" x14ac:dyDescent="0.2">
      <c r="C103" s="88" t="s">
        <v>134</v>
      </c>
      <c r="D103" s="62">
        <f t="shared" ref="D103:V103" si="13">+IFERROR(IF(D64&gt;0,+((D64/D24)*100)," "),"")</f>
        <v>88.304200382221126</v>
      </c>
      <c r="E103" s="62">
        <f t="shared" si="13"/>
        <v>83.835201169595706</v>
      </c>
      <c r="F103" s="62">
        <f t="shared" si="13"/>
        <v>79.395133915593703</v>
      </c>
      <c r="G103" s="62">
        <f t="shared" si="13"/>
        <v>99.106570979137999</v>
      </c>
      <c r="H103" s="62">
        <f t="shared" si="13"/>
        <v>73.230074125735896</v>
      </c>
      <c r="I103" s="62">
        <f t="shared" si="13"/>
        <v>80.539643911000852</v>
      </c>
      <c r="J103" s="62">
        <f t="shared" si="13"/>
        <v>96.571435507417974</v>
      </c>
      <c r="K103" s="62">
        <f t="shared" si="13"/>
        <v>91.369789084599688</v>
      </c>
      <c r="L103" s="62">
        <f t="shared" si="13"/>
        <v>95.32467089480096</v>
      </c>
      <c r="M103" s="62">
        <f t="shared" si="13"/>
        <v>81.958249902185059</v>
      </c>
      <c r="N103" s="62">
        <f t="shared" si="13"/>
        <v>85.0079560499031</v>
      </c>
      <c r="O103" s="62">
        <f t="shared" si="13"/>
        <v>83.138986785480398</v>
      </c>
      <c r="P103" s="62">
        <f t="shared" si="13"/>
        <v>85.956913018405871</v>
      </c>
      <c r="Q103" s="62">
        <f t="shared" si="13"/>
        <v>95.384896696804617</v>
      </c>
      <c r="R103" s="62">
        <f t="shared" si="13"/>
        <v>96.492567410302669</v>
      </c>
      <c r="S103" s="62">
        <f t="shared" si="13"/>
        <v>73.567340582723446</v>
      </c>
      <c r="T103" s="62">
        <f t="shared" si="13"/>
        <v>91.050375965390501</v>
      </c>
      <c r="U103" s="62">
        <f t="shared" si="13"/>
        <v>97.778242545976966</v>
      </c>
      <c r="V103" s="62">
        <f t="shared" si="13"/>
        <v>83.400859340759752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79.279901526071654</v>
      </c>
      <c r="E105" s="62">
        <f t="shared" si="15"/>
        <v>78.492203279481444</v>
      </c>
      <c r="F105" s="62">
        <f t="shared" si="15"/>
        <v>90.369644177012518</v>
      </c>
      <c r="G105" s="62">
        <f t="shared" si="15"/>
        <v>96.29093348033868</v>
      </c>
      <c r="H105" s="62">
        <f t="shared" si="15"/>
        <v>99.253641497779782</v>
      </c>
      <c r="I105" s="62">
        <f t="shared" si="15"/>
        <v>98.116356613646403</v>
      </c>
      <c r="J105" s="62">
        <f t="shared" si="15"/>
        <v>99.277391654413762</v>
      </c>
      <c r="K105" s="62">
        <f t="shared" si="15"/>
        <v>96.635058169698439</v>
      </c>
      <c r="L105" s="62">
        <f t="shared" si="15"/>
        <v>97.932738404526404</v>
      </c>
      <c r="M105" s="62">
        <f t="shared" si="15"/>
        <v>99.16339519031844</v>
      </c>
      <c r="N105" s="62">
        <f t="shared" si="15"/>
        <v>95.38475991439195</v>
      </c>
      <c r="O105" s="62">
        <f t="shared" si="15"/>
        <v>88.49736920955506</v>
      </c>
      <c r="P105" s="62">
        <f t="shared" si="15"/>
        <v>96.967160997115499</v>
      </c>
      <c r="Q105" s="62">
        <f t="shared" si="15"/>
        <v>97.183660617722694</v>
      </c>
      <c r="R105" s="62">
        <f t="shared" si="15"/>
        <v>96.614146878178829</v>
      </c>
      <c r="S105" s="62">
        <f t="shared" si="15"/>
        <v>96.975014618351096</v>
      </c>
      <c r="T105" s="62">
        <f t="shared" si="15"/>
        <v>99.320986446124436</v>
      </c>
      <c r="U105" s="62">
        <f t="shared" si="15"/>
        <v>99.497844827657971</v>
      </c>
      <c r="V105" s="62">
        <f t="shared" si="15"/>
        <v>98.763933675064663</v>
      </c>
    </row>
    <row r="106" spans="3:22" x14ac:dyDescent="0.2">
      <c r="C106" s="87" t="s">
        <v>137</v>
      </c>
      <c r="D106" s="60">
        <f t="shared" ref="D106:V106" si="16">+IFERROR(IF(D67&gt;0,+((D67/D27)*100)," "),"")</f>
        <v>73.186978733468578</v>
      </c>
      <c r="E106" s="60">
        <f t="shared" si="16"/>
        <v>68.283498718064436</v>
      </c>
      <c r="F106" s="60">
        <f t="shared" si="16"/>
        <v>89.487260757903172</v>
      </c>
      <c r="G106" s="60">
        <f t="shared" si="16"/>
        <v>94.077595990765531</v>
      </c>
      <c r="H106" s="60">
        <f t="shared" si="16"/>
        <v>74.892527067845748</v>
      </c>
      <c r="I106" s="60">
        <f t="shared" si="16"/>
        <v>57.698066102375414</v>
      </c>
      <c r="J106" s="60">
        <f t="shared" si="16"/>
        <v>91.494424510676325</v>
      </c>
      <c r="K106" s="60">
        <f t="shared" si="16"/>
        <v>92.009502904769718</v>
      </c>
      <c r="L106" s="60">
        <f t="shared" si="16"/>
        <v>82.687485030997109</v>
      </c>
      <c r="M106" s="60">
        <f t="shared" si="16"/>
        <v>79.128336185410902</v>
      </c>
      <c r="N106" s="60">
        <f t="shared" si="16"/>
        <v>55.195102382434044</v>
      </c>
      <c r="O106" s="60">
        <f t="shared" si="16"/>
        <v>68.744959241927688</v>
      </c>
      <c r="P106" s="60">
        <f t="shared" si="16"/>
        <v>85.118328761233215</v>
      </c>
      <c r="Q106" s="60">
        <f t="shared" si="16"/>
        <v>81.354342184102919</v>
      </c>
      <c r="R106" s="60">
        <f t="shared" si="16"/>
        <v>94.073978038301419</v>
      </c>
      <c r="S106" s="60">
        <f t="shared" si="16"/>
        <v>93.701941629614282</v>
      </c>
      <c r="T106" s="60">
        <f t="shared" si="16"/>
        <v>91.611705943871684</v>
      </c>
      <c r="U106" s="60">
        <f t="shared" si="16"/>
        <v>96.378546082597367</v>
      </c>
      <c r="V106" s="60">
        <f t="shared" si="16"/>
        <v>79.614656959943005</v>
      </c>
    </row>
    <row r="107" spans="3:22" x14ac:dyDescent="0.2">
      <c r="C107" s="88" t="s">
        <v>138</v>
      </c>
      <c r="D107" s="62">
        <f t="shared" ref="D107:V107" si="17">+IFERROR(IF(D68&gt;0,+((D68/D28)*100)," "),"")</f>
        <v>95.306931516788325</v>
      </c>
      <c r="E107" s="62">
        <f t="shared" si="17"/>
        <v>96.927807431242599</v>
      </c>
      <c r="F107" s="62">
        <f t="shared" si="17"/>
        <v>89.875193379312577</v>
      </c>
      <c r="G107" s="62">
        <f t="shared" si="17"/>
        <v>95.237371016826046</v>
      </c>
      <c r="H107" s="62">
        <f t="shared" si="17"/>
        <v>93.88822172085186</v>
      </c>
      <c r="I107" s="62">
        <f t="shared" si="17"/>
        <v>77.777313391136872</v>
      </c>
      <c r="J107" s="62">
        <f t="shared" si="17"/>
        <v>85.596088499434174</v>
      </c>
      <c r="K107" s="62">
        <f t="shared" si="17"/>
        <v>81.886762246235818</v>
      </c>
      <c r="L107" s="62">
        <f t="shared" si="17"/>
        <v>89.235061145944002</v>
      </c>
      <c r="M107" s="62">
        <f t="shared" si="17"/>
        <v>49.363642517553863</v>
      </c>
      <c r="N107" s="62">
        <f t="shared" si="17"/>
        <v>60.575240288318845</v>
      </c>
      <c r="O107" s="62">
        <f t="shared" si="17"/>
        <v>53.105294752370092</v>
      </c>
      <c r="P107" s="62">
        <f t="shared" si="17"/>
        <v>100</v>
      </c>
      <c r="Q107" s="62">
        <f t="shared" si="17"/>
        <v>100</v>
      </c>
      <c r="R107" s="62" t="str">
        <f t="shared" si="17"/>
        <v xml:space="preserve"> 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66.195972710968817</v>
      </c>
      <c r="E108" s="60">
        <f t="shared" si="18"/>
        <v>99.614009911317183</v>
      </c>
      <c r="F108" s="60">
        <f t="shared" si="18"/>
        <v>99.917774492204131</v>
      </c>
      <c r="G108" s="60">
        <f t="shared" si="18"/>
        <v>99.034515206479483</v>
      </c>
      <c r="H108" s="60">
        <f t="shared" si="18"/>
        <v>66.981484709979398</v>
      </c>
      <c r="I108" s="60">
        <f t="shared" si="18"/>
        <v>99.063814767351118</v>
      </c>
      <c r="J108" s="60">
        <f t="shared" si="18"/>
        <v>98.970116118267583</v>
      </c>
      <c r="K108" s="60">
        <f t="shared" si="18"/>
        <v>70.540319867797649</v>
      </c>
      <c r="L108" s="60">
        <f t="shared" si="18"/>
        <v>93.634401374944304</v>
      </c>
      <c r="M108" s="60">
        <f t="shared" si="18"/>
        <v>86.237677634610137</v>
      </c>
      <c r="N108" s="60">
        <f t="shared" si="18"/>
        <v>81.594694312941513</v>
      </c>
      <c r="O108" s="60">
        <f t="shared" si="18"/>
        <v>80.25979228831612</v>
      </c>
      <c r="P108" s="60">
        <f t="shared" si="18"/>
        <v>95.071050669756843</v>
      </c>
      <c r="Q108" s="60">
        <f t="shared" si="18"/>
        <v>90.344921119236616</v>
      </c>
      <c r="R108" s="60">
        <f t="shared" si="18"/>
        <v>87.468745976715994</v>
      </c>
      <c r="S108" s="60">
        <f t="shared" si="18"/>
        <v>98.673569864479248</v>
      </c>
      <c r="T108" s="60">
        <f t="shared" si="18"/>
        <v>98.691109966865781</v>
      </c>
      <c r="U108" s="60">
        <f t="shared" si="18"/>
        <v>97.935143492123515</v>
      </c>
      <c r="V108" s="60">
        <f t="shared" si="18"/>
        <v>88.187313913202615</v>
      </c>
    </row>
    <row r="109" spans="3:22" x14ac:dyDescent="0.2">
      <c r="C109" s="88" t="s">
        <v>140</v>
      </c>
      <c r="D109" s="62">
        <f t="shared" ref="D109:V109" si="19">+IFERROR(IF(D70&gt;0,+((D70/D30)*100)," "),"")</f>
        <v>40.428586698809028</v>
      </c>
      <c r="E109" s="62">
        <f t="shared" si="19"/>
        <v>81.89923324681051</v>
      </c>
      <c r="F109" s="62">
        <f t="shared" si="19"/>
        <v>60.949687695489708</v>
      </c>
      <c r="G109" s="62">
        <f t="shared" si="19"/>
        <v>94.370523445701863</v>
      </c>
      <c r="H109" s="62">
        <f t="shared" si="19"/>
        <v>97.995374659007012</v>
      </c>
      <c r="I109" s="62">
        <f t="shared" si="19"/>
        <v>90.969701342427115</v>
      </c>
      <c r="J109" s="62">
        <f t="shared" si="19"/>
        <v>98.378860501735772</v>
      </c>
      <c r="K109" s="62">
        <f t="shared" si="19"/>
        <v>83.636658206653365</v>
      </c>
      <c r="L109" s="62">
        <f t="shared" si="19"/>
        <v>94.563512763651133</v>
      </c>
      <c r="M109" s="62">
        <f t="shared" si="19"/>
        <v>74.754595992221169</v>
      </c>
      <c r="N109" s="62">
        <f t="shared" si="19"/>
        <v>83.241188680271165</v>
      </c>
      <c r="O109" s="62">
        <f t="shared" si="19"/>
        <v>87.951170399434773</v>
      </c>
      <c r="P109" s="62">
        <f t="shared" si="19"/>
        <v>88.47350569744404</v>
      </c>
      <c r="Q109" s="62">
        <f t="shared" si="19"/>
        <v>94.638921146527778</v>
      </c>
      <c r="R109" s="62">
        <f t="shared" si="19"/>
        <v>99.049205088211707</v>
      </c>
      <c r="S109" s="62">
        <f t="shared" si="19"/>
        <v>93.421640107528731</v>
      </c>
      <c r="T109" s="62">
        <f t="shared" si="19"/>
        <v>96.003799898285209</v>
      </c>
      <c r="U109" s="62">
        <f t="shared" si="19"/>
        <v>96.623650603826476</v>
      </c>
      <c r="V109" s="62">
        <f t="shared" si="19"/>
        <v>93.690027367574061</v>
      </c>
    </row>
    <row r="110" spans="3:22" x14ac:dyDescent="0.2">
      <c r="C110" s="87" t="s">
        <v>141</v>
      </c>
      <c r="D110" s="60" t="str">
        <f t="shared" ref="D110:V110" si="20">+IFERROR(IF(D71&gt;0,+((D71/D31)*100)," "),"")</f>
        <v xml:space="preserve"> </v>
      </c>
      <c r="E110" s="60" t="str">
        <f t="shared" si="20"/>
        <v xml:space="preserve"> </v>
      </c>
      <c r="F110" s="60" t="str">
        <f t="shared" si="20"/>
        <v xml:space="preserve"> </v>
      </c>
      <c r="G110" s="60" t="str">
        <f t="shared" si="20"/>
        <v xml:space="preserve"> </v>
      </c>
      <c r="H110" s="60" t="str">
        <f t="shared" si="20"/>
        <v xml:space="preserve"> </v>
      </c>
      <c r="I110" s="60" t="str">
        <f t="shared" si="20"/>
        <v xml:space="preserve"> </v>
      </c>
      <c r="J110" s="60" t="str">
        <f t="shared" si="20"/>
        <v xml:space="preserve"> </v>
      </c>
      <c r="K110" s="60">
        <f t="shared" si="20"/>
        <v>71.499902749438021</v>
      </c>
      <c r="L110" s="60">
        <f t="shared" si="20"/>
        <v>24.119146946916235</v>
      </c>
      <c r="M110" s="60">
        <f t="shared" si="20"/>
        <v>5.3894375428571433</v>
      </c>
      <c r="N110" s="60">
        <f t="shared" si="20"/>
        <v>6.388863632514818</v>
      </c>
      <c r="O110" s="60">
        <f t="shared" si="20"/>
        <v>99.600000000000009</v>
      </c>
      <c r="P110" s="60">
        <f t="shared" si="20"/>
        <v>3.2092781906703371</v>
      </c>
      <c r="Q110" s="60">
        <f t="shared" si="20"/>
        <v>5.2884495483870975</v>
      </c>
      <c r="R110" s="60">
        <f t="shared" si="20"/>
        <v>83.333641371295769</v>
      </c>
      <c r="S110" s="60" t="str">
        <f t="shared" si="20"/>
        <v xml:space="preserve"> </v>
      </c>
      <c r="T110" s="60">
        <f t="shared" si="20"/>
        <v>14.881302794982238</v>
      </c>
      <c r="U110" s="60" t="str">
        <f t="shared" si="20"/>
        <v xml:space="preserve"> </v>
      </c>
      <c r="V110" s="60" t="str">
        <f t="shared" si="20"/>
        <v xml:space="preserve"> </v>
      </c>
    </row>
    <row r="111" spans="3:22" x14ac:dyDescent="0.2">
      <c r="C111" s="88" t="s">
        <v>142</v>
      </c>
      <c r="D111" s="62">
        <f t="shared" ref="D111:V111" si="21">+IFERROR(IF(D72&gt;0,+((D72/D32)*100)," "),"")</f>
        <v>71.368197802656539</v>
      </c>
      <c r="E111" s="62">
        <f t="shared" si="21"/>
        <v>97.208009483168311</v>
      </c>
      <c r="F111" s="62">
        <f t="shared" si="21"/>
        <v>99.68527158872233</v>
      </c>
      <c r="G111" s="62">
        <f t="shared" si="21"/>
        <v>87.022687422613771</v>
      </c>
      <c r="H111" s="62">
        <f t="shared" si="21"/>
        <v>93.327811604425861</v>
      </c>
      <c r="I111" s="62">
        <f t="shared" si="21"/>
        <v>97.709455967659579</v>
      </c>
      <c r="J111" s="62">
        <f t="shared" si="21"/>
        <v>96.35374703091648</v>
      </c>
      <c r="K111" s="62">
        <f t="shared" si="21"/>
        <v>93.538098736082048</v>
      </c>
      <c r="L111" s="62">
        <f t="shared" si="21"/>
        <v>93.166235264388959</v>
      </c>
      <c r="M111" s="62">
        <f t="shared" si="21"/>
        <v>96.258341636910743</v>
      </c>
      <c r="N111" s="62">
        <f t="shared" si="21"/>
        <v>89.297228137066426</v>
      </c>
      <c r="O111" s="62">
        <f t="shared" si="21"/>
        <v>87.232615224388738</v>
      </c>
      <c r="P111" s="62">
        <f t="shared" si="21"/>
        <v>90.622007722767393</v>
      </c>
      <c r="Q111" s="62">
        <f t="shared" si="21"/>
        <v>92.360275935227136</v>
      </c>
      <c r="R111" s="62">
        <f t="shared" si="21"/>
        <v>89.90988905533618</v>
      </c>
      <c r="S111" s="62">
        <f t="shared" si="21"/>
        <v>98.447709444055747</v>
      </c>
      <c r="T111" s="62">
        <f t="shared" si="21"/>
        <v>90.671197874995386</v>
      </c>
      <c r="U111" s="62">
        <f t="shared" si="21"/>
        <v>95.092278767792109</v>
      </c>
      <c r="V111" s="62">
        <f t="shared" si="21"/>
        <v>97.493254222585847</v>
      </c>
    </row>
    <row r="112" spans="3:22" x14ac:dyDescent="0.2">
      <c r="C112" s="87" t="s">
        <v>143</v>
      </c>
      <c r="D112" s="60">
        <f t="shared" ref="D112:V112" si="22">+IFERROR(IF(D73&gt;0,+((D73/D33)*100)," "),"")</f>
        <v>100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>
        <f t="shared" si="22"/>
        <v>77.524996628189299</v>
      </c>
      <c r="I112" s="60">
        <f t="shared" si="22"/>
        <v>94.852102111364033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>
        <f t="shared" si="22"/>
        <v>3.8274200654969044</v>
      </c>
      <c r="Q112" s="60">
        <f t="shared" si="22"/>
        <v>51.996364033455656</v>
      </c>
      <c r="R112" s="60">
        <f t="shared" si="22"/>
        <v>86.584385409221269</v>
      </c>
      <c r="S112" s="60">
        <f t="shared" si="22"/>
        <v>7.8725314294348729</v>
      </c>
      <c r="T112" s="60">
        <f t="shared" si="22"/>
        <v>99.390022218662821</v>
      </c>
      <c r="U112" s="60">
        <f t="shared" si="22"/>
        <v>98.890843258294211</v>
      </c>
      <c r="V112" s="60">
        <f t="shared" si="22"/>
        <v>36.679400332138478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35.158106185884698</v>
      </c>
      <c r="E114" s="60">
        <f t="shared" si="24"/>
        <v>6.5227734399999999</v>
      </c>
      <c r="F114" s="60">
        <f t="shared" si="24"/>
        <v>93.993358849999993</v>
      </c>
      <c r="G114" s="60">
        <f t="shared" si="24"/>
        <v>99.131485661177436</v>
      </c>
      <c r="H114" s="60">
        <f t="shared" si="24"/>
        <v>99.058948130557127</v>
      </c>
      <c r="I114" s="60">
        <f t="shared" si="24"/>
        <v>96.82955676799169</v>
      </c>
      <c r="J114" s="60">
        <f t="shared" si="24"/>
        <v>62.773957918832949</v>
      </c>
      <c r="K114" s="60">
        <f t="shared" si="24"/>
        <v>81.024363245567017</v>
      </c>
      <c r="L114" s="60">
        <f t="shared" si="24"/>
        <v>97.974235225829858</v>
      </c>
      <c r="M114" s="60">
        <f t="shared" si="24"/>
        <v>97.501964891941256</v>
      </c>
      <c r="N114" s="60">
        <f t="shared" si="24"/>
        <v>68.448040660976147</v>
      </c>
      <c r="O114" s="60">
        <f t="shared" si="24"/>
        <v>72.848601226598774</v>
      </c>
      <c r="P114" s="60">
        <f t="shared" si="24"/>
        <v>63.644161984050903</v>
      </c>
      <c r="Q114" s="60">
        <f t="shared" si="24"/>
        <v>51.538160122040551</v>
      </c>
      <c r="R114" s="60">
        <f t="shared" si="24"/>
        <v>78.01103540766249</v>
      </c>
      <c r="S114" s="60">
        <f t="shared" si="24"/>
        <v>76.432336302680298</v>
      </c>
      <c r="T114" s="60">
        <f t="shared" si="24"/>
        <v>95.487343720574188</v>
      </c>
      <c r="U114" s="60">
        <f t="shared" si="24"/>
        <v>94.312923676042146</v>
      </c>
      <c r="V114" s="60">
        <f t="shared" si="24"/>
        <v>94.631573797967008</v>
      </c>
    </row>
    <row r="115" spans="3:22" x14ac:dyDescent="0.2">
      <c r="C115" s="88" t="s">
        <v>146</v>
      </c>
      <c r="D115" s="62">
        <f t="shared" ref="D115:V115" si="25">+IFERROR(IF(D76&gt;0,+((D76/D36)*100)," "),"")</f>
        <v>64.431812817599791</v>
      </c>
      <c r="E115" s="62">
        <f t="shared" si="25"/>
        <v>59.757328746428442</v>
      </c>
      <c r="F115" s="62">
        <f t="shared" si="25"/>
        <v>21.546440141223844</v>
      </c>
      <c r="G115" s="62">
        <f t="shared" si="25"/>
        <v>99.952722938897566</v>
      </c>
      <c r="H115" s="62">
        <f t="shared" si="25"/>
        <v>69.260314209705655</v>
      </c>
      <c r="I115" s="62">
        <f t="shared" si="25"/>
        <v>82.208267912545665</v>
      </c>
      <c r="J115" s="62">
        <f t="shared" si="25"/>
        <v>81.750923887197828</v>
      </c>
      <c r="K115" s="62">
        <f t="shared" si="25"/>
        <v>90.973238568180761</v>
      </c>
      <c r="L115" s="62">
        <f t="shared" si="25"/>
        <v>85.812918232282229</v>
      </c>
      <c r="M115" s="62">
        <f t="shared" si="25"/>
        <v>74.23514509554002</v>
      </c>
      <c r="N115" s="62">
        <f t="shared" si="25"/>
        <v>98.096127120259354</v>
      </c>
      <c r="O115" s="62">
        <f t="shared" si="25"/>
        <v>97.752472550142372</v>
      </c>
      <c r="P115" s="62">
        <f t="shared" si="25"/>
        <v>99.465077665562845</v>
      </c>
      <c r="Q115" s="62">
        <f t="shared" si="25"/>
        <v>97.449288171076333</v>
      </c>
      <c r="R115" s="62">
        <f t="shared" si="25"/>
        <v>95.618363997515914</v>
      </c>
      <c r="S115" s="62">
        <f t="shared" si="25"/>
        <v>98.759259378125094</v>
      </c>
      <c r="T115" s="62">
        <f t="shared" si="25"/>
        <v>98.645298752515572</v>
      </c>
      <c r="U115" s="62">
        <f t="shared" si="25"/>
        <v>99.747308026144765</v>
      </c>
      <c r="V115" s="62">
        <f t="shared" si="25"/>
        <v>99.778299375208917</v>
      </c>
    </row>
    <row r="116" spans="3:22" x14ac:dyDescent="0.2">
      <c r="C116" s="90" t="s">
        <v>147</v>
      </c>
      <c r="D116" s="61">
        <f t="shared" ref="D116:V116" si="26">+IFERROR(IF(D77&gt;0,+((D77/D37)*100)," "),"")</f>
        <v>71.453247121458844</v>
      </c>
      <c r="E116" s="61">
        <f t="shared" si="26"/>
        <v>96.854147294769604</v>
      </c>
      <c r="F116" s="61">
        <f t="shared" si="26"/>
        <v>93.179692631671401</v>
      </c>
      <c r="G116" s="61">
        <f t="shared" si="26"/>
        <v>94.282160152088352</v>
      </c>
      <c r="H116" s="61">
        <f t="shared" si="26"/>
        <v>96.049632341577464</v>
      </c>
      <c r="I116" s="61">
        <f t="shared" si="26"/>
        <v>94.725284232102311</v>
      </c>
      <c r="J116" s="61">
        <f t="shared" si="26"/>
        <v>96.723007304459429</v>
      </c>
      <c r="K116" s="61">
        <f t="shared" si="26"/>
        <v>97.469639139623922</v>
      </c>
      <c r="L116" s="61">
        <f t="shared" si="26"/>
        <v>97.674364607533064</v>
      </c>
      <c r="M116" s="61">
        <f t="shared" si="26"/>
        <v>98.387406408426671</v>
      </c>
      <c r="N116" s="61">
        <f t="shared" si="26"/>
        <v>98.131060457217274</v>
      </c>
      <c r="O116" s="61">
        <f t="shared" si="26"/>
        <v>85.059677863302269</v>
      </c>
      <c r="P116" s="61">
        <f t="shared" si="26"/>
        <v>91.128934869719714</v>
      </c>
      <c r="Q116" s="61">
        <f t="shared" si="26"/>
        <v>97.917314101992105</v>
      </c>
      <c r="R116" s="61">
        <f t="shared" si="26"/>
        <v>97.813144890225971</v>
      </c>
      <c r="S116" s="61">
        <f t="shared" si="26"/>
        <v>97.906750646694107</v>
      </c>
      <c r="T116" s="61">
        <f t="shared" si="26"/>
        <v>98.275333782763951</v>
      </c>
      <c r="U116" s="61">
        <f t="shared" si="26"/>
        <v>97.567780320214609</v>
      </c>
      <c r="V116" s="61">
        <f t="shared" si="26"/>
        <v>95.620419729461588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94.567487583828353</v>
      </c>
      <c r="E118" s="60">
        <f t="shared" si="28"/>
        <v>99.323410248307027</v>
      </c>
      <c r="F118" s="60">
        <f t="shared" si="28"/>
        <v>99.381389096391757</v>
      </c>
      <c r="G118" s="60">
        <f t="shared" si="28"/>
        <v>98.735030753138346</v>
      </c>
      <c r="H118" s="60">
        <f t="shared" si="28"/>
        <v>99.846787260810075</v>
      </c>
      <c r="I118" s="60">
        <f t="shared" si="28"/>
        <v>98.589821311202527</v>
      </c>
      <c r="J118" s="60">
        <f t="shared" si="28"/>
        <v>91.748017169103164</v>
      </c>
      <c r="K118" s="60">
        <f t="shared" si="28"/>
        <v>98.821837417844378</v>
      </c>
      <c r="L118" s="60">
        <f t="shared" si="28"/>
        <v>95.512875347289139</v>
      </c>
      <c r="M118" s="60">
        <f t="shared" si="28"/>
        <v>84.262228454927055</v>
      </c>
      <c r="N118" s="60">
        <f t="shared" si="28"/>
        <v>92.108211384184798</v>
      </c>
      <c r="O118" s="60">
        <f t="shared" si="28"/>
        <v>95.028144729072622</v>
      </c>
      <c r="P118" s="60">
        <f t="shared" si="28"/>
        <v>98.098202625830808</v>
      </c>
      <c r="Q118" s="60">
        <f t="shared" si="28"/>
        <v>94.778279152073495</v>
      </c>
      <c r="R118" s="60">
        <f t="shared" si="28"/>
        <v>96.766540843798211</v>
      </c>
      <c r="S118" s="60">
        <f t="shared" si="28"/>
        <v>96.201794306257824</v>
      </c>
      <c r="T118" s="60">
        <f t="shared" si="28"/>
        <v>98.282311229329167</v>
      </c>
      <c r="U118" s="60">
        <f t="shared" si="28"/>
        <v>98.427110830859291</v>
      </c>
      <c r="V118" s="60">
        <f t="shared" si="28"/>
        <v>93.732841795035213</v>
      </c>
    </row>
    <row r="119" spans="3:22" x14ac:dyDescent="0.2">
      <c r="C119" s="88" t="s">
        <v>150</v>
      </c>
      <c r="D119" s="62">
        <f t="shared" ref="D119:V119" si="29">+IFERROR(IF(D80&gt;0,+((D80/D40)*100)," "),"")</f>
        <v>79.761833950525101</v>
      </c>
      <c r="E119" s="62">
        <f t="shared" si="29"/>
        <v>94.585810901540739</v>
      </c>
      <c r="F119" s="62">
        <f t="shared" si="29"/>
        <v>82.926010126862579</v>
      </c>
      <c r="G119" s="62">
        <f t="shared" si="29"/>
        <v>98.101964639682762</v>
      </c>
      <c r="H119" s="62">
        <f t="shared" si="29"/>
        <v>94.842357786883511</v>
      </c>
      <c r="I119" s="62">
        <f t="shared" si="29"/>
        <v>98.791703342138348</v>
      </c>
      <c r="J119" s="62">
        <f t="shared" si="29"/>
        <v>98.540580055089421</v>
      </c>
      <c r="K119" s="62">
        <f t="shared" si="29"/>
        <v>93.354607786826207</v>
      </c>
      <c r="L119" s="62">
        <f t="shared" si="29"/>
        <v>96.676479166433609</v>
      </c>
      <c r="M119" s="62">
        <f t="shared" si="29"/>
        <v>84.714414872041644</v>
      </c>
      <c r="N119" s="62">
        <f t="shared" si="29"/>
        <v>72.116813658901563</v>
      </c>
      <c r="O119" s="62">
        <f t="shared" si="29"/>
        <v>81.598374199836414</v>
      </c>
      <c r="P119" s="62">
        <f t="shared" si="29"/>
        <v>86.641742469027676</v>
      </c>
      <c r="Q119" s="62">
        <f t="shared" si="29"/>
        <v>96.036961082923753</v>
      </c>
      <c r="R119" s="62">
        <f t="shared" si="29"/>
        <v>97.061242517330172</v>
      </c>
      <c r="S119" s="62">
        <f t="shared" si="29"/>
        <v>96.976527555362964</v>
      </c>
      <c r="T119" s="62">
        <f t="shared" si="29"/>
        <v>99.265300842321849</v>
      </c>
      <c r="U119" s="62">
        <f t="shared" si="29"/>
        <v>98.511749114220578</v>
      </c>
      <c r="V119" s="62">
        <f t="shared" si="29"/>
        <v>97.880125881998524</v>
      </c>
    </row>
    <row r="120" spans="3:22" x14ac:dyDescent="0.2">
      <c r="C120" s="87" t="s">
        <v>151</v>
      </c>
      <c r="D120" s="60">
        <f t="shared" ref="D120:V120" si="30">+IFERROR(IF(D81&gt;0,+((D81/D41)*100)," "),"")</f>
        <v>30.719354970000001</v>
      </c>
      <c r="E120" s="60">
        <f t="shared" si="30"/>
        <v>48.648319480986672</v>
      </c>
      <c r="F120" s="60">
        <f t="shared" si="30"/>
        <v>34.80634607567746</v>
      </c>
      <c r="G120" s="60" t="str">
        <f t="shared" si="30"/>
        <v xml:space="preserve"> </v>
      </c>
      <c r="H120" s="60" t="str">
        <f t="shared" si="30"/>
        <v xml:space="preserve"> </v>
      </c>
      <c r="I120" s="60">
        <f t="shared" si="30"/>
        <v>99.52782992198739</v>
      </c>
      <c r="J120" s="60">
        <f t="shared" si="30"/>
        <v>0.60263803090000001</v>
      </c>
      <c r="K120" s="60" t="str">
        <f t="shared" si="30"/>
        <v xml:space="preserve"> 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202</v>
      </c>
      <c r="D121" s="64">
        <f t="shared" ref="D121:V121" si="31">+IFERROR(IF(D82&gt;0,+((D82/D42)*100)," "),"")</f>
        <v>77.699430109181961</v>
      </c>
      <c r="E121" s="64">
        <f t="shared" si="31"/>
        <v>87.81220174353129</v>
      </c>
      <c r="F121" s="64">
        <f t="shared" si="31"/>
        <v>88.771170241202896</v>
      </c>
      <c r="G121" s="64">
        <f t="shared" si="31"/>
        <v>96.337083887254892</v>
      </c>
      <c r="H121" s="64">
        <f t="shared" si="31"/>
        <v>94.301464356164644</v>
      </c>
      <c r="I121" s="64">
        <f t="shared" si="31"/>
        <v>95.581804445653844</v>
      </c>
      <c r="J121" s="64">
        <f t="shared" si="31"/>
        <v>94.433071522126909</v>
      </c>
      <c r="K121" s="64">
        <f t="shared" si="31"/>
        <v>94.101014116931509</v>
      </c>
      <c r="L121" s="64">
        <f t="shared" si="31"/>
        <v>96.541921316615358</v>
      </c>
      <c r="M121" s="64">
        <f t="shared" si="31"/>
        <v>93.254327070541521</v>
      </c>
      <c r="N121" s="64">
        <f t="shared" si="31"/>
        <v>90.51008027792659</v>
      </c>
      <c r="O121" s="64">
        <f t="shared" si="31"/>
        <v>86.542604722992735</v>
      </c>
      <c r="P121" s="64">
        <f t="shared" si="31"/>
        <v>92.470643798575452</v>
      </c>
      <c r="Q121" s="64">
        <f t="shared" si="31"/>
        <v>95.693941682494014</v>
      </c>
      <c r="R121" s="64">
        <f t="shared" si="31"/>
        <v>95.881866723102576</v>
      </c>
      <c r="S121" s="64">
        <f t="shared" si="31"/>
        <v>96.04940586264398</v>
      </c>
      <c r="T121" s="64">
        <f t="shared" si="31"/>
        <v>98.33753968173275</v>
      </c>
      <c r="U121" s="64">
        <f t="shared" si="31"/>
        <v>98.394302616697047</v>
      </c>
      <c r="V121" s="64">
        <f t="shared" si="31"/>
        <v>95.32599967942771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C127" s="9"/>
      <c r="D127" s="155" t="s">
        <v>221</v>
      </c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</row>
    <row r="128" spans="3:22" ht="15.75" customHeight="1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76" t="s">
        <v>120</v>
      </c>
      <c r="D129" s="153">
        <v>2000</v>
      </c>
      <c r="E129" s="153">
        <v>2001</v>
      </c>
      <c r="F129" s="153">
        <v>2002</v>
      </c>
      <c r="G129" s="153">
        <v>2003</v>
      </c>
      <c r="H129" s="153">
        <v>2004</v>
      </c>
      <c r="I129" s="153">
        <v>2005</v>
      </c>
      <c r="J129" s="153">
        <v>2006</v>
      </c>
      <c r="K129" s="153">
        <v>2007</v>
      </c>
      <c r="L129" s="153">
        <v>2008</v>
      </c>
      <c r="M129" s="153">
        <v>2009</v>
      </c>
      <c r="N129" s="153">
        <v>2010</v>
      </c>
      <c r="O129" s="153">
        <v>2011</v>
      </c>
      <c r="P129" s="153">
        <v>2012</v>
      </c>
      <c r="Q129" s="153">
        <v>2013</v>
      </c>
      <c r="R129" s="153">
        <v>2014</v>
      </c>
      <c r="S129" s="153">
        <v>2015</v>
      </c>
      <c r="T129" s="153">
        <v>2016</v>
      </c>
      <c r="U129" s="153">
        <v>2017</v>
      </c>
      <c r="V129" s="153">
        <v>2018</v>
      </c>
    </row>
    <row r="130" spans="3:22" ht="12" customHeight="1" thickBot="1" x14ac:dyDescent="0.25">
      <c r="C130" s="160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3:22" x14ac:dyDescent="0.2">
      <c r="C131" s="87" t="s">
        <v>123</v>
      </c>
      <c r="D131" s="56">
        <f>23.077433615*Deflactores!$A$5</f>
        <v>85.933738965353939</v>
      </c>
      <c r="E131" s="56">
        <f>21.211299942*Deflactores!$B$5</f>
        <v>73.373002502941674</v>
      </c>
      <c r="F131" s="56">
        <f>21.84614698*Deflactores!$C$5</f>
        <v>70.630649385093193</v>
      </c>
      <c r="G131" s="56">
        <f>18.218041379*Deflactores!$D$5</f>
        <v>55.310253808578985</v>
      </c>
      <c r="H131" s="56">
        <f>22.711814285*Deflactores!$E$5</f>
        <v>65.360558772034125</v>
      </c>
      <c r="I131" s="56">
        <f>32.754526313*Deflactores!$F$5</f>
        <v>89.897046077691172</v>
      </c>
      <c r="J131" s="56">
        <f>35.029585976*Deflactores!$G$5</f>
        <v>92.020474195734579</v>
      </c>
      <c r="K131" s="56">
        <f>52.812576228*Deflactores!$H$5</f>
        <v>131.26066085489222</v>
      </c>
      <c r="L131" s="56">
        <f>50.934666912*Deflactores!$I$5</f>
        <v>117.57049827366583</v>
      </c>
      <c r="M131" s="56">
        <f>46.112564375*Deflactores!$J$5</f>
        <v>104.35092258701648</v>
      </c>
      <c r="N131" s="56">
        <f>61.763061784*Deflactores!$K$5</f>
        <v>135.47128812180273</v>
      </c>
      <c r="O131" s="56">
        <f>28.4481358138199*Deflactores!$L$5</f>
        <v>60.156388651242047</v>
      </c>
      <c r="P131" s="56">
        <f>33.98453249143*Deflactores!$M$5</f>
        <v>70.151938119372403</v>
      </c>
      <c r="Q131" s="56">
        <f>42.14022429821*Deflactores!$N$5</f>
        <v>85.331737300731277</v>
      </c>
      <c r="R131" s="56">
        <f>76.02419811565*Deflactores!$O$5</f>
        <v>148.50955211346064</v>
      </c>
      <c r="S131" s="56">
        <f>47.25711028033*Deflactores!$P$5</f>
        <v>86.461040777428636</v>
      </c>
      <c r="T131" s="56">
        <f>34.24698659465*Deflactores!$Q$5</f>
        <v>59.250945539592088</v>
      </c>
      <c r="U131" s="56">
        <f>40.49881218389*Deflactores!$R$5</f>
        <v>67.314124041092469</v>
      </c>
      <c r="V131" s="56">
        <f>49.21389213069*Deflactores!$S$5</f>
        <v>79.278623774170782</v>
      </c>
    </row>
    <row r="132" spans="3:22" x14ac:dyDescent="0.2">
      <c r="C132" s="88" t="s">
        <v>124</v>
      </c>
      <c r="D132" s="57">
        <f>3.01430505282999*Deflactores!$A$5</f>
        <v>11.224406833672946</v>
      </c>
      <c r="E132" s="57">
        <f>0.843573121*Deflactores!$B$5</f>
        <v>2.9180433489599333</v>
      </c>
      <c r="F132" s="57">
        <f>3.90794659439*Deflactores!$C$5</f>
        <v>12.634759162644301</v>
      </c>
      <c r="G132" s="57">
        <f>3.73701674104*Deflactores!$D$5</f>
        <v>11.345640298747458</v>
      </c>
      <c r="H132" s="57">
        <f>5.99710552096*Deflactores!$E$5</f>
        <v>17.258602194703371</v>
      </c>
      <c r="I132" s="57">
        <f>6.67297877471999*Deflactores!$F$5</f>
        <v>18.314448349948211</v>
      </c>
      <c r="J132" s="57">
        <f>9.79567275493*Deflactores!$G$5</f>
        <v>25.732603650881821</v>
      </c>
      <c r="K132" s="57">
        <f>20.15385024482*Deflactores!$H$5</f>
        <v>50.090487736954415</v>
      </c>
      <c r="L132" s="57">
        <f>15.57408557358*Deflactores!$I$5</f>
        <v>35.949052228142143</v>
      </c>
      <c r="M132" s="57">
        <f>19.37375549537*Deflactores!$J$5</f>
        <v>43.842047982332367</v>
      </c>
      <c r="N132" s="57">
        <f>21.96021879805*Deflactores!$K$5</f>
        <v>48.167610900066194</v>
      </c>
      <c r="O132" s="57">
        <f>33.69185588369*Deflactores!$L$5</f>
        <v>71.244751859497825</v>
      </c>
      <c r="P132" s="57">
        <f>32.25186436811*Deflactores!$M$5</f>
        <v>66.575310222572426</v>
      </c>
      <c r="Q132" s="57">
        <f>33.7536602504099*Deflactores!$N$5</f>
        <v>68.349386302351945</v>
      </c>
      <c r="R132" s="57">
        <f>38.35569803931*Deflactores!$O$5</f>
        <v>74.925979859095378</v>
      </c>
      <c r="S132" s="57">
        <f>34.64797980311*Deflactores!$P$5</f>
        <v>63.391527261012591</v>
      </c>
      <c r="T132" s="57">
        <f>50.38022728224*Deflactores!$Q$5</f>
        <v>87.163175502238118</v>
      </c>
      <c r="U132" s="57">
        <f>66.31394564284*Deflactores!$R$5</f>
        <v>110.22212558698384</v>
      </c>
      <c r="V132" s="57">
        <f>80.26238605529*Deflactores!$S$5</f>
        <v>129.29462051887856</v>
      </c>
    </row>
    <row r="133" spans="3:22" x14ac:dyDescent="0.2">
      <c r="C133" s="87" t="s">
        <v>125</v>
      </c>
      <c r="D133" s="56">
        <f>1.8305855906*Deflactores!$A$5</f>
        <v>6.8165753142546155</v>
      </c>
      <c r="E133" s="56">
        <f>1.26807817502999*Deflactores!$B$5</f>
        <v>4.3864686919149865</v>
      </c>
      <c r="F133" s="56">
        <f>7.54485813121*Deflactores!$C$5</f>
        <v>24.393236473856362</v>
      </c>
      <c r="G133" s="56">
        <f>2.30098930175*Deflactores!$D$5</f>
        <v>6.9858389078707477</v>
      </c>
      <c r="H133" s="56">
        <f>1.68856175246*Deflactores!$E$5</f>
        <v>4.859380156818272</v>
      </c>
      <c r="I133" s="56">
        <f>10.44788090142*Deflactores!$F$5</f>
        <v>28.674926385255318</v>
      </c>
      <c r="J133" s="56">
        <f>0.19184414*Deflactores!$G$5</f>
        <v>0.50396224341812046</v>
      </c>
      <c r="K133" s="56">
        <f>38.508649226*Deflactores!$H$5</f>
        <v>95.709603792327883</v>
      </c>
      <c r="L133" s="56">
        <f>48.2791127189*Deflactores!$I$5</f>
        <v>111.44078645646864</v>
      </c>
      <c r="M133" s="56">
        <f>43.2077947768*Deflactores!$J$5</f>
        <v>97.777543041045689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0.7674214138*Deflactores!$A$5</f>
        <v>2.857657075310454</v>
      </c>
      <c r="E134" s="57">
        <f>0.145428513*Deflactores!$B$5</f>
        <v>0.50305859035162781</v>
      </c>
      <c r="F134" s="57">
        <f>0.095712293*Deflactores!$C$5</f>
        <v>0.30944685188263393</v>
      </c>
      <c r="G134" s="57">
        <f>0.042827433*Deflactores!$D$5</f>
        <v>0.13002474524678767</v>
      </c>
      <c r="H134" s="57">
        <f>0.842720955*Deflactores!$E$5</f>
        <v>2.4252009027777337</v>
      </c>
      <c r="I134" s="57">
        <f>1.145876573*Deflactores!$F$5</f>
        <v>3.1449369194951133</v>
      </c>
      <c r="J134" s="57">
        <f>1.83191089*Deflactores!$G$5</f>
        <v>4.8123123378513712</v>
      </c>
      <c r="K134" s="57">
        <f>4.178044641*Deflactores!$H$5</f>
        <v>10.384134610122373</v>
      </c>
      <c r="L134" s="57">
        <f>8.3675173791*Deflactores!$I$5</f>
        <v>19.314412898272487</v>
      </c>
      <c r="M134" s="57">
        <f>11.9876844816*Deflactores!$J$5</f>
        <v>27.127659289649309</v>
      </c>
      <c r="N134" s="57">
        <f>11.69091497652*Deflactores!$K$5</f>
        <v>25.64288857198342</v>
      </c>
      <c r="O134" s="57">
        <f>13.95271947394*Deflactores!$L$5</f>
        <v>29.504401304507983</v>
      </c>
      <c r="P134" s="57">
        <f>9.01579431634*Deflactores!$M$5</f>
        <v>18.610685468054228</v>
      </c>
      <c r="Q134" s="57">
        <f>36.81468615885*Deflactores!$N$5</f>
        <v>74.547802733202275</v>
      </c>
      <c r="R134" s="57">
        <f>48.55948925497*Deflactores!$O$5</f>
        <v>94.858586856037661</v>
      </c>
      <c r="S134" s="57">
        <f>77.79888412931*Deflactores!$P$5</f>
        <v>142.33990299534975</v>
      </c>
      <c r="T134" s="57">
        <f>77.63061166335*Deflactores!$Q$5</f>
        <v>134.30925173979915</v>
      </c>
      <c r="U134" s="57">
        <f>105.77233306416*Deflactores!$R$5</f>
        <v>175.80693269885236</v>
      </c>
      <c r="V134" s="57">
        <f>114.61259937304*Deflactores!$S$5</f>
        <v>184.62935468192171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0.110112825*Deflactores!$A$5</f>
        <v>0.41002855508756703</v>
      </c>
      <c r="E136" s="57">
        <f>0.112299592*Deflactores!$B$5</f>
        <v>0.38846078587479571</v>
      </c>
      <c r="F136" s="57">
        <f>0.20857598*Deflactores!$C$5</f>
        <v>0.67434577488740355</v>
      </c>
      <c r="G136" s="57">
        <f>0.282376425*Deflactores!$D$5</f>
        <v>0.8572991690705265</v>
      </c>
      <c r="H136" s="57">
        <f>0.271896842*Deflactores!$E$5</f>
        <v>0.78247071319214423</v>
      </c>
      <c r="I136" s="57">
        <f>0.216968825*Deflactores!$F$5</f>
        <v>0.59548583521130627</v>
      </c>
      <c r="J136" s="57">
        <f>0.63145317*Deflactores!$G$5</f>
        <v>1.6587869515674747</v>
      </c>
      <c r="K136" s="57">
        <f>2.812024066*Deflactores!$H$5</f>
        <v>6.9890197298750314</v>
      </c>
      <c r="L136" s="57">
        <f>2.254341037*Deflactores!$I$5</f>
        <v>5.2036071906935213</v>
      </c>
      <c r="M136" s="57">
        <f>2.768815025*Deflactores!$J$5</f>
        <v>6.2657196850276691</v>
      </c>
      <c r="N136" s="57">
        <f>4.996665641*Deflactores!$K$5</f>
        <v>10.959701659019409</v>
      </c>
      <c r="O136" s="57">
        <f>6.407821921*Deflactores!$L$5</f>
        <v>13.54997137282947</v>
      </c>
      <c r="P136" s="57">
        <f>8.00298096331*Deflactores!$M$5</f>
        <v>16.520004371112503</v>
      </c>
      <c r="Q136" s="57">
        <f>7.01764075052*Deflactores!$N$5</f>
        <v>14.210353337386385</v>
      </c>
      <c r="R136" s="57">
        <f>7.84716867105999*Deflactores!$O$5</f>
        <v>15.329060135893751</v>
      </c>
      <c r="S136" s="57">
        <f>13.49062755888*Deflactores!$P$5</f>
        <v>24.682289978423142</v>
      </c>
      <c r="T136" s="57">
        <f>15.16370095109*Deflactores!$Q$5</f>
        <v>26.234822639024561</v>
      </c>
      <c r="U136" s="57">
        <f>8.5372264518*Deflactores!$R$5</f>
        <v>14.189945071326337</v>
      </c>
      <c r="V136" s="57">
        <f>10.2725811806*Deflactores!$S$5</f>
        <v>16.548093705812661</v>
      </c>
    </row>
    <row r="137" spans="3:22" x14ac:dyDescent="0.2">
      <c r="C137" s="87" t="s">
        <v>129</v>
      </c>
      <c r="D137" s="56">
        <f>7.15548707555999*Deflactores!$A$5</f>
        <v>26.644980060584434</v>
      </c>
      <c r="E137" s="56">
        <f>7.73004184953*Deflactores!$B$5</f>
        <v>26.739350323850534</v>
      </c>
      <c r="F137" s="56">
        <f>7.21785278938*Deflactores!$C$5</f>
        <v>23.335997425387447</v>
      </c>
      <c r="G137" s="56">
        <f>5.48322530870999*Deflactores!$D$5</f>
        <v>16.647156365775068</v>
      </c>
      <c r="H137" s="56">
        <f>9.28423986664*Deflactores!$E$5</f>
        <v>26.718389726265148</v>
      </c>
      <c r="I137" s="56">
        <f>11.30400797711*Deflactores!$F$5</f>
        <v>31.024625917961334</v>
      </c>
      <c r="J137" s="56">
        <f>9.31360981072*Deflactores!$G$5</f>
        <v>24.466255234751852</v>
      </c>
      <c r="K137" s="56">
        <f>13.84112511384*Deflactores!$H$5</f>
        <v>34.40080676190648</v>
      </c>
      <c r="L137" s="56">
        <f>20.90903245712*Deflactores!$I$5</f>
        <v>48.263501333012307</v>
      </c>
      <c r="M137" s="56">
        <f>21.1710602664799*Deflactores!$J$5</f>
        <v>47.909278108814881</v>
      </c>
      <c r="N137" s="56">
        <f>32.25544068305*Deflactores!$K$5</f>
        <v>70.749181987625661</v>
      </c>
      <c r="O137" s="56">
        <f>29.60550699609*Deflactores!$L$5</f>
        <v>62.603764152752596</v>
      </c>
      <c r="P137" s="56">
        <f>25.48942596043*Deflactores!$M$5</f>
        <v>52.61607271264743</v>
      </c>
      <c r="Q137" s="56">
        <f>30.88608674264*Deflactores!$N$5</f>
        <v>62.542700805759758</v>
      </c>
      <c r="R137" s="56">
        <f>41.62694584702*Deflactores!$O$5</f>
        <v>81.316202430547207</v>
      </c>
      <c r="S137" s="56">
        <f>81.0754027053299*Deflactores!$P$5</f>
        <v>148.33458198711992</v>
      </c>
      <c r="T137" s="56">
        <f>52.50188619007*Deflactores!$Q$5</f>
        <v>90.833872077365811</v>
      </c>
      <c r="U137" s="56">
        <f>59.7548282930399*Deflactores!$R$5</f>
        <v>99.320046857372148</v>
      </c>
      <c r="V137" s="56">
        <f>53.69109714624*Deflactores!$S$5</f>
        <v>86.490950144233921</v>
      </c>
    </row>
    <row r="138" spans="3:22" x14ac:dyDescent="0.2">
      <c r="C138" s="88" t="s">
        <v>130</v>
      </c>
      <c r="D138" s="57">
        <f>6.917689511*Deflactores!$A$5</f>
        <v>25.759490184179253</v>
      </c>
      <c r="E138" s="57">
        <f>10.58805800255*Deflactores!$B$5</f>
        <v>36.625648048289364</v>
      </c>
      <c r="F138" s="57">
        <f>6.78868973347*Deflactores!$C$5</f>
        <v>21.948472872029601</v>
      </c>
      <c r="G138" s="57">
        <f>9.05216657376*Deflactores!$D$5</f>
        <v>27.482516934522568</v>
      </c>
      <c r="H138" s="57">
        <f>7.65447220906*Deflactores!$E$5</f>
        <v>22.028208509066186</v>
      </c>
      <c r="I138" s="57">
        <f>9.25941486977*Deflactores!$F$5</f>
        <v>25.41309977271148</v>
      </c>
      <c r="J138" s="57">
        <f>17.14984114313*Deflactores!$G$5</f>
        <v>45.051532023632198</v>
      </c>
      <c r="K138" s="57">
        <f>13.19055836036*Deflactores!$H$5</f>
        <v>32.78388465563868</v>
      </c>
      <c r="L138" s="57">
        <f>13.07906712923*Deflactores!$I$5</f>
        <v>30.189898797119973</v>
      </c>
      <c r="M138" s="57">
        <f>7.81069025136999*Deflactores!$J$5</f>
        <v>17.675285354846938</v>
      </c>
      <c r="N138" s="57">
        <f>0*Deflactores!$K$5</f>
        <v>0</v>
      </c>
      <c r="O138" s="57">
        <f>2.774702765*Deflactores!$L$5</f>
        <v>5.8673826297584419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82.83305206406*Deflactores!$A$5</f>
        <v>308.44651067048488</v>
      </c>
      <c r="E139" s="56">
        <f>90.7657380168*Deflactores!$B$5</f>
        <v>313.9720215591874</v>
      </c>
      <c r="F139" s="56">
        <f>122.92961895394*Deflactores!$C$5</f>
        <v>397.44302843552703</v>
      </c>
      <c r="G139" s="56">
        <f>115.55302604322*Deflactores!$D$5</f>
        <v>350.82076419955177</v>
      </c>
      <c r="H139" s="56">
        <f>98.51707497958*Deflactores!$E$5</f>
        <v>283.51460559029186</v>
      </c>
      <c r="I139" s="56">
        <f>87.0599500412*Deflactores!$F$5</f>
        <v>238.94200958934343</v>
      </c>
      <c r="J139" s="56">
        <f>59.52242052387*Deflactores!$G$5</f>
        <v>156.36157862776682</v>
      </c>
      <c r="K139" s="56">
        <f>12.70867973216*Deflactores!$H$5</f>
        <v>31.586220922736999</v>
      </c>
      <c r="L139" s="56">
        <f>13.20598286841*Deflactores!$I$5</f>
        <v>30.482853430944189</v>
      </c>
      <c r="M139" s="56">
        <f>25.49752187623*Deflactores!$J$5</f>
        <v>57.699890854687176</v>
      </c>
      <c r="N139" s="56">
        <f>2.435863173*Deflactores!$K$5</f>
        <v>5.3428297141230274</v>
      </c>
      <c r="O139" s="56">
        <f>1.962347763*Deflactores!$L$5</f>
        <v>4.1495778659273928</v>
      </c>
      <c r="P139" s="56">
        <f>5.06584045391999*Deflactores!$M$5</f>
        <v>10.457066788711177</v>
      </c>
      <c r="Q139" s="56">
        <f>10.69443921111*Deflactores!$N$5</f>
        <v>21.655676791920683</v>
      </c>
      <c r="R139" s="56">
        <f>5.03658746848*Deflactores!$O$5</f>
        <v>9.8387272429547306</v>
      </c>
      <c r="S139" s="56">
        <f>8.35648120275*Deflactores!$P$5</f>
        <v>15.288917535178125</v>
      </c>
      <c r="T139" s="56">
        <f>9.02358539568999*Deflactores!$Q$5</f>
        <v>15.611766757178254</v>
      </c>
      <c r="U139" s="56">
        <f>10.3692412148399*Deflactores!$R$5</f>
        <v>17.234984230609037</v>
      </c>
      <c r="V139" s="56">
        <f>9.28239080907999*Deflactores!$S$5</f>
        <v>14.952996741726221</v>
      </c>
    </row>
    <row r="140" spans="3:22" x14ac:dyDescent="0.2">
      <c r="C140" s="88" t="s">
        <v>132</v>
      </c>
      <c r="D140" s="57">
        <f>10.71460767639*Deflactores!$A$5</f>
        <v>39.898123618936715</v>
      </c>
      <c r="E140" s="57">
        <f>13.4776209981599*Deflactores!$B$5</f>
        <v>46.621070935572433</v>
      </c>
      <c r="F140" s="57">
        <f>13.7587882372099*Deflactores!$C$5</f>
        <v>44.483457372862418</v>
      </c>
      <c r="G140" s="57">
        <f>4.77014016313*Deflactores!$D$5</f>
        <v>14.482218896996427</v>
      </c>
      <c r="H140" s="57">
        <f>6.95078813289*Deflactores!$E$5</f>
        <v>20.003130994768707</v>
      </c>
      <c r="I140" s="57">
        <f>6.72036937974*Deflactores!$F$5</f>
        <v>18.444515118810095</v>
      </c>
      <c r="J140" s="57">
        <f>13.73105068396*Deflactores!$G$5</f>
        <v>36.07058890188879</v>
      </c>
      <c r="K140" s="57">
        <f>15.81694141563*Deflactores!$H$5</f>
        <v>39.311511219518692</v>
      </c>
      <c r="L140" s="57">
        <f>23.70165187497*Deflactores!$I$5</f>
        <v>54.709595444368638</v>
      </c>
      <c r="M140" s="57">
        <f>54.33914941357*Deflactores!$J$5</f>
        <v>122.96736151533463</v>
      </c>
      <c r="N140" s="57">
        <f>53.07960727175*Deflactores!$K$5</f>
        <v>116.42497250623963</v>
      </c>
      <c r="O140" s="57">
        <f>53.39629742373*Deflactores!$L$5</f>
        <v>112.91173669097809</v>
      </c>
      <c r="P140" s="57">
        <f>70.9143642358499*Deflactores!$M$5</f>
        <v>146.38365535563821</v>
      </c>
      <c r="Q140" s="57">
        <f>95.90171423406*Deflactores!$N$5</f>
        <v>194.19592614883683</v>
      </c>
      <c r="R140" s="57">
        <f>95.89049975082*Deflactores!$O$5</f>
        <v>187.31740055011076</v>
      </c>
      <c r="S140" s="57">
        <f>120.97620626605*Deflactores!$P$5</f>
        <v>221.33661243821882</v>
      </c>
      <c r="T140" s="57">
        <f>179.99644331143*Deflactores!$Q$5</f>
        <v>311.4130766072094</v>
      </c>
      <c r="U140" s="57">
        <f>237.550072600159*Deflactores!$R$5</f>
        <v>394.83812464352883</v>
      </c>
      <c r="V140" s="57">
        <f>323.528602883189*Deflactores!$S$5</f>
        <v>521.17199590813664</v>
      </c>
    </row>
    <row r="141" spans="3:22" x14ac:dyDescent="0.2">
      <c r="C141" s="87" t="s">
        <v>133</v>
      </c>
      <c r="D141" s="56">
        <f>0*Deflactores!$A$5</f>
        <v>0</v>
      </c>
      <c r="E141" s="56">
        <f>0*Deflactores!$B$5</f>
        <v>0</v>
      </c>
      <c r="F141" s="56">
        <f>0*Deflactores!$C$5</f>
        <v>0</v>
      </c>
      <c r="G141" s="56">
        <f>0*Deflactores!$D$5</f>
        <v>0</v>
      </c>
      <c r="H141" s="56">
        <f>0.39934691372*Deflactores!$E$5</f>
        <v>1.1492493332804874</v>
      </c>
      <c r="I141" s="56">
        <f>2.2619094062*Deflactores!$F$5</f>
        <v>6.2079656463241513</v>
      </c>
      <c r="J141" s="56">
        <f>3.1442181175*Deflactores!$G$5</f>
        <v>8.2596592019500807</v>
      </c>
      <c r="K141" s="56">
        <f>1.014876764*Deflactores!$H$5</f>
        <v>2.5223801647890043</v>
      </c>
      <c r="L141" s="56">
        <f>4.688586616*Deflactores!$I$5</f>
        <v>10.822480995011494</v>
      </c>
      <c r="M141" s="56">
        <f>4.1183713014*Deflactores!$J$5</f>
        <v>9.319712548668722</v>
      </c>
      <c r="N141" s="56">
        <f>3.030226824*Deflactores!$K$5</f>
        <v>6.6465087592996133</v>
      </c>
      <c r="O141" s="56">
        <f>3.82780008*Deflactores!$L$5</f>
        <v>8.0942607557389934</v>
      </c>
      <c r="P141" s="56">
        <f>3.95238698644999*Deflactores!$M$5</f>
        <v>8.1586412102968318</v>
      </c>
      <c r="Q141" s="56">
        <f>2.96411675128*Deflactores!$N$5</f>
        <v>6.0021804857755798</v>
      </c>
      <c r="R141" s="56">
        <f>3.61813979521*Deflactores!$O$5</f>
        <v>7.0678590999819217</v>
      </c>
      <c r="S141" s="56">
        <f>2.279883043*Deflactores!$P$5</f>
        <v>4.1712466035114195</v>
      </c>
      <c r="T141" s="56">
        <f>2.62501856131*Deflactores!$Q$5</f>
        <v>4.5415625514010793</v>
      </c>
      <c r="U141" s="56">
        <f>5.53860942267*Deflactores!$R$5</f>
        <v>9.2058660881189596</v>
      </c>
      <c r="V141" s="56">
        <f>18.98072321384*Deflactores!$S$5</f>
        <v>30.576033503623517</v>
      </c>
    </row>
    <row r="142" spans="3:22" x14ac:dyDescent="0.2">
      <c r="C142" s="88" t="s">
        <v>134</v>
      </c>
      <c r="D142" s="57">
        <f>7.4030269236*Deflactores!$A$5</f>
        <v>27.566747404383317</v>
      </c>
      <c r="E142" s="57">
        <f>10.81719799985*Deflactores!$B$5</f>
        <v>37.418276960302748</v>
      </c>
      <c r="F142" s="57">
        <f>10.59890916643*Deflactores!$C$5</f>
        <v>34.267270923514026</v>
      </c>
      <c r="G142" s="57">
        <f>11.75564385491*Deflactores!$D$5</f>
        <v>35.690315537861856</v>
      </c>
      <c r="H142" s="57">
        <f>11.91065443524*Deflactores!$E$5</f>
        <v>34.276743348594749</v>
      </c>
      <c r="I142" s="57">
        <f>15.30590497115*Deflactores!$F$5</f>
        <v>42.008106949973765</v>
      </c>
      <c r="J142" s="57">
        <f>3.97691450175999*Deflactores!$G$5</f>
        <v>10.447099161793638</v>
      </c>
      <c r="K142" s="57">
        <f>10.96155859256*Deflactores!$H$5</f>
        <v>27.243916650599182</v>
      </c>
      <c r="L142" s="57">
        <f>11.00383566231*Deflactores!$I$5</f>
        <v>25.399723217479679</v>
      </c>
      <c r="M142" s="57">
        <f>8.25987423778*Deflactores!$J$5</f>
        <v>18.691771079041679</v>
      </c>
      <c r="N142" s="57">
        <f>9.6642093191*Deflactores!$K$5</f>
        <v>21.197506200645755</v>
      </c>
      <c r="O142" s="57">
        <f>8.89976164533*Deflactores!$L$5</f>
        <v>18.819423667817503</v>
      </c>
      <c r="P142" s="57">
        <f>13.83601100183*Deflactores!$M$5</f>
        <v>28.560727968351468</v>
      </c>
      <c r="Q142" s="57">
        <f>17.65362940051*Deflactores!$N$5</f>
        <v>35.747670817992628</v>
      </c>
      <c r="R142" s="57">
        <f>21.02718956429*Deflactores!$O$5</f>
        <v>41.075586218576753</v>
      </c>
      <c r="S142" s="57">
        <f>21.57136759837*Deflactores!$P$5</f>
        <v>39.466714796648958</v>
      </c>
      <c r="T142" s="57">
        <f>17.92924386382*Deflactores!$Q$5</f>
        <v>31.01950733111271</v>
      </c>
      <c r="U142" s="57">
        <f>24.4363558451199*Deflactores!$R$5</f>
        <v>40.61629958433705</v>
      </c>
      <c r="V142" s="57">
        <f>25.7772064285599*Deflactores!$S$5</f>
        <v>41.524483472514262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</row>
    <row r="144" spans="3:22" x14ac:dyDescent="0.2">
      <c r="C144" s="88" t="s">
        <v>136</v>
      </c>
      <c r="D144" s="57">
        <f>783.57713911999*Deflactores!$A$5</f>
        <v>2917.8163592934698</v>
      </c>
      <c r="E144" s="57">
        <f>765.299627317699*Deflactores!$B$5</f>
        <v>2647.2838357019286</v>
      </c>
      <c r="F144" s="57">
        <f>802.26269081743*Deflactores!$C$5</f>
        <v>2593.7907898240883</v>
      </c>
      <c r="G144" s="57">
        <f>849.844334792*Deflactores!$D$5</f>
        <v>2580.1404704959909</v>
      </c>
      <c r="H144" s="57">
        <f>961.11010692632*Deflactores!$E$5</f>
        <v>2765.9038085584511</v>
      </c>
      <c r="I144" s="57">
        <f>1045.64131396771*Deflactores!$F$5</f>
        <v>2869.8343698893582</v>
      </c>
      <c r="J144" s="57">
        <f>1291.18901372544*Deflactores!$G$5</f>
        <v>3391.8706718584322</v>
      </c>
      <c r="K144" s="57">
        <f>1926.98086368844*Deflactores!$H$5</f>
        <v>4789.3285972361709</v>
      </c>
      <c r="L144" s="57">
        <f>2523.48931120904*Deflactores!$I$5</f>
        <v>5824.8716187681239</v>
      </c>
      <c r="M144" s="57">
        <f>3276.30029751248*Deflactores!$J$5</f>
        <v>7414.1389304928216</v>
      </c>
      <c r="N144" s="57">
        <f>2646.49650130986*Deflactores!$K$5</f>
        <v>5804.8334989631012</v>
      </c>
      <c r="O144" s="57">
        <f>2566.30851570115*Deflactores!$L$5</f>
        <v>5426.7124383775572</v>
      </c>
      <c r="P144" s="57">
        <f>2740.68405474909*Deflactores!$M$5</f>
        <v>5657.4060055701157</v>
      </c>
      <c r="Q144" s="57">
        <f>3179.46702676732*Deflactores!$N$5</f>
        <v>6438.2534645400683</v>
      </c>
      <c r="R144" s="57">
        <f>1128.62573969638*Deflactores!$O$5</f>
        <v>2204.7151730697283</v>
      </c>
      <c r="S144" s="57">
        <f>1178.48363839798*Deflactores!$P$5</f>
        <v>2156.1394954247021</v>
      </c>
      <c r="T144" s="57">
        <f>2223.4931578065*Deflactores!$Q$5</f>
        <v>3846.8807069124559</v>
      </c>
      <c r="U144" s="57">
        <f>2394.27542052389*Deflactores!$R$5</f>
        <v>3979.5871521830727</v>
      </c>
      <c r="V144" s="57">
        <f>2245.42343386969*Deflactores!$S$5</f>
        <v>3617.1510100183978</v>
      </c>
    </row>
    <row r="145" spans="3:22" x14ac:dyDescent="0.2">
      <c r="C145" s="87" t="s">
        <v>137</v>
      </c>
      <c r="D145" s="56">
        <f>9.16418072909*Deflactores!$A$5</f>
        <v>34.124778679596126</v>
      </c>
      <c r="E145" s="56">
        <f>10.95336060758*Deflactores!$B$5</f>
        <v>37.889283423136177</v>
      </c>
      <c r="F145" s="56">
        <f>15.18240514421*Deflactores!$C$5</f>
        <v>49.086144826584508</v>
      </c>
      <c r="G145" s="56">
        <f>14.30574985081*Deflactores!$D$5</f>
        <v>43.432476560428945</v>
      </c>
      <c r="H145" s="56">
        <f>13.63181257458*Deflactores!$E$5</f>
        <v>39.22993010464333</v>
      </c>
      <c r="I145" s="56">
        <f>29.99969757104*Deflactores!$F$5</f>
        <v>82.336229475259174</v>
      </c>
      <c r="J145" s="56">
        <f>32.43173325501*Deflactores!$G$5</f>
        <v>85.196081825240555</v>
      </c>
      <c r="K145" s="56">
        <f>28.37038777911*Deflactores!$H$5</f>
        <v>70.511914293270223</v>
      </c>
      <c r="L145" s="56">
        <f>39.6327051051*Deflactores!$I$5</f>
        <v>91.482622143977849</v>
      </c>
      <c r="M145" s="56">
        <f>42.58676799936*Deflactores!$J$5</f>
        <v>96.37218382809678</v>
      </c>
      <c r="N145" s="56">
        <f>33.7121970916*Deflactores!$K$5</f>
        <v>73.944435937893445</v>
      </c>
      <c r="O145" s="56">
        <f>34.17164066622*Deflactores!$L$5</f>
        <v>72.259304097145858</v>
      </c>
      <c r="P145" s="56">
        <f>36.87147231978*Deflactores!$M$5</f>
        <v>76.111249881093173</v>
      </c>
      <c r="Q145" s="56">
        <f>39.31169253677*Deflactores!$N$5</f>
        <v>79.604109286558014</v>
      </c>
      <c r="R145" s="56">
        <f>49.8075054841999*Deflactores!$O$5</f>
        <v>97.296525510139801</v>
      </c>
      <c r="S145" s="56">
        <f>37.72090027423*Deflactores!$P$5</f>
        <v>69.01370560800072</v>
      </c>
      <c r="T145" s="56">
        <f>32.6215992903*Deflactores!$Q$5</f>
        <v>56.43885185699547</v>
      </c>
      <c r="U145" s="56">
        <f>54.26278081597*Deflactores!$R$5</f>
        <v>90.191572584289347</v>
      </c>
      <c r="V145" s="56">
        <f>38.68025192483*Deflactores!$S$5</f>
        <v>62.309990270540894</v>
      </c>
    </row>
    <row r="146" spans="3:22" x14ac:dyDescent="0.2">
      <c r="C146" s="88" t="s">
        <v>138</v>
      </c>
      <c r="D146" s="57">
        <f>3.68231003063*Deflactores!$A$5</f>
        <v>13.71186563639316</v>
      </c>
      <c r="E146" s="57">
        <f>3.0711489301*Deflactores!$B$5</f>
        <v>10.623555310202587</v>
      </c>
      <c r="F146" s="57">
        <f>4.33166902610999*Deflactores!$C$5</f>
        <v>14.004693665914484</v>
      </c>
      <c r="G146" s="57">
        <f>2.28970573560999*Deflactores!$D$5</f>
        <v>6.9515818275355779</v>
      </c>
      <c r="H146" s="57">
        <f>7.12534524595*Deflactores!$E$5</f>
        <v>20.505475294702944</v>
      </c>
      <c r="I146" s="57">
        <f>3.16276031088*Deflactores!$F$5</f>
        <v>8.6804127980024202</v>
      </c>
      <c r="J146" s="57">
        <f>2.11638848706*Deflactores!$G$5</f>
        <v>5.5596167278450075</v>
      </c>
      <c r="K146" s="57">
        <f>30.79647868335*Deflactores!$H$5</f>
        <v>76.54173366829535</v>
      </c>
      <c r="L146" s="57">
        <f>37.47446724665*Deflactores!$I$5</f>
        <v>86.500846159274701</v>
      </c>
      <c r="M146" s="57">
        <f>24.1870316322599*Deflactores!$J$5</f>
        <v>54.734302888520972</v>
      </c>
      <c r="N146" s="57">
        <f>16.2385319855599*Deflactores!$K$5</f>
        <v>35.61764559186372</v>
      </c>
      <c r="O146" s="57">
        <f>20.1905176041299*Deflactores!$L$5</f>
        <v>42.694840604414729</v>
      </c>
      <c r="P146" s="57">
        <f>10*Deflactores!$M$5</f>
        <v>20.642313716412861</v>
      </c>
      <c r="Q146" s="57">
        <f>5*Deflactores!$N$5</f>
        <v>10.124736961159925</v>
      </c>
      <c r="R146" s="57">
        <f>0*Deflactores!$O$5</f>
        <v>0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63.9077749680699*Deflactores!$A$5</f>
        <v>237.97421080622613</v>
      </c>
      <c r="E147" s="56">
        <f>54.14149429303*Deflactores!$B$5</f>
        <v>187.28338230744595</v>
      </c>
      <c r="F147" s="56">
        <f>69.83713236948*Deflactores!$C$5</f>
        <v>225.79002214737847</v>
      </c>
      <c r="G147" s="56">
        <f>57.56628212041*Deflactores!$D$5</f>
        <v>174.7721178505146</v>
      </c>
      <c r="H147" s="56">
        <f>59.43427963425*Deflactores!$E$5</f>
        <v>171.04127738810928</v>
      </c>
      <c r="I147" s="56">
        <f>88.0172801606*Deflactores!$F$5</f>
        <v>241.56946782314196</v>
      </c>
      <c r="J147" s="56">
        <f>99.39031207139*Deflactores!$G$5</f>
        <v>261.09197104235142</v>
      </c>
      <c r="K147" s="56">
        <f>139.278881134549*Deflactores!$H$5</f>
        <v>346.16447987550129</v>
      </c>
      <c r="L147" s="56">
        <f>256.70903758893*Deflactores!$I$5</f>
        <v>592.55142500152681</v>
      </c>
      <c r="M147" s="56">
        <f>274.00880976259*Deflactores!$J$5</f>
        <v>620.07117763327722</v>
      </c>
      <c r="N147" s="56">
        <f>220.18298777737*Deflactores!$K$5</f>
        <v>482.95003704681392</v>
      </c>
      <c r="O147" s="56">
        <f>143.376217244439*Deflactores!$L$5</f>
        <v>303.18315071145804</v>
      </c>
      <c r="P147" s="56">
        <f>200.153835556249*Deflactores!$M$5</f>
        <v>413.16382650954029</v>
      </c>
      <c r="Q147" s="56">
        <f>323.97555142036*Deflactores!$N$5</f>
        <v>656.03344799557738</v>
      </c>
      <c r="R147" s="56">
        <f>319.662671733629*Deflactores!$O$5</f>
        <v>624.44539216758767</v>
      </c>
      <c r="S147" s="56">
        <f>427.982619584749*Deflactores!$P$5</f>
        <v>783.03185498309983</v>
      </c>
      <c r="T147" s="56">
        <f>505.91584962441*Deflactores!$Q$5</f>
        <v>875.28846869099925</v>
      </c>
      <c r="U147" s="56">
        <f>553.04364946498*Deflactores!$R$5</f>
        <v>919.22816529006479</v>
      </c>
      <c r="V147" s="56">
        <f>23.2640940378099*Deflactores!$S$5</f>
        <v>37.476112512554536</v>
      </c>
    </row>
    <row r="148" spans="3:22" x14ac:dyDescent="0.2">
      <c r="C148" s="88" t="s">
        <v>140</v>
      </c>
      <c r="D148" s="57">
        <f>7.76798867241*Deflactores!$A$5</f>
        <v>28.925760203544503</v>
      </c>
      <c r="E148" s="57">
        <f>18.52817191125*Deflactores!$B$5</f>
        <v>64.091668485024329</v>
      </c>
      <c r="F148" s="57">
        <f>5.69090687473*Deflactores!$C$5</f>
        <v>18.399237564420666</v>
      </c>
      <c r="G148" s="57">
        <f>4.3189656136*Deflactores!$D$5</f>
        <v>13.112446025844601</v>
      </c>
      <c r="H148" s="57">
        <f>21.12542631476*Deflactores!$E$5</f>
        <v>60.795216573344184</v>
      </c>
      <c r="I148" s="57">
        <f>34.69824243275*Deflactores!$F$5</f>
        <v>95.231708405253698</v>
      </c>
      <c r="J148" s="57">
        <f>161.73307623844*Deflactores!$G$5</f>
        <v>424.86241141396414</v>
      </c>
      <c r="K148" s="57">
        <f>98.5850045946*Deflactores!$H$5</f>
        <v>245.02370037023715</v>
      </c>
      <c r="L148" s="57">
        <f>191.438776452239*Deflactores!$I$5</f>
        <v>441.89063561124379</v>
      </c>
      <c r="M148" s="57">
        <f>232.42589610577*Deflactores!$J$5</f>
        <v>525.97067676636107</v>
      </c>
      <c r="N148" s="57">
        <f>180.413187679119*Deflactores!$K$5</f>
        <v>395.71883619575192</v>
      </c>
      <c r="O148" s="57">
        <f>409.43725454712*Deflactores!$L$5</f>
        <v>865.79545225838194</v>
      </c>
      <c r="P148" s="57">
        <f>422.998195091*Deflactores!$M$5</f>
        <v>873.16614445448329</v>
      </c>
      <c r="Q148" s="57">
        <f>421.675510847389*Deflactores!$N$5</f>
        <v>853.87072605851051</v>
      </c>
      <c r="R148" s="57">
        <f>257.7251694483*Deflactores!$O$5</f>
        <v>503.45351127424436</v>
      </c>
      <c r="S148" s="57">
        <f>148.93771625255*Deflactores!$P$5</f>
        <v>272.4946549169087</v>
      </c>
      <c r="T148" s="57">
        <f>219.20016764461*Deflactores!$Q$5</f>
        <v>379.23970798088192</v>
      </c>
      <c r="U148" s="57">
        <f>146.98689679214*Deflactores!$R$5</f>
        <v>244.31072590857895</v>
      </c>
      <c r="V148" s="57">
        <f>193.25650484972*Deflactores!$S$5</f>
        <v>311.31676598969602</v>
      </c>
    </row>
    <row r="149" spans="3:22" x14ac:dyDescent="0.2">
      <c r="C149" s="87" t="s">
        <v>141</v>
      </c>
      <c r="D149" s="56">
        <f>0*Deflactores!$A$5</f>
        <v>0</v>
      </c>
      <c r="E149" s="56">
        <f>0*Deflactores!$B$5</f>
        <v>0</v>
      </c>
      <c r="F149" s="56">
        <f>0*Deflactores!$C$5</f>
        <v>0</v>
      </c>
      <c r="G149" s="56">
        <f>0*Deflactores!$D$5</f>
        <v>0</v>
      </c>
      <c r="H149" s="56">
        <f>0*Deflactores!$E$5</f>
        <v>0</v>
      </c>
      <c r="I149" s="56">
        <f>0*Deflactores!$F$5</f>
        <v>0</v>
      </c>
      <c r="J149" s="56">
        <f>0*Deflactores!$G$5</f>
        <v>0</v>
      </c>
      <c r="K149" s="56">
        <f>0.680159538*Deflactores!$H$5</f>
        <v>1.6904721719919611</v>
      </c>
      <c r="L149" s="56">
        <f>0.45957962*Deflactores!$I$5</f>
        <v>1.0608296509168307</v>
      </c>
      <c r="M149" s="56">
        <f>0.089379995*Deflactores!$J$5</f>
        <v>0.2022634192109582</v>
      </c>
      <c r="N149" s="56">
        <f>0.124632853*Deflactores!$K$5</f>
        <v>0.27337007995577067</v>
      </c>
      <c r="O149" s="56">
        <f>0.007571296*Deflactores!$L$5</f>
        <v>1.6010252051325426E-2</v>
      </c>
      <c r="P149" s="56">
        <f>0.16075268*Deflactores!$M$5</f>
        <v>0.33183072513141276</v>
      </c>
      <c r="Q149" s="56">
        <f>0.205022981*Deflactores!$N$5</f>
        <v>0.41516075072357783</v>
      </c>
      <c r="R149" s="56">
        <f>0.8743483306*Deflactores!$O$5</f>
        <v>1.7079966929875168</v>
      </c>
      <c r="S149" s="56">
        <f>0*Deflactores!$P$5</f>
        <v>0</v>
      </c>
      <c r="T149" s="56">
        <f>0.08209607*Deflactores!$Q$5</f>
        <v>0.14203497172345164</v>
      </c>
      <c r="U149" s="56">
        <f>0*Deflactores!$R$5</f>
        <v>0</v>
      </c>
      <c r="V149" s="56">
        <f>0*Deflactores!$S$5</f>
        <v>0</v>
      </c>
    </row>
    <row r="150" spans="3:22" x14ac:dyDescent="0.2">
      <c r="C150" s="88" t="s">
        <v>142</v>
      </c>
      <c r="D150" s="57">
        <f>1.60707621494*Deflactores!$A$5</f>
        <v>5.9842905522353504</v>
      </c>
      <c r="E150" s="57">
        <f>2.95106539462*Deflactores!$B$5</f>
        <v>10.208168720345833</v>
      </c>
      <c r="F150" s="57">
        <f>2.3994715564*Deflactores!$C$5</f>
        <v>7.7577173844315261</v>
      </c>
      <c r="G150" s="57">
        <f>2.504603623*Deflactores!$D$5</f>
        <v>7.6040151186450151</v>
      </c>
      <c r="H150" s="57">
        <f>2.73728262537*Deflactores!$E$5</f>
        <v>7.8774121550177059</v>
      </c>
      <c r="I150" s="57">
        <f>3.21155495529*Deflactores!$F$5</f>
        <v>8.8143330493580123</v>
      </c>
      <c r="J150" s="57">
        <f>4.85229468775*Deflactores!$G$5</f>
        <v>12.746666729378955</v>
      </c>
      <c r="K150" s="57">
        <f>8.53518116377999*Deflactores!$H$5</f>
        <v>21.213385145942091</v>
      </c>
      <c r="L150" s="57">
        <f>12.47645200306*Deflactores!$I$5</f>
        <v>28.798905885092843</v>
      </c>
      <c r="M150" s="57">
        <f>15.18189883867*Deflactores!$J$5</f>
        <v>34.356040959996356</v>
      </c>
      <c r="N150" s="57">
        <f>21.95834823791*Deflactores!$K$5</f>
        <v>48.163508007749073</v>
      </c>
      <c r="O150" s="57">
        <f>22.88254939469*Deflactores!$L$5</f>
        <v>48.387407305947477</v>
      </c>
      <c r="P150" s="57">
        <f>27.02501037937*Deflactores!$M$5</f>
        <v>55.785874244026928</v>
      </c>
      <c r="Q150" s="57">
        <f>36.45826939688*Deflactores!$N$5</f>
        <v>73.826077540503348</v>
      </c>
      <c r="R150" s="57">
        <f>15.48325981718*Deflactores!$O$5</f>
        <v>30.245790652179174</v>
      </c>
      <c r="S150" s="57">
        <f>17.53536064046*Deflactores!$P$5</f>
        <v>32.082484993010496</v>
      </c>
      <c r="T150" s="57">
        <f>12.4091540874299*Deflactores!$Q$5</f>
        <v>21.469162286575475</v>
      </c>
      <c r="U150" s="57">
        <f>14.9189133337799*Deflactores!$R$5</f>
        <v>24.797112027592995</v>
      </c>
      <c r="V150" s="57">
        <f>16.25960023973*Deflactores!$S$5</f>
        <v>26.192578443112435</v>
      </c>
    </row>
    <row r="151" spans="3:22" x14ac:dyDescent="0.2">
      <c r="C151" s="87" t="s">
        <v>143</v>
      </c>
      <c r="D151" s="56">
        <f>0.0585*Deflactores!$A$5</f>
        <v>0.21783720899561584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30.49931686711*Deflactores!$E$5</f>
        <v>87.771605015113607</v>
      </c>
      <c r="I151" s="56">
        <f>4.23428594992999*Deflactores!$F$5</f>
        <v>11.621288475049626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0.117682621*Deflactores!$M$5</f>
        <v>0.24292415816517163</v>
      </c>
      <c r="Q151" s="56">
        <f>3.523321884*Deflactores!$N$5</f>
        <v>7.1345414609996851</v>
      </c>
      <c r="R151" s="56">
        <f>11.10531429688*Deflactores!$O$5</f>
        <v>21.693688235948045</v>
      </c>
      <c r="S151" s="56">
        <f>0.221295048*Deflactores!$P$5</f>
        <v>0.40487875910040555</v>
      </c>
      <c r="T151" s="56">
        <f>11.68452236617*Deflactores!$Q$5</f>
        <v>20.215471993738486</v>
      </c>
      <c r="U151" s="56">
        <f>19.22252670155*Deflactores!$R$5</f>
        <v>31.950259205035827</v>
      </c>
      <c r="V151" s="56">
        <f>55.42405192524*Deflactores!$S$5</f>
        <v>89.282565763196885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1.68320523514999*Deflactores!$A$5</f>
        <v>6.2677731725108217</v>
      </c>
      <c r="E153" s="56">
        <f>0.179651677*Deflactores!$B$5</f>
        <v>0.62144154211303781</v>
      </c>
      <c r="F153" s="56">
        <f>0.061303668*Deflactores!$C$5</f>
        <v>0.19820052865579307</v>
      </c>
      <c r="G153" s="56">
        <f>4.176308547*Deflactores!$D$5</f>
        <v>12.679336977671694</v>
      </c>
      <c r="H153" s="56">
        <f>0.425352765*Deflactores!$E$5</f>
        <v>1.2240895441801434</v>
      </c>
      <c r="I153" s="56">
        <f>0.639262009*Deflactores!$F$5</f>
        <v>1.7544984692995529</v>
      </c>
      <c r="J153" s="56">
        <f>11.16276901632*Deflactores!$G$5</f>
        <v>29.323877790705065</v>
      </c>
      <c r="K153" s="56">
        <f>9.925781046*Deflactores!$H$5</f>
        <v>24.669589568481889</v>
      </c>
      <c r="L153" s="56">
        <f>7.700338755*Deflactores!$I$5</f>
        <v>17.774390590705462</v>
      </c>
      <c r="M153" s="56">
        <f>13.015468138*Deflactores!$J$5</f>
        <v>29.453493348519018</v>
      </c>
      <c r="N153" s="56">
        <f>4.587482364*Deflactores!$K$5</f>
        <v>10.062197811056834</v>
      </c>
      <c r="O153" s="56">
        <f>3.91799778920999*Deflactores!$L$5</f>
        <v>8.2849927069008693</v>
      </c>
      <c r="P153" s="56">
        <f>12.4952467939399*Deflactores!$M$5</f>
        <v>25.793080428450942</v>
      </c>
      <c r="Q153" s="56">
        <f>11.0759586039699*Deflactores!$N$5</f>
        <v>22.428233491578268</v>
      </c>
      <c r="R153" s="56">
        <f>19.01630828078*Deflactores!$O$5</f>
        <v>37.147427998306938</v>
      </c>
      <c r="S153" s="56">
        <f>26.0817852916*Deflactores!$P$5</f>
        <v>47.718920777595606</v>
      </c>
      <c r="T153" s="56">
        <f>42.2722330687599*Deflactores!$Q$5</f>
        <v>73.135479306238054</v>
      </c>
      <c r="U153" s="56">
        <f>42.1494323556*Deflactores!$R$5</f>
        <v>70.057662554733483</v>
      </c>
      <c r="V153" s="56">
        <f>35.8016582574*Deflactores!$S$5</f>
        <v>57.672865782340125</v>
      </c>
    </row>
    <row r="154" spans="3:22" x14ac:dyDescent="0.2">
      <c r="C154" s="88" t="s">
        <v>146</v>
      </c>
      <c r="D154" s="57">
        <f>3.22159064087999*Deflactores!$A$5</f>
        <v>11.996278867276825</v>
      </c>
      <c r="E154" s="57">
        <f>4.15648078777*Deflactores!$B$5</f>
        <v>14.377877644387381</v>
      </c>
      <c r="F154" s="57">
        <f>1.22104400305*Deflactores!$C$5</f>
        <v>3.9477501887243651</v>
      </c>
      <c r="G154" s="57">
        <f>2.72121537173*Deflactores!$D$5</f>
        <v>8.2616517191407635</v>
      </c>
      <c r="H154" s="57">
        <f>0.87179643373*Deflactores!$E$5</f>
        <v>2.5088749550797687</v>
      </c>
      <c r="I154" s="57">
        <f>3.06013280566*Deflactores!$F$5</f>
        <v>8.3987445645058134</v>
      </c>
      <c r="J154" s="57">
        <f>2.33851196832999*Deflactores!$G$5</f>
        <v>6.1431208574820504</v>
      </c>
      <c r="K154" s="57">
        <f>3.19042705934*Deflactores!$H$5</f>
        <v>7.9295045636549109</v>
      </c>
      <c r="L154" s="57">
        <f>2.74858777098*Deflactores!$I$5</f>
        <v>6.3444575840917032</v>
      </c>
      <c r="M154" s="57">
        <f>2.86337556922*Deflactores!$J$5</f>
        <v>6.4797064837110465</v>
      </c>
      <c r="N154" s="57">
        <f>7.77171021288999*Deflactores!$K$5</f>
        <v>17.046492888121691</v>
      </c>
      <c r="O154" s="57">
        <f>8.6767875067292*Deflactores!$L$5</f>
        <v>18.347922862681102</v>
      </c>
      <c r="P154" s="57">
        <f>54.7842064012179*Deflactores!$M$5</f>
        <v>113.08727752386535</v>
      </c>
      <c r="Q154" s="57">
        <f>41.3121249558821*Deflactores!$N$5</f>
        <v>83.654879696975371</v>
      </c>
      <c r="R154" s="57">
        <f>11.3991915055155*Deflactores!$O$5</f>
        <v>22.267762987311031</v>
      </c>
      <c r="S154" s="57">
        <f>38.1164576621002*Deflactores!$P$5</f>
        <v>69.737412648900644</v>
      </c>
      <c r="T154" s="57">
        <f>23.42957702184*Deflactores!$Q$5</f>
        <v>40.535671315197874</v>
      </c>
      <c r="U154" s="57">
        <f>41.52071395877*Deflactores!$R$5</f>
        <v>69.012653433010001</v>
      </c>
      <c r="V154" s="57">
        <f>14.6717394157499*Deflactores!$S$5</f>
        <v>23.63469457292852</v>
      </c>
    </row>
    <row r="155" spans="3:22" x14ac:dyDescent="0.2">
      <c r="C155" s="90" t="s">
        <v>147</v>
      </c>
      <c r="D155" s="58">
        <f>392.31183163398*Deflactores!$A$5</f>
        <v>1460.8566574205836</v>
      </c>
      <c r="E155" s="58">
        <f>519.93021944916*Deflactores!$B$5</f>
        <v>1798.5150083828946</v>
      </c>
      <c r="F155" s="58">
        <f>442.54031696332*Deflactores!$C$5</f>
        <v>1430.7744974351658</v>
      </c>
      <c r="G155" s="58">
        <f>445.01635123046*Deflactores!$D$5</f>
        <v>1351.0764864052335</v>
      </c>
      <c r="H155" s="58">
        <f>593.46437668379*Deflactores!$E$5</f>
        <v>1707.8848384634655</v>
      </c>
      <c r="I155" s="58">
        <f>637.823324630609*Deflactores!$F$5</f>
        <v>1750.5499012814873</v>
      </c>
      <c r="J155" s="58">
        <f>786.5515655935*Deflactores!$G$5</f>
        <v>2066.2204827342402</v>
      </c>
      <c r="K155" s="58">
        <f>969.511190601139*Deflactores!$H$5</f>
        <v>2409.6283247975562</v>
      </c>
      <c r="L155" s="58">
        <f>1183.45964614314*Deflactores!$I$5</f>
        <v>2731.7335857760254</v>
      </c>
      <c r="M155" s="58">
        <f>1310.63769115986*Deflactores!$J$5</f>
        <v>2965.9216333671657</v>
      </c>
      <c r="N155" s="58">
        <f>1709.18170755219*Deflactores!$K$5</f>
        <v>3748.9243711084978</v>
      </c>
      <c r="O155" s="58">
        <f>1618.06458182161*Deflactores!$L$5</f>
        <v>3421.5571271135677</v>
      </c>
      <c r="P155" s="58">
        <f>1983.5791342032*Deflactores!$M$5</f>
        <v>4094.5662769553064</v>
      </c>
      <c r="Q155" s="58">
        <f>2134.5248011267*Deflactores!$N$5</f>
        <v>4322.300429696008</v>
      </c>
      <c r="R155" s="58">
        <f>852.72352442098*Deflactores!$O$5</f>
        <v>1665.753691945911</v>
      </c>
      <c r="S155" s="58">
        <f>1348.8987262317*Deflactores!$P$5</f>
        <v>2467.9288911553431</v>
      </c>
      <c r="T155" s="58">
        <f>1577.50570542713*Deflactores!$Q$5</f>
        <v>2729.2534010936947</v>
      </c>
      <c r="U155" s="58">
        <f>1640.67546966594*Deflactores!$R$5</f>
        <v>2727.0091669553417</v>
      </c>
      <c r="V155" s="58">
        <f>1408.88149755143*Deflactores!$S$5</f>
        <v>2269.5662007418659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93.00266373272*Deflactores!$A$5</f>
        <v>346.31522558450439</v>
      </c>
      <c r="E157" s="56">
        <f>74.43017299833*Deflactores!$B$5</f>
        <v>257.46490241681613</v>
      </c>
      <c r="F157" s="56">
        <f>34.73744015984*Deflactores!$C$5</f>
        <v>112.30941358727939</v>
      </c>
      <c r="G157" s="56">
        <f>7.00895439508*Deflactores!$D$5</f>
        <v>21.279293336741191</v>
      </c>
      <c r="H157" s="56">
        <f>108.83351439529*Deflactores!$E$5</f>
        <v>313.20348188556761</v>
      </c>
      <c r="I157" s="56">
        <f>50.2270488783999*Deflactores!$F$5</f>
        <v>137.85158375427008</v>
      </c>
      <c r="J157" s="56">
        <f>163.20939076364*Deflactores!$G$5</f>
        <v>428.74059492329911</v>
      </c>
      <c r="K157" s="56">
        <f>289.82214956312*Deflactores!$H$5</f>
        <v>720.32552848409284</v>
      </c>
      <c r="L157" s="56">
        <f>378.34403677475*Deflactores!$I$5</f>
        <v>873.31673336215954</v>
      </c>
      <c r="M157" s="56">
        <f>552.06553022899*Deflactores!$J$5</f>
        <v>1249.3026182494878</v>
      </c>
      <c r="N157" s="56">
        <f>615.30212216*Deflactores!$K$5</f>
        <v>1349.605551690569</v>
      </c>
      <c r="O157" s="56">
        <f>706.63294722487*Deflactores!$L$5</f>
        <v>1494.2450530056024</v>
      </c>
      <c r="P157" s="56">
        <f>777.95317929196*Deflactores!$M$5</f>
        <v>1605.8753583625421</v>
      </c>
      <c r="Q157" s="56">
        <f>976.38770757533*Deflactores!$N$5</f>
        <v>1977.1337422620304</v>
      </c>
      <c r="R157" s="56">
        <f>1438.16697649927*Deflactores!$O$5</f>
        <v>2809.3888372143124</v>
      </c>
      <c r="S157" s="56">
        <f>1021.46345015857*Deflactores!$P$5</f>
        <v>1868.8572469394833</v>
      </c>
      <c r="T157" s="56">
        <f>1037.94988225749*Deflactores!$Q$5</f>
        <v>1795.7641842880244</v>
      </c>
      <c r="U157" s="56">
        <f>1007.43122919489*Deflactores!$R$5</f>
        <v>1674.4775233647692</v>
      </c>
      <c r="V157" s="56">
        <f>930.72085981904*Deflactores!$S$5</f>
        <v>1499.2975700524401</v>
      </c>
    </row>
    <row r="158" spans="3:22" x14ac:dyDescent="0.2">
      <c r="C158" s="88" t="s">
        <v>150</v>
      </c>
      <c r="D158" s="57">
        <f>292.8164617506*Deflactores!$A$5</f>
        <v>1090.364457704653</v>
      </c>
      <c r="E158" s="57">
        <f>494.652147767629*Deflactores!$B$5</f>
        <v>1711.0744450119528</v>
      </c>
      <c r="F158" s="57">
        <f>374.007472036319*Deflactores!$C$5</f>
        <v>1209.2013593512083</v>
      </c>
      <c r="G158" s="57">
        <f>372.09413135794*Deflactores!$D$5</f>
        <v>1129.6835053747186</v>
      </c>
      <c r="H158" s="57">
        <f>311.49194155419*Deflactores!$E$5</f>
        <v>896.41836171643627</v>
      </c>
      <c r="I158" s="57">
        <f>268.93529402455*Deflactores!$F$5</f>
        <v>738.11137696859157</v>
      </c>
      <c r="J158" s="57">
        <f>386.52316595608*Deflactores!$G$5</f>
        <v>1015.3715503027644</v>
      </c>
      <c r="K158" s="57">
        <f>517.84005242931*Deflactores!$H$5</f>
        <v>1287.0424499944406</v>
      </c>
      <c r="L158" s="57">
        <f>487.312881432099*Deflactores!$I$5</f>
        <v>1124.8452529224173</v>
      </c>
      <c r="M158" s="57">
        <f>516.13214902942*Deflactores!$J$5</f>
        <v>1167.9867875064249</v>
      </c>
      <c r="N158" s="57">
        <f>488.634066285829*Deflactores!$K$5</f>
        <v>1071.7714515423188</v>
      </c>
      <c r="O158" s="57">
        <f>365.129365993759*Deflactores!$L$5</f>
        <v>772.10205239641027</v>
      </c>
      <c r="P158" s="57">
        <f>598.243766708464*Deflactores!$M$5</f>
        <v>1234.9135511284624</v>
      </c>
      <c r="Q158" s="57">
        <f>669.34169612156*Deflactores!$N$5</f>
        <v>1355.3817220734866</v>
      </c>
      <c r="R158" s="57">
        <f>842.941294787194*Deflactores!$O$5</f>
        <v>1646.6445848774667</v>
      </c>
      <c r="S158" s="57">
        <f>988.293936852869*Deflactores!$P$5</f>
        <v>1808.1707042059261</v>
      </c>
      <c r="T158" s="57">
        <f>981.23207153897*Deflactores!$Q$5</f>
        <v>1697.6363123738015</v>
      </c>
      <c r="U158" s="57">
        <f>1137.18257690063*Deflactores!$R$5</f>
        <v>1890.140596995295</v>
      </c>
      <c r="V158" s="57">
        <f>995.60084016544*Deflactores!$S$5</f>
        <v>1603.8126841730375</v>
      </c>
    </row>
    <row r="159" spans="3:22" x14ac:dyDescent="0.2">
      <c r="C159" s="87" t="s">
        <v>151</v>
      </c>
      <c r="D159" s="56">
        <f>2.547212579*Deflactores!$A$5</f>
        <v>9.4850885286817874</v>
      </c>
      <c r="E159" s="56">
        <f>0.756774056*Deflactores!$B$5</f>
        <v>2.6177926320820171</v>
      </c>
      <c r="F159" s="56">
        <f>0.634796203*Deflactores!$C$5</f>
        <v>2.0523558724624786</v>
      </c>
      <c r="G159" s="56">
        <f>0*Deflactores!$D$5</f>
        <v>0</v>
      </c>
      <c r="H159" s="56">
        <f>0*Deflactores!$E$5</f>
        <v>0</v>
      </c>
      <c r="I159" s="56">
        <f>0*Deflactores!$F$5</f>
        <v>0</v>
      </c>
      <c r="J159" s="56">
        <f>0*Deflactores!$G$5</f>
        <v>0</v>
      </c>
      <c r="K159" s="56">
        <f>0*Deflactores!$H$5</f>
        <v>0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202</v>
      </c>
      <c r="D160" s="44">
        <f t="shared" ref="D160:V160" si="32">+SUM(D131:D159)</f>
        <v>6699.5988423409199</v>
      </c>
      <c r="E160" s="44">
        <f t="shared" si="32"/>
        <v>7284.9967633255756</v>
      </c>
      <c r="F160" s="44">
        <f t="shared" si="32"/>
        <v>6297.4328470539995</v>
      </c>
      <c r="G160" s="44">
        <f t="shared" si="32"/>
        <v>5868.7454105566867</v>
      </c>
      <c r="H160" s="44">
        <f t="shared" si="32"/>
        <v>6552.7409118959031</v>
      </c>
      <c r="I160" s="44">
        <f t="shared" si="32"/>
        <v>6457.4210815163033</v>
      </c>
      <c r="J160" s="44">
        <f t="shared" si="32"/>
        <v>8132.5118987369406</v>
      </c>
      <c r="K160" s="44">
        <f t="shared" si="32"/>
        <v>10462.352307268995</v>
      </c>
      <c r="L160" s="44">
        <f t="shared" si="32"/>
        <v>12310.517713720734</v>
      </c>
      <c r="M160" s="44">
        <f t="shared" si="32"/>
        <v>14718.617006990056</v>
      </c>
      <c r="N160" s="44">
        <f t="shared" si="32"/>
        <v>13479.513885284499</v>
      </c>
      <c r="O160" s="44">
        <f t="shared" si="32"/>
        <v>12860.487410643173</v>
      </c>
      <c r="P160" s="44">
        <f t="shared" si="32"/>
        <v>14589.119815874352</v>
      </c>
      <c r="Q160" s="44">
        <f t="shared" si="32"/>
        <v>16442.744706538138</v>
      </c>
      <c r="R160" s="44">
        <f t="shared" si="32"/>
        <v>10324.999337132782</v>
      </c>
      <c r="S160" s="44">
        <f t="shared" si="32"/>
        <v>10321.053084784962</v>
      </c>
      <c r="T160" s="44">
        <f t="shared" si="32"/>
        <v>12296.377433815247</v>
      </c>
      <c r="U160" s="44">
        <f t="shared" si="32"/>
        <v>12649.511039304005</v>
      </c>
      <c r="V160" s="44">
        <f t="shared" si="32"/>
        <v>10702.180190771129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55" t="s">
        <v>222</v>
      </c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hidden="1" x14ac:dyDescent="0.2">
      <c r="H166" s="27"/>
      <c r="I166" s="27"/>
      <c r="J166" s="27"/>
      <c r="L166" s="177"/>
      <c r="M166" s="156"/>
      <c r="N166" s="156"/>
      <c r="O166" s="156"/>
      <c r="P166" s="156"/>
      <c r="Q166" s="156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76" t="s">
        <v>120</v>
      </c>
      <c r="D168" s="153">
        <v>2000</v>
      </c>
      <c r="E168" s="153">
        <v>2001</v>
      </c>
      <c r="F168" s="153">
        <v>2002</v>
      </c>
      <c r="G168" s="153">
        <v>2003</v>
      </c>
      <c r="H168" s="153">
        <v>2004</v>
      </c>
      <c r="I168" s="153">
        <v>2005</v>
      </c>
      <c r="J168" s="153">
        <v>2006</v>
      </c>
      <c r="K168" s="153">
        <v>2007</v>
      </c>
      <c r="L168" s="153">
        <v>2008</v>
      </c>
      <c r="M168" s="153">
        <v>2009</v>
      </c>
      <c r="N168" s="153">
        <v>2010</v>
      </c>
      <c r="O168" s="153">
        <v>2011</v>
      </c>
      <c r="P168" s="153">
        <v>2012</v>
      </c>
      <c r="Q168" s="153">
        <v>2013</v>
      </c>
      <c r="R168" s="153">
        <v>2014</v>
      </c>
      <c r="S168" s="153">
        <v>2015</v>
      </c>
      <c r="T168" s="153">
        <v>2016</v>
      </c>
      <c r="U168" s="153">
        <v>2017</v>
      </c>
      <c r="V168" s="153">
        <v>2018</v>
      </c>
    </row>
    <row r="169" spans="2:22" ht="12" customHeight="1" thickBot="1" x14ac:dyDescent="0.25">
      <c r="C169" s="160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2:22" x14ac:dyDescent="0.2">
      <c r="C170" s="87" t="s">
        <v>123</v>
      </c>
      <c r="D170" s="60">
        <f t="shared" ref="D170:V170" si="33">+IFERROR(IF(D131&gt;0,+((D131/D13)*100)," "),"")</f>
        <v>69.236169069765936</v>
      </c>
      <c r="E170" s="60">
        <f t="shared" si="33"/>
        <v>61.279568228840688</v>
      </c>
      <c r="F170" s="60">
        <f t="shared" si="33"/>
        <v>78.45771930719107</v>
      </c>
      <c r="G170" s="60">
        <f t="shared" si="33"/>
        <v>77.815436903910424</v>
      </c>
      <c r="H170" s="60">
        <f t="shared" si="33"/>
        <v>47.45332397143526</v>
      </c>
      <c r="I170" s="60">
        <f t="shared" si="33"/>
        <v>80.902341059365469</v>
      </c>
      <c r="J170" s="60">
        <f t="shared" si="33"/>
        <v>64.628789016778782</v>
      </c>
      <c r="K170" s="60">
        <f t="shared" si="33"/>
        <v>91.930616272370131</v>
      </c>
      <c r="L170" s="60">
        <f t="shared" si="33"/>
        <v>89.063522303052423</v>
      </c>
      <c r="M170" s="60">
        <f t="shared" si="33"/>
        <v>73.170156574792529</v>
      </c>
      <c r="N170" s="60">
        <f t="shared" si="33"/>
        <v>78.712931225691761</v>
      </c>
      <c r="O170" s="60">
        <f t="shared" si="33"/>
        <v>53.980626826960545</v>
      </c>
      <c r="P170" s="60">
        <f t="shared" si="33"/>
        <v>79.711634571954477</v>
      </c>
      <c r="Q170" s="60">
        <f t="shared" si="33"/>
        <v>72.411476830928706</v>
      </c>
      <c r="R170" s="60">
        <f t="shared" si="33"/>
        <v>88.215593080218326</v>
      </c>
      <c r="S170" s="60">
        <f t="shared" si="33"/>
        <v>71.39431421209909</v>
      </c>
      <c r="T170" s="60">
        <f t="shared" si="33"/>
        <v>97.270468628294708</v>
      </c>
      <c r="U170" s="60">
        <f t="shared" si="33"/>
        <v>93.191838578660324</v>
      </c>
      <c r="V170" s="60">
        <f t="shared" si="33"/>
        <v>83.534997786081775</v>
      </c>
    </row>
    <row r="171" spans="2:22" x14ac:dyDescent="0.2">
      <c r="C171" s="88" t="s">
        <v>124</v>
      </c>
      <c r="D171" s="62">
        <f t="shared" ref="D171:V171" si="34">+IFERROR(IF(D132&gt;0,+((D132/D14)*100)," "),"")</f>
        <v>52.805652345356577</v>
      </c>
      <c r="E171" s="62">
        <f t="shared" si="34"/>
        <v>27.388737694805197</v>
      </c>
      <c r="F171" s="62">
        <f t="shared" si="34"/>
        <v>44.7953529847547</v>
      </c>
      <c r="G171" s="62">
        <f t="shared" si="34"/>
        <v>34.200627380197311</v>
      </c>
      <c r="H171" s="62">
        <f t="shared" si="34"/>
        <v>39.993768103980628</v>
      </c>
      <c r="I171" s="62">
        <f t="shared" si="34"/>
        <v>55.892275523243065</v>
      </c>
      <c r="J171" s="62">
        <f t="shared" si="34"/>
        <v>67.003467295810566</v>
      </c>
      <c r="K171" s="62">
        <f t="shared" si="34"/>
        <v>83.229462059282071</v>
      </c>
      <c r="L171" s="62">
        <f t="shared" si="34"/>
        <v>69.936169444429481</v>
      </c>
      <c r="M171" s="62">
        <f t="shared" si="34"/>
        <v>77.414510890154247</v>
      </c>
      <c r="N171" s="62">
        <f t="shared" si="34"/>
        <v>73.970017508926162</v>
      </c>
      <c r="O171" s="62">
        <f t="shared" si="34"/>
        <v>78.309445620328205</v>
      </c>
      <c r="P171" s="62">
        <f t="shared" si="34"/>
        <v>86.392007843431912</v>
      </c>
      <c r="Q171" s="62">
        <f t="shared" si="34"/>
        <v>72.557309222721202</v>
      </c>
      <c r="R171" s="62">
        <f t="shared" si="34"/>
        <v>91.883822568375166</v>
      </c>
      <c r="S171" s="62">
        <f t="shared" si="34"/>
        <v>79.575296283230728</v>
      </c>
      <c r="T171" s="62">
        <f t="shared" si="34"/>
        <v>85.017600186715555</v>
      </c>
      <c r="U171" s="62">
        <f t="shared" si="34"/>
        <v>93.152136511352225</v>
      </c>
      <c r="V171" s="62">
        <f t="shared" si="34"/>
        <v>96.059332737228104</v>
      </c>
    </row>
    <row r="172" spans="2:22" x14ac:dyDescent="0.2">
      <c r="C172" s="87" t="s">
        <v>125</v>
      </c>
      <c r="D172" s="60">
        <f t="shared" ref="D172:V172" si="35">+IFERROR(IF(D133&gt;0,+((D133/D15)*100)," "),"")</f>
        <v>36.586832765719308</v>
      </c>
      <c r="E172" s="60">
        <f t="shared" si="35"/>
        <v>21.188667352248068</v>
      </c>
      <c r="F172" s="60">
        <f t="shared" si="35"/>
        <v>36.112967326150738</v>
      </c>
      <c r="G172" s="60">
        <f t="shared" si="35"/>
        <v>8.7935714558383431</v>
      </c>
      <c r="H172" s="60">
        <f t="shared" si="35"/>
        <v>6.3700665147186903</v>
      </c>
      <c r="I172" s="60">
        <f t="shared" si="35"/>
        <v>26.089964911543824</v>
      </c>
      <c r="J172" s="60">
        <f t="shared" si="35"/>
        <v>0.42183069988243305</v>
      </c>
      <c r="K172" s="60">
        <f t="shared" si="35"/>
        <v>70.638828687174751</v>
      </c>
      <c r="L172" s="60">
        <f t="shared" si="35"/>
        <v>78.972075630936473</v>
      </c>
      <c r="M172" s="60">
        <f t="shared" si="35"/>
        <v>92.060759113771937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99.979860469842706</v>
      </c>
      <c r="E173" s="62">
        <f t="shared" si="36"/>
        <v>7.2714256500000003</v>
      </c>
      <c r="F173" s="62">
        <f t="shared" si="36"/>
        <v>1.6427998054982615</v>
      </c>
      <c r="G173" s="62">
        <f t="shared" si="36"/>
        <v>33.48002549356174</v>
      </c>
      <c r="H173" s="62">
        <f t="shared" si="36"/>
        <v>17.404398079306073</v>
      </c>
      <c r="I173" s="62">
        <f t="shared" si="36"/>
        <v>23.466651095637932</v>
      </c>
      <c r="J173" s="62">
        <f t="shared" si="36"/>
        <v>36.42339263026669</v>
      </c>
      <c r="K173" s="62">
        <f t="shared" si="36"/>
        <v>84.306060175390343</v>
      </c>
      <c r="L173" s="62">
        <f t="shared" si="36"/>
        <v>74.431159932885095</v>
      </c>
      <c r="M173" s="62">
        <f t="shared" si="36"/>
        <v>83.741209969084693</v>
      </c>
      <c r="N173" s="62">
        <f t="shared" si="36"/>
        <v>71.291186376175816</v>
      </c>
      <c r="O173" s="62">
        <f t="shared" si="36"/>
        <v>63.012052537871035</v>
      </c>
      <c r="P173" s="62">
        <f t="shared" si="36"/>
        <v>47.104333077552077</v>
      </c>
      <c r="Q173" s="62">
        <f t="shared" si="36"/>
        <v>81.208375986485621</v>
      </c>
      <c r="R173" s="62">
        <f t="shared" si="36"/>
        <v>91.212563100928804</v>
      </c>
      <c r="S173" s="62">
        <f t="shared" si="36"/>
        <v>93.924258576984684</v>
      </c>
      <c r="T173" s="62">
        <f t="shared" si="36"/>
        <v>95.633115235399856</v>
      </c>
      <c r="U173" s="62">
        <f t="shared" si="36"/>
        <v>91.691869457657674</v>
      </c>
      <c r="V173" s="62">
        <f t="shared" si="36"/>
        <v>96.276884685415382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89.52262195121952</v>
      </c>
      <c r="E175" s="62">
        <f t="shared" si="38"/>
        <v>68.895455214723938</v>
      </c>
      <c r="F175" s="62">
        <f t="shared" si="38"/>
        <v>82.768246031746031</v>
      </c>
      <c r="G175" s="62">
        <f t="shared" si="38"/>
        <v>71.063857177867874</v>
      </c>
      <c r="H175" s="62">
        <f t="shared" si="38"/>
        <v>44.458825972497024</v>
      </c>
      <c r="I175" s="62">
        <f t="shared" si="38"/>
        <v>46.752461860024134</v>
      </c>
      <c r="J175" s="62">
        <f t="shared" si="38"/>
        <v>9.6182982344289218</v>
      </c>
      <c r="K175" s="62">
        <f t="shared" si="38"/>
        <v>51.610632556207761</v>
      </c>
      <c r="L175" s="62">
        <f t="shared" si="38"/>
        <v>74.451052392556065</v>
      </c>
      <c r="M175" s="62">
        <f t="shared" si="38"/>
        <v>24.032766469924482</v>
      </c>
      <c r="N175" s="62">
        <f t="shared" si="38"/>
        <v>81.087350779634747</v>
      </c>
      <c r="O175" s="62">
        <f t="shared" si="38"/>
        <v>79.27266504321544</v>
      </c>
      <c r="P175" s="62">
        <f t="shared" si="38"/>
        <v>95.398509516152103</v>
      </c>
      <c r="Q175" s="62">
        <f t="shared" si="38"/>
        <v>89.41947766881799</v>
      </c>
      <c r="R175" s="62">
        <f t="shared" si="38"/>
        <v>96.049868503787508</v>
      </c>
      <c r="S175" s="62">
        <f t="shared" si="38"/>
        <v>91.798632123017072</v>
      </c>
      <c r="T175" s="62">
        <f t="shared" si="38"/>
        <v>93.593922714971143</v>
      </c>
      <c r="U175" s="62">
        <f t="shared" si="38"/>
        <v>97.885679102034231</v>
      </c>
      <c r="V175" s="62">
        <f t="shared" si="38"/>
        <v>95.639811339478427</v>
      </c>
    </row>
    <row r="176" spans="2:22" x14ac:dyDescent="0.2">
      <c r="C176" s="87" t="s">
        <v>129</v>
      </c>
      <c r="D176" s="60">
        <f t="shared" ref="D176:V176" si="39">+IFERROR(IF(D137&gt;0,+((D137/D19)*100)," "),"")</f>
        <v>95.73838741717941</v>
      </c>
      <c r="E176" s="60">
        <f t="shared" si="39"/>
        <v>80.536621559422258</v>
      </c>
      <c r="F176" s="60">
        <f t="shared" si="39"/>
        <v>74.91152506266107</v>
      </c>
      <c r="G176" s="60">
        <f t="shared" si="39"/>
        <v>58.281590264914009</v>
      </c>
      <c r="H176" s="60">
        <f t="shared" si="39"/>
        <v>54.828619910235524</v>
      </c>
      <c r="I176" s="60">
        <f t="shared" si="39"/>
        <v>69.584536639642963</v>
      </c>
      <c r="J176" s="60">
        <f t="shared" si="39"/>
        <v>42.759675646054419</v>
      </c>
      <c r="K176" s="60">
        <f t="shared" si="39"/>
        <v>93.080868284061879</v>
      </c>
      <c r="L176" s="60">
        <f t="shared" si="39"/>
        <v>89.958406647678871</v>
      </c>
      <c r="M176" s="60">
        <f t="shared" si="39"/>
        <v>90.890225675009219</v>
      </c>
      <c r="N176" s="60">
        <f t="shared" si="39"/>
        <v>85.913703076523547</v>
      </c>
      <c r="O176" s="60">
        <f t="shared" si="39"/>
        <v>44.549398524815373</v>
      </c>
      <c r="P176" s="60">
        <f t="shared" si="39"/>
        <v>54.120664750984126</v>
      </c>
      <c r="Q176" s="60">
        <f t="shared" si="39"/>
        <v>69.397579523300237</v>
      </c>
      <c r="R176" s="60">
        <f t="shared" si="39"/>
        <v>81.256018774374454</v>
      </c>
      <c r="S176" s="60">
        <f t="shared" si="39"/>
        <v>84.607468693259193</v>
      </c>
      <c r="T176" s="60">
        <f t="shared" si="39"/>
        <v>76.432023625803765</v>
      </c>
      <c r="U176" s="60">
        <f t="shared" si="39"/>
        <v>78.956593697925697</v>
      </c>
      <c r="V176" s="60">
        <f t="shared" si="39"/>
        <v>86.239658146535234</v>
      </c>
    </row>
    <row r="177" spans="3:22" x14ac:dyDescent="0.2">
      <c r="C177" s="88" t="s">
        <v>130</v>
      </c>
      <c r="D177" s="62">
        <f t="shared" ref="D177:V177" si="40">+IFERROR(IF(D138&gt;0,+((D138/D20)*100)," "),"")</f>
        <v>87.111387586258999</v>
      </c>
      <c r="E177" s="62">
        <f t="shared" si="40"/>
        <v>83.463488806352515</v>
      </c>
      <c r="F177" s="62">
        <f t="shared" si="40"/>
        <v>48.334589279397946</v>
      </c>
      <c r="G177" s="62">
        <f t="shared" si="40"/>
        <v>73.056751424093861</v>
      </c>
      <c r="H177" s="62">
        <f t="shared" si="40"/>
        <v>57.516724882186843</v>
      </c>
      <c r="I177" s="62">
        <f t="shared" si="40"/>
        <v>79.092977447424602</v>
      </c>
      <c r="J177" s="62">
        <f t="shared" si="40"/>
        <v>86.144566202235154</v>
      </c>
      <c r="K177" s="62">
        <f t="shared" si="40"/>
        <v>87.358425851335554</v>
      </c>
      <c r="L177" s="62">
        <f t="shared" si="40"/>
        <v>86.080477654558265</v>
      </c>
      <c r="M177" s="62">
        <f t="shared" si="40"/>
        <v>52.448900425530418</v>
      </c>
      <c r="N177" s="62" t="str">
        <f t="shared" si="40"/>
        <v xml:space="preserve"> </v>
      </c>
      <c r="O177" s="62">
        <f t="shared" si="40"/>
        <v>82.072032504597999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90.809567283019348</v>
      </c>
      <c r="E178" s="60">
        <f t="shared" si="41"/>
        <v>88.262538356441269</v>
      </c>
      <c r="F178" s="60">
        <f t="shared" si="41"/>
        <v>85.488521200141179</v>
      </c>
      <c r="G178" s="60">
        <f t="shared" si="41"/>
        <v>83.712787181581973</v>
      </c>
      <c r="H178" s="60">
        <f t="shared" si="41"/>
        <v>66.953072627342181</v>
      </c>
      <c r="I178" s="60">
        <f t="shared" si="41"/>
        <v>57.500692635571369</v>
      </c>
      <c r="J178" s="60">
        <f t="shared" si="41"/>
        <v>34.564337421363881</v>
      </c>
      <c r="K178" s="60">
        <f t="shared" si="41"/>
        <v>71.293298920214866</v>
      </c>
      <c r="L178" s="60">
        <f t="shared" si="41"/>
        <v>72.662011286391589</v>
      </c>
      <c r="M178" s="60">
        <f t="shared" si="41"/>
        <v>83.778556541342283</v>
      </c>
      <c r="N178" s="60">
        <f t="shared" si="41"/>
        <v>55.184938219302218</v>
      </c>
      <c r="O178" s="60">
        <f t="shared" si="41"/>
        <v>42.760703283821314</v>
      </c>
      <c r="P178" s="60">
        <f t="shared" si="41"/>
        <v>84.458924137404253</v>
      </c>
      <c r="Q178" s="60">
        <f t="shared" si="41"/>
        <v>66.129019553456118</v>
      </c>
      <c r="R178" s="60">
        <f t="shared" si="41"/>
        <v>73.298136109493512</v>
      </c>
      <c r="S178" s="60">
        <f t="shared" si="41"/>
        <v>81.2207868837272</v>
      </c>
      <c r="T178" s="60">
        <f t="shared" si="41"/>
        <v>72.566193583569557</v>
      </c>
      <c r="U178" s="60">
        <f t="shared" si="41"/>
        <v>70.749004796716093</v>
      </c>
      <c r="V178" s="60">
        <f t="shared" si="41"/>
        <v>90.348553290094898</v>
      </c>
    </row>
    <row r="179" spans="3:22" x14ac:dyDescent="0.2">
      <c r="C179" s="88" t="s">
        <v>132</v>
      </c>
      <c r="D179" s="62">
        <f t="shared" ref="D179:V179" si="42">+IFERROR(IF(D140&gt;0,+((D140/D22)*100)," "),"")</f>
        <v>93.987786634999992</v>
      </c>
      <c r="E179" s="62">
        <f t="shared" si="42"/>
        <v>63.301276465225989</v>
      </c>
      <c r="F179" s="62">
        <f t="shared" si="42"/>
        <v>70.899661121353716</v>
      </c>
      <c r="G179" s="62">
        <f t="shared" si="42"/>
        <v>94.480074464676633</v>
      </c>
      <c r="H179" s="62">
        <f t="shared" si="42"/>
        <v>65.156654766910933</v>
      </c>
      <c r="I179" s="62">
        <f t="shared" si="42"/>
        <v>79.985525973742341</v>
      </c>
      <c r="J179" s="62">
        <f t="shared" si="42"/>
        <v>76.577160693547469</v>
      </c>
      <c r="K179" s="62">
        <f t="shared" si="42"/>
        <v>37.325694832890086</v>
      </c>
      <c r="L179" s="62">
        <f t="shared" si="42"/>
        <v>58.262305696080695</v>
      </c>
      <c r="M179" s="62">
        <f t="shared" si="42"/>
        <v>82.962086303432187</v>
      </c>
      <c r="N179" s="62">
        <f t="shared" si="42"/>
        <v>63.502707328254715</v>
      </c>
      <c r="O179" s="62">
        <f t="shared" si="42"/>
        <v>58.763199166836323</v>
      </c>
      <c r="P179" s="62">
        <f t="shared" si="42"/>
        <v>69.300094758553627</v>
      </c>
      <c r="Q179" s="62">
        <f t="shared" si="42"/>
        <v>84.269363439078276</v>
      </c>
      <c r="R179" s="62">
        <f t="shared" si="42"/>
        <v>75.408692992242337</v>
      </c>
      <c r="S179" s="62">
        <f t="shared" si="42"/>
        <v>78.800139816369466</v>
      </c>
      <c r="T179" s="62">
        <f t="shared" si="42"/>
        <v>91.050404939930701</v>
      </c>
      <c r="U179" s="62">
        <f t="shared" si="42"/>
        <v>89.669762357978627</v>
      </c>
      <c r="V179" s="62">
        <f t="shared" si="42"/>
        <v>92.373783935197338</v>
      </c>
    </row>
    <row r="180" spans="3:22" x14ac:dyDescent="0.2">
      <c r="C180" s="87" t="s">
        <v>133</v>
      </c>
      <c r="D180" s="60" t="str">
        <f t="shared" ref="D180:V180" si="43">+IFERROR(IF(D141&gt;0,+((D141/D23)*100)," "),"")</f>
        <v xml:space="preserve"> </v>
      </c>
      <c r="E180" s="60" t="str">
        <f t="shared" si="43"/>
        <v xml:space="preserve"> </v>
      </c>
      <c r="F180" s="60" t="str">
        <f t="shared" si="43"/>
        <v xml:space="preserve"> </v>
      </c>
      <c r="G180" s="60" t="str">
        <f t="shared" si="43"/>
        <v xml:space="preserve"> </v>
      </c>
      <c r="H180" s="60">
        <f t="shared" si="43"/>
        <v>39.067395198591278</v>
      </c>
      <c r="I180" s="60">
        <f t="shared" si="43"/>
        <v>86.711701035828455</v>
      </c>
      <c r="J180" s="60">
        <f t="shared" si="43"/>
        <v>53.291832500000005</v>
      </c>
      <c r="K180" s="60">
        <f t="shared" si="43"/>
        <v>92.261523999999994</v>
      </c>
      <c r="L180" s="60">
        <f t="shared" si="43"/>
        <v>93.771732319999984</v>
      </c>
      <c r="M180" s="60">
        <f t="shared" si="43"/>
        <v>91.473950518786893</v>
      </c>
      <c r="N180" s="60">
        <f t="shared" si="43"/>
        <v>86.845890863235127</v>
      </c>
      <c r="O180" s="60">
        <f t="shared" si="43"/>
        <v>71.056248004455171</v>
      </c>
      <c r="P180" s="60">
        <f t="shared" si="43"/>
        <v>87.830821921110896</v>
      </c>
      <c r="Q180" s="60">
        <f t="shared" si="43"/>
        <v>53.893031841454544</v>
      </c>
      <c r="R180" s="60">
        <f t="shared" si="43"/>
        <v>90.453494880249991</v>
      </c>
      <c r="S180" s="60">
        <f t="shared" si="43"/>
        <v>45.597660859999998</v>
      </c>
      <c r="T180" s="60">
        <f t="shared" si="43"/>
        <v>29.504785699949348</v>
      </c>
      <c r="U180" s="60">
        <f t="shared" si="43"/>
        <v>71.007813111153851</v>
      </c>
      <c r="V180" s="60">
        <f t="shared" si="43"/>
        <v>74.056664899882961</v>
      </c>
    </row>
    <row r="181" spans="3:22" x14ac:dyDescent="0.2">
      <c r="C181" s="88" t="s">
        <v>134</v>
      </c>
      <c r="D181" s="62">
        <f t="shared" ref="D181:V181" si="44">+IFERROR(IF(D142&gt;0,+((D142/D24)*100)," "),"")</f>
        <v>88.304200382221126</v>
      </c>
      <c r="E181" s="62">
        <f t="shared" si="44"/>
        <v>81.824167528335963</v>
      </c>
      <c r="F181" s="62">
        <f t="shared" si="44"/>
        <v>48.304693117207322</v>
      </c>
      <c r="G181" s="62">
        <f t="shared" si="44"/>
        <v>77.23959414473876</v>
      </c>
      <c r="H181" s="62">
        <f t="shared" si="44"/>
        <v>53.602870886329022</v>
      </c>
      <c r="I181" s="62">
        <f t="shared" si="44"/>
        <v>53.47784777037463</v>
      </c>
      <c r="J181" s="62">
        <f t="shared" si="44"/>
        <v>32.056124206690924</v>
      </c>
      <c r="K181" s="62">
        <f t="shared" si="44"/>
        <v>70.157452256142278</v>
      </c>
      <c r="L181" s="62">
        <f t="shared" si="44"/>
        <v>77.456345069580806</v>
      </c>
      <c r="M181" s="62">
        <f t="shared" si="44"/>
        <v>67.25819141744725</v>
      </c>
      <c r="N181" s="62">
        <f t="shared" si="44"/>
        <v>73.447504714906557</v>
      </c>
      <c r="O181" s="62">
        <f t="shared" si="44"/>
        <v>71.078680978595969</v>
      </c>
      <c r="P181" s="62">
        <f t="shared" si="44"/>
        <v>80.51206822822094</v>
      </c>
      <c r="Q181" s="62">
        <f t="shared" si="44"/>
        <v>93.216257018414339</v>
      </c>
      <c r="R181" s="62">
        <f t="shared" si="44"/>
        <v>92.882176438057868</v>
      </c>
      <c r="S181" s="62">
        <f t="shared" si="44"/>
        <v>73.031500837000337</v>
      </c>
      <c r="T181" s="62">
        <f t="shared" si="44"/>
        <v>90.668908271813322</v>
      </c>
      <c r="U181" s="62">
        <f t="shared" si="44"/>
        <v>92.195436271696693</v>
      </c>
      <c r="V181" s="62">
        <f t="shared" si="44"/>
        <v>80.35529020219127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79.261773462324953</v>
      </c>
      <c r="E183" s="62">
        <f t="shared" si="46"/>
        <v>74.69624768460298</v>
      </c>
      <c r="F183" s="62">
        <f t="shared" si="46"/>
        <v>80.781668331580249</v>
      </c>
      <c r="G183" s="62">
        <f t="shared" si="46"/>
        <v>82.942638901310445</v>
      </c>
      <c r="H183" s="62">
        <f t="shared" si="46"/>
        <v>90.446127668448057</v>
      </c>
      <c r="I183" s="62">
        <f t="shared" si="46"/>
        <v>89.648121159727467</v>
      </c>
      <c r="J183" s="62">
        <f t="shared" si="46"/>
        <v>85.096600774436439</v>
      </c>
      <c r="K183" s="62">
        <f t="shared" si="46"/>
        <v>90.495571801614545</v>
      </c>
      <c r="L183" s="62">
        <f t="shared" si="46"/>
        <v>95.84353421621087</v>
      </c>
      <c r="M183" s="62">
        <f t="shared" si="46"/>
        <v>96.168085789333858</v>
      </c>
      <c r="N183" s="62">
        <f t="shared" si="46"/>
        <v>93.525123237884074</v>
      </c>
      <c r="O183" s="62">
        <f t="shared" si="46"/>
        <v>82.317135458923133</v>
      </c>
      <c r="P183" s="62">
        <f t="shared" si="46"/>
        <v>93.201520310898871</v>
      </c>
      <c r="Q183" s="62">
        <f t="shared" si="46"/>
        <v>93.719843193270989</v>
      </c>
      <c r="R183" s="62">
        <f t="shared" si="46"/>
        <v>94.537437152079008</v>
      </c>
      <c r="S183" s="62">
        <f t="shared" si="46"/>
        <v>91.035841271307035</v>
      </c>
      <c r="T183" s="62">
        <f t="shared" si="46"/>
        <v>97.080931658785403</v>
      </c>
      <c r="U183" s="62">
        <f t="shared" si="46"/>
        <v>96.46462046111472</v>
      </c>
      <c r="V183" s="62">
        <f t="shared" si="46"/>
        <v>95.701726555694933</v>
      </c>
    </row>
    <row r="184" spans="3:22" x14ac:dyDescent="0.2">
      <c r="C184" s="87" t="s">
        <v>137</v>
      </c>
      <c r="D184" s="60">
        <f t="shared" ref="D184:V184" si="47">+IFERROR(IF(D145&gt;0,+((D145/D27)*100)," "),"")</f>
        <v>73.186978733468578</v>
      </c>
      <c r="E184" s="60">
        <f t="shared" si="47"/>
        <v>63.955829525752151</v>
      </c>
      <c r="F184" s="60">
        <f t="shared" si="47"/>
        <v>75.228842510673559</v>
      </c>
      <c r="G184" s="60">
        <f t="shared" si="47"/>
        <v>60.261287276773587</v>
      </c>
      <c r="H184" s="60">
        <f t="shared" si="47"/>
        <v>47.202116582548456</v>
      </c>
      <c r="I184" s="60">
        <f t="shared" si="47"/>
        <v>38.869762256782224</v>
      </c>
      <c r="J184" s="60">
        <f t="shared" si="47"/>
        <v>64.313441216092414</v>
      </c>
      <c r="K184" s="60">
        <f t="shared" si="47"/>
        <v>91.608631201499193</v>
      </c>
      <c r="L184" s="60">
        <f t="shared" si="47"/>
        <v>73.058798291281462</v>
      </c>
      <c r="M184" s="60">
        <f t="shared" si="47"/>
        <v>76.261764663211167</v>
      </c>
      <c r="N184" s="60">
        <f t="shared" si="47"/>
        <v>52.817254326627804</v>
      </c>
      <c r="O184" s="60">
        <f t="shared" si="47"/>
        <v>63.485380050941927</v>
      </c>
      <c r="P184" s="60">
        <f t="shared" si="47"/>
        <v>73.975414556159407</v>
      </c>
      <c r="Q184" s="60">
        <f t="shared" si="47"/>
        <v>71.129211364207151</v>
      </c>
      <c r="R184" s="60">
        <f t="shared" si="47"/>
        <v>85.677860156892265</v>
      </c>
      <c r="S184" s="60">
        <f t="shared" si="47"/>
        <v>85.587321657772307</v>
      </c>
      <c r="T184" s="60">
        <f t="shared" si="47"/>
        <v>85.318418350969935</v>
      </c>
      <c r="U184" s="60">
        <f t="shared" si="47"/>
        <v>81.647925526116964</v>
      </c>
      <c r="V184" s="60">
        <f t="shared" si="47"/>
        <v>74.455259619314347</v>
      </c>
    </row>
    <row r="185" spans="3:22" x14ac:dyDescent="0.2">
      <c r="C185" s="88" t="s">
        <v>138</v>
      </c>
      <c r="D185" s="62">
        <f t="shared" ref="D185:V185" si="48">+IFERROR(IF(D146&gt;0,+((D146/D28)*100)," "),"")</f>
        <v>89.593918020194636</v>
      </c>
      <c r="E185" s="62">
        <f t="shared" si="48"/>
        <v>72.689915505325459</v>
      </c>
      <c r="F185" s="62">
        <f t="shared" si="48"/>
        <v>70.459993592888239</v>
      </c>
      <c r="G185" s="62">
        <f t="shared" si="48"/>
        <v>12.820162318341405</v>
      </c>
      <c r="H185" s="62">
        <f t="shared" si="48"/>
        <v>26.390167577592592</v>
      </c>
      <c r="I185" s="62">
        <f t="shared" si="48"/>
        <v>13.808165513555991</v>
      </c>
      <c r="J185" s="62">
        <f t="shared" si="48"/>
        <v>4.7015998212564831</v>
      </c>
      <c r="K185" s="62">
        <f t="shared" si="48"/>
        <v>69.833284996258499</v>
      </c>
      <c r="L185" s="62">
        <f t="shared" si="48"/>
        <v>64.917633022226156</v>
      </c>
      <c r="M185" s="62">
        <f t="shared" si="48"/>
        <v>36.70099698946548</v>
      </c>
      <c r="N185" s="62">
        <f t="shared" si="48"/>
        <v>26.130920474526182</v>
      </c>
      <c r="O185" s="62">
        <f t="shared" si="48"/>
        <v>39.712280406219072</v>
      </c>
      <c r="P185" s="62">
        <f t="shared" si="48"/>
        <v>100</v>
      </c>
      <c r="Q185" s="62">
        <f t="shared" si="48"/>
        <v>100</v>
      </c>
      <c r="R185" s="62" t="str">
        <f t="shared" si="48"/>
        <v xml:space="preserve"> 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65.728143508354037</v>
      </c>
      <c r="E186" s="60">
        <f t="shared" si="49"/>
        <v>96.966869108563998</v>
      </c>
      <c r="F186" s="60">
        <f t="shared" si="49"/>
        <v>87.698427244800854</v>
      </c>
      <c r="G186" s="60">
        <f t="shared" si="49"/>
        <v>84.474012104152834</v>
      </c>
      <c r="H186" s="60">
        <f t="shared" si="49"/>
        <v>36.70343046451238</v>
      </c>
      <c r="I186" s="60">
        <f t="shared" si="49"/>
        <v>84.036801427848644</v>
      </c>
      <c r="J186" s="60">
        <f t="shared" si="49"/>
        <v>86.195003438501189</v>
      </c>
      <c r="K186" s="60">
        <f t="shared" si="49"/>
        <v>65.543002886846608</v>
      </c>
      <c r="L186" s="60">
        <f t="shared" si="49"/>
        <v>88.281181177253501</v>
      </c>
      <c r="M186" s="60">
        <f t="shared" si="49"/>
        <v>77.033561501877017</v>
      </c>
      <c r="N186" s="60">
        <f t="shared" si="49"/>
        <v>69.113336937885833</v>
      </c>
      <c r="O186" s="60">
        <f t="shared" si="49"/>
        <v>57.448408071258037</v>
      </c>
      <c r="P186" s="60">
        <f t="shared" si="49"/>
        <v>74.973703793938995</v>
      </c>
      <c r="Q186" s="60">
        <f t="shared" si="49"/>
        <v>86.078548954919015</v>
      </c>
      <c r="R186" s="60">
        <f t="shared" si="49"/>
        <v>84.202477154667662</v>
      </c>
      <c r="S186" s="60">
        <f t="shared" si="49"/>
        <v>93.259642288003832</v>
      </c>
      <c r="T186" s="60">
        <f t="shared" si="49"/>
        <v>92.69953067418561</v>
      </c>
      <c r="U186" s="60">
        <f t="shared" si="49"/>
        <v>94.252237311166795</v>
      </c>
      <c r="V186" s="60">
        <f t="shared" si="49"/>
        <v>61.170261510256765</v>
      </c>
    </row>
    <row r="187" spans="3:22" x14ac:dyDescent="0.2">
      <c r="C187" s="88" t="s">
        <v>140</v>
      </c>
      <c r="D187" s="62">
        <f t="shared" ref="D187:V187" si="50">+IFERROR(IF(D148&gt;0,+((D148/D30)*100)," "),"")</f>
        <v>40.428586697768125</v>
      </c>
      <c r="E187" s="62">
        <f t="shared" si="50"/>
        <v>46.123433876521212</v>
      </c>
      <c r="F187" s="62">
        <f t="shared" si="50"/>
        <v>35.39180408195822</v>
      </c>
      <c r="G187" s="62">
        <f t="shared" si="50"/>
        <v>56.736977118554513</v>
      </c>
      <c r="H187" s="62">
        <f t="shared" si="50"/>
        <v>59.088101706979621</v>
      </c>
      <c r="I187" s="62">
        <f t="shared" si="50"/>
        <v>14.614352289741344</v>
      </c>
      <c r="J187" s="62">
        <f t="shared" si="50"/>
        <v>69.798758396553666</v>
      </c>
      <c r="K187" s="62">
        <f t="shared" si="50"/>
        <v>71.536901962557138</v>
      </c>
      <c r="L187" s="62">
        <f t="shared" si="50"/>
        <v>76.903649960808821</v>
      </c>
      <c r="M187" s="62">
        <f t="shared" si="50"/>
        <v>68.517597847479493</v>
      </c>
      <c r="N187" s="62">
        <f t="shared" si="50"/>
        <v>54.202546036806119</v>
      </c>
      <c r="O187" s="62">
        <f t="shared" si="50"/>
        <v>76.793593616380946</v>
      </c>
      <c r="P187" s="62">
        <f t="shared" si="50"/>
        <v>78.391444267707726</v>
      </c>
      <c r="Q187" s="62">
        <f t="shared" si="50"/>
        <v>88.773612341202195</v>
      </c>
      <c r="R187" s="62">
        <f t="shared" si="50"/>
        <v>89.208474131760624</v>
      </c>
      <c r="S187" s="62">
        <f t="shared" si="50"/>
        <v>78.249071405975059</v>
      </c>
      <c r="T187" s="62">
        <f t="shared" si="50"/>
        <v>89.186186362106241</v>
      </c>
      <c r="U187" s="62">
        <f t="shared" si="50"/>
        <v>79.914410513406423</v>
      </c>
      <c r="V187" s="62">
        <f t="shared" si="50"/>
        <v>82.05242096649215</v>
      </c>
    </row>
    <row r="188" spans="3:22" x14ac:dyDescent="0.2">
      <c r="C188" s="87" t="s">
        <v>141</v>
      </c>
      <c r="D188" s="60" t="str">
        <f t="shared" ref="D188:V188" si="51">+IFERROR(IF(D149&gt;0,+((D149/D31)*100)," "),"")</f>
        <v xml:space="preserve"> </v>
      </c>
      <c r="E188" s="60" t="str">
        <f t="shared" si="51"/>
        <v xml:space="preserve"> </v>
      </c>
      <c r="F188" s="60" t="str">
        <f t="shared" si="51"/>
        <v xml:space="preserve"> </v>
      </c>
      <c r="G188" s="60" t="str">
        <f t="shared" si="51"/>
        <v xml:space="preserve"> </v>
      </c>
      <c r="H188" s="60" t="str">
        <f t="shared" si="51"/>
        <v xml:space="preserve"> </v>
      </c>
      <c r="I188" s="60" t="str">
        <f t="shared" si="51"/>
        <v xml:space="preserve"> </v>
      </c>
      <c r="J188" s="60" t="str">
        <f t="shared" si="51"/>
        <v xml:space="preserve"> </v>
      </c>
      <c r="K188" s="60">
        <f t="shared" si="51"/>
        <v>47.045446169808052</v>
      </c>
      <c r="L188" s="60">
        <f t="shared" si="51"/>
        <v>14.101860079779074</v>
      </c>
      <c r="M188" s="60">
        <f t="shared" si="51"/>
        <v>5.1074282857142865</v>
      </c>
      <c r="N188" s="60">
        <f t="shared" si="51"/>
        <v>2.638290707027942</v>
      </c>
      <c r="O188" s="60">
        <f t="shared" si="51"/>
        <v>0.13859227530660809</v>
      </c>
      <c r="P188" s="60">
        <f t="shared" si="51"/>
        <v>3.2092781906703371</v>
      </c>
      <c r="Q188" s="60">
        <f t="shared" si="51"/>
        <v>3.3068222741935487</v>
      </c>
      <c r="R188" s="60">
        <f t="shared" si="51"/>
        <v>25.402333834979657</v>
      </c>
      <c r="S188" s="60" t="str">
        <f t="shared" si="51"/>
        <v xml:space="preserve"> </v>
      </c>
      <c r="T188" s="60">
        <f t="shared" si="51"/>
        <v>2.5810692614833215</v>
      </c>
      <c r="U188" s="60" t="str">
        <f t="shared" si="51"/>
        <v xml:space="preserve"> </v>
      </c>
      <c r="V188" s="60" t="str">
        <f t="shared" si="51"/>
        <v xml:space="preserve"> </v>
      </c>
    </row>
    <row r="189" spans="3:22" x14ac:dyDescent="0.2">
      <c r="C189" s="88" t="s">
        <v>142</v>
      </c>
      <c r="D189" s="62">
        <f t="shared" ref="D189:V189" si="52">+IFERROR(IF(D150&gt;0,+((D150/D32)*100)," "),"")</f>
        <v>71.368197802656539</v>
      </c>
      <c r="E189" s="62">
        <f t="shared" si="52"/>
        <v>73.046173134158423</v>
      </c>
      <c r="F189" s="62">
        <f t="shared" si="52"/>
        <v>49.306141783089039</v>
      </c>
      <c r="G189" s="62">
        <f t="shared" si="52"/>
        <v>46.250121001293174</v>
      </c>
      <c r="H189" s="62">
        <f t="shared" si="52"/>
        <v>37.860063974688799</v>
      </c>
      <c r="I189" s="62">
        <f t="shared" si="52"/>
        <v>45.553970997021281</v>
      </c>
      <c r="J189" s="62">
        <f t="shared" si="52"/>
        <v>66.822208741306895</v>
      </c>
      <c r="K189" s="62">
        <f t="shared" si="52"/>
        <v>89.317509039137619</v>
      </c>
      <c r="L189" s="62">
        <f t="shared" si="52"/>
        <v>90.07319177301504</v>
      </c>
      <c r="M189" s="62">
        <f t="shared" si="52"/>
        <v>95.172384896376627</v>
      </c>
      <c r="N189" s="62">
        <f t="shared" si="52"/>
        <v>86.323423625581327</v>
      </c>
      <c r="O189" s="62">
        <f t="shared" si="52"/>
        <v>78.426669618843604</v>
      </c>
      <c r="P189" s="62">
        <f t="shared" si="52"/>
        <v>89.92656597569372</v>
      </c>
      <c r="Q189" s="62">
        <f t="shared" si="52"/>
        <v>88.03708405424463</v>
      </c>
      <c r="R189" s="62">
        <f t="shared" si="52"/>
        <v>82.621450465208113</v>
      </c>
      <c r="S189" s="62">
        <f t="shared" si="52"/>
        <v>90.207112713925611</v>
      </c>
      <c r="T189" s="62">
        <f t="shared" si="52"/>
        <v>70.191143362149262</v>
      </c>
      <c r="U189" s="62">
        <f t="shared" si="52"/>
        <v>86.33722059344737</v>
      </c>
      <c r="V189" s="62">
        <f t="shared" si="52"/>
        <v>90.139635825421053</v>
      </c>
    </row>
    <row r="190" spans="3:22" x14ac:dyDescent="0.2">
      <c r="C190" s="87" t="s">
        <v>143</v>
      </c>
      <c r="D190" s="60">
        <f t="shared" ref="D190:V190" si="53">+IFERROR(IF(D151&gt;0,+((D151/D33)*100)," "),"")</f>
        <v>100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>
        <f t="shared" si="53"/>
        <v>45.800545401914924</v>
      </c>
      <c r="I190" s="60">
        <f t="shared" si="53"/>
        <v>47.748295316648296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>
        <f t="shared" si="53"/>
        <v>0.24506109648653229</v>
      </c>
      <c r="Q190" s="60">
        <f t="shared" si="53"/>
        <v>51.386794107563084</v>
      </c>
      <c r="R190" s="60">
        <f t="shared" si="53"/>
        <v>86.584385409221269</v>
      </c>
      <c r="S190" s="60">
        <f t="shared" si="53"/>
        <v>6.6876714415231175</v>
      </c>
      <c r="T190" s="60">
        <f t="shared" si="53"/>
        <v>98.348445300374493</v>
      </c>
      <c r="U190" s="60">
        <f t="shared" si="53"/>
        <v>93.554999847112668</v>
      </c>
      <c r="V190" s="60">
        <f t="shared" si="53"/>
        <v>36.25714181415178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33.463324754472964</v>
      </c>
      <c r="E192" s="60">
        <f t="shared" si="55"/>
        <v>3.5930335400000004</v>
      </c>
      <c r="F192" s="60">
        <f t="shared" si="55"/>
        <v>1.5325917</v>
      </c>
      <c r="G192" s="60">
        <f t="shared" si="55"/>
        <v>42.309106472843766</v>
      </c>
      <c r="H192" s="60">
        <f t="shared" si="55"/>
        <v>3.2585170029624604</v>
      </c>
      <c r="I192" s="60">
        <f t="shared" si="55"/>
        <v>41.521304819433617</v>
      </c>
      <c r="J192" s="60">
        <f t="shared" si="55"/>
        <v>50.586975999520909</v>
      </c>
      <c r="K192" s="60">
        <f t="shared" si="55"/>
        <v>51.163819824742276</v>
      </c>
      <c r="L192" s="60">
        <f t="shared" si="55"/>
        <v>69.838007935788141</v>
      </c>
      <c r="M192" s="60">
        <f t="shared" si="55"/>
        <v>82.007864268162038</v>
      </c>
      <c r="N192" s="60">
        <f t="shared" si="55"/>
        <v>20.080903322390025</v>
      </c>
      <c r="O192" s="60">
        <f t="shared" si="55"/>
        <v>15.381496151007667</v>
      </c>
      <c r="P192" s="60">
        <f t="shared" si="55"/>
        <v>39.910407117169989</v>
      </c>
      <c r="Q192" s="60">
        <f t="shared" si="55"/>
        <v>40.424312792200631</v>
      </c>
      <c r="R192" s="60">
        <f t="shared" si="55"/>
        <v>70.308530686475336</v>
      </c>
      <c r="S192" s="60">
        <f t="shared" si="55"/>
        <v>66.378991195790775</v>
      </c>
      <c r="T192" s="60">
        <f t="shared" si="55"/>
        <v>85.488584474323105</v>
      </c>
      <c r="U192" s="60">
        <f t="shared" si="55"/>
        <v>91.320588856265985</v>
      </c>
      <c r="V192" s="60">
        <f t="shared" si="55"/>
        <v>70.681458744628785</v>
      </c>
    </row>
    <row r="193" spans="3:22" x14ac:dyDescent="0.2">
      <c r="C193" s="88" t="s">
        <v>146</v>
      </c>
      <c r="D193" s="62">
        <f t="shared" ref="D193:V193" si="56">+IFERROR(IF(D154&gt;0,+((D154/D36)*100)," "),"")</f>
        <v>64.431812817599791</v>
      </c>
      <c r="E193" s="62">
        <f t="shared" si="56"/>
        <v>54.979904600132279</v>
      </c>
      <c r="F193" s="62">
        <f t="shared" si="56"/>
        <v>16.711296991472754</v>
      </c>
      <c r="G193" s="62">
        <f t="shared" si="56"/>
        <v>99.468425807063042</v>
      </c>
      <c r="H193" s="62">
        <f t="shared" si="56"/>
        <v>63.059898217378077</v>
      </c>
      <c r="I193" s="62">
        <f t="shared" si="56"/>
        <v>74.546475168331298</v>
      </c>
      <c r="J193" s="62">
        <f t="shared" si="56"/>
        <v>48.922332785849306</v>
      </c>
      <c r="K193" s="62">
        <f t="shared" si="56"/>
        <v>71.16402451607064</v>
      </c>
      <c r="L193" s="62">
        <f t="shared" si="56"/>
        <v>85.812918232282229</v>
      </c>
      <c r="M193" s="62">
        <f t="shared" si="56"/>
        <v>61.7532688323844</v>
      </c>
      <c r="N193" s="62">
        <f t="shared" si="56"/>
        <v>95.078421982994726</v>
      </c>
      <c r="O193" s="62">
        <f t="shared" si="56"/>
        <v>93.018733991522296</v>
      </c>
      <c r="P193" s="62">
        <f t="shared" si="56"/>
        <v>97.257033908139974</v>
      </c>
      <c r="Q193" s="62">
        <f t="shared" si="56"/>
        <v>90.487624478988266</v>
      </c>
      <c r="R193" s="62">
        <f t="shared" si="56"/>
        <v>93.884902591547288</v>
      </c>
      <c r="S193" s="62">
        <f t="shared" si="56"/>
        <v>98.395522902834941</v>
      </c>
      <c r="T193" s="62">
        <f t="shared" si="56"/>
        <v>96.576793387719434</v>
      </c>
      <c r="U193" s="62">
        <f t="shared" si="56"/>
        <v>93.384587822073598</v>
      </c>
      <c r="V193" s="62">
        <f t="shared" si="56"/>
        <v>98.092795451961621</v>
      </c>
    </row>
    <row r="194" spans="3:22" x14ac:dyDescent="0.2">
      <c r="C194" s="90" t="s">
        <v>147</v>
      </c>
      <c r="D194" s="61">
        <f t="shared" ref="D194:V194" si="57">+IFERROR(IF(D155&gt;0,+((D155/D37)*100)," "),"")</f>
        <v>71.379631700222205</v>
      </c>
      <c r="E194" s="61">
        <f t="shared" si="57"/>
        <v>80.93923059806059</v>
      </c>
      <c r="F194" s="61">
        <f t="shared" si="57"/>
        <v>76.294006112660213</v>
      </c>
      <c r="G194" s="61">
        <f t="shared" si="57"/>
        <v>69.704056340220887</v>
      </c>
      <c r="H194" s="61">
        <f t="shared" si="57"/>
        <v>72.339285540024974</v>
      </c>
      <c r="I194" s="61">
        <f t="shared" si="57"/>
        <v>74.258249905705924</v>
      </c>
      <c r="J194" s="61">
        <f t="shared" si="57"/>
        <v>76.192392370903633</v>
      </c>
      <c r="K194" s="61">
        <f t="shared" si="57"/>
        <v>87.502141827390048</v>
      </c>
      <c r="L194" s="61">
        <f t="shared" si="57"/>
        <v>92.58347423385311</v>
      </c>
      <c r="M194" s="61">
        <f t="shared" si="57"/>
        <v>88.972093293320896</v>
      </c>
      <c r="N194" s="61">
        <f t="shared" si="57"/>
        <v>88.466455396724641</v>
      </c>
      <c r="O194" s="61">
        <f t="shared" si="57"/>
        <v>78.728304133658199</v>
      </c>
      <c r="P194" s="61">
        <f t="shared" si="57"/>
        <v>86.566734654814255</v>
      </c>
      <c r="Q194" s="61">
        <f t="shared" si="57"/>
        <v>93.292042219354983</v>
      </c>
      <c r="R194" s="61">
        <f t="shared" si="57"/>
        <v>90.693235315935823</v>
      </c>
      <c r="S194" s="61">
        <f t="shared" si="57"/>
        <v>91.948268935816515</v>
      </c>
      <c r="T194" s="61">
        <f t="shared" si="57"/>
        <v>90.634476196175612</v>
      </c>
      <c r="U194" s="61">
        <f t="shared" si="57"/>
        <v>91.025891735368575</v>
      </c>
      <c r="V194" s="61">
        <f t="shared" si="57"/>
        <v>86.857980171469819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94.035645296299847</v>
      </c>
      <c r="E196" s="60">
        <f t="shared" si="59"/>
        <v>63.748293474509275</v>
      </c>
      <c r="F196" s="60">
        <f t="shared" si="59"/>
        <v>27.591119484419472</v>
      </c>
      <c r="G196" s="60">
        <f t="shared" si="59"/>
        <v>11.148998672747437</v>
      </c>
      <c r="H196" s="60">
        <f t="shared" si="59"/>
        <v>95.313411779167978</v>
      </c>
      <c r="I196" s="60">
        <f t="shared" si="59"/>
        <v>37.524462843742853</v>
      </c>
      <c r="J196" s="60">
        <f t="shared" si="59"/>
        <v>88.667457881810947</v>
      </c>
      <c r="K196" s="60">
        <f t="shared" si="59"/>
        <v>98.821837417844378</v>
      </c>
      <c r="L196" s="60">
        <f t="shared" si="59"/>
        <v>94.939771336811091</v>
      </c>
      <c r="M196" s="60">
        <f t="shared" si="59"/>
        <v>84.235572891708372</v>
      </c>
      <c r="N196" s="60">
        <f t="shared" si="59"/>
        <v>92.108211384184798</v>
      </c>
      <c r="O196" s="60">
        <f t="shared" si="59"/>
        <v>95.028144729072622</v>
      </c>
      <c r="P196" s="60">
        <f t="shared" si="59"/>
        <v>98.098202625830808</v>
      </c>
      <c r="Q196" s="60">
        <f t="shared" si="59"/>
        <v>93.873612796596845</v>
      </c>
      <c r="R196" s="60">
        <f t="shared" si="59"/>
        <v>96.750251126038677</v>
      </c>
      <c r="S196" s="60">
        <f t="shared" si="59"/>
        <v>91.412065328201678</v>
      </c>
      <c r="T196" s="60">
        <f t="shared" si="59"/>
        <v>96.818303755881857</v>
      </c>
      <c r="U196" s="60">
        <f t="shared" si="59"/>
        <v>89.559397619937826</v>
      </c>
      <c r="V196" s="60">
        <f t="shared" si="59"/>
        <v>91.485463348344283</v>
      </c>
    </row>
    <row r="197" spans="3:22" x14ac:dyDescent="0.2">
      <c r="C197" s="88" t="s">
        <v>150</v>
      </c>
      <c r="D197" s="62">
        <f t="shared" ref="D197:V197" si="60">+IFERROR(IF(D158&gt;0,+((D158/D40)*100)," "),"")</f>
        <v>78.189255899913093</v>
      </c>
      <c r="E197" s="62">
        <f t="shared" si="60"/>
        <v>79.688865922987446</v>
      </c>
      <c r="F197" s="62">
        <f t="shared" si="60"/>
        <v>45.634700446928221</v>
      </c>
      <c r="G197" s="62">
        <f t="shared" si="60"/>
        <v>63.115185400367302</v>
      </c>
      <c r="H197" s="62">
        <f t="shared" si="60"/>
        <v>55.977674553723013</v>
      </c>
      <c r="I197" s="62">
        <f t="shared" si="60"/>
        <v>64.814311372810621</v>
      </c>
      <c r="J197" s="62">
        <f t="shared" si="60"/>
        <v>61.710932544442564</v>
      </c>
      <c r="K197" s="62">
        <f t="shared" si="60"/>
        <v>83.252075816739747</v>
      </c>
      <c r="L197" s="62">
        <f t="shared" si="60"/>
        <v>80.276735331400545</v>
      </c>
      <c r="M197" s="62">
        <f t="shared" si="60"/>
        <v>65.393158019532677</v>
      </c>
      <c r="N197" s="62">
        <f t="shared" si="60"/>
        <v>51.961307537398696</v>
      </c>
      <c r="O197" s="62">
        <f t="shared" si="60"/>
        <v>56.989820779689893</v>
      </c>
      <c r="P197" s="62">
        <f t="shared" si="60"/>
        <v>67.573164560621592</v>
      </c>
      <c r="Q197" s="62">
        <f t="shared" si="60"/>
        <v>83.134811201648915</v>
      </c>
      <c r="R197" s="62">
        <f t="shared" si="60"/>
        <v>77.819034136547373</v>
      </c>
      <c r="S197" s="62">
        <f t="shared" si="60"/>
        <v>83.371585218998518</v>
      </c>
      <c r="T197" s="62">
        <f t="shared" si="60"/>
        <v>82.14292955692072</v>
      </c>
      <c r="U197" s="62">
        <f t="shared" si="60"/>
        <v>66.379357206781748</v>
      </c>
      <c r="V197" s="62">
        <f t="shared" si="60"/>
        <v>72.662413326698058</v>
      </c>
    </row>
    <row r="198" spans="3:22" x14ac:dyDescent="0.2">
      <c r="C198" s="87" t="s">
        <v>151</v>
      </c>
      <c r="D198" s="60">
        <f t="shared" ref="D198:V198" si="61">+IFERROR(IF(D159&gt;0,+((D159/D41)*100)," "),"")</f>
        <v>25.47212579</v>
      </c>
      <c r="E198" s="60">
        <f t="shared" si="61"/>
        <v>1.8986253470201739</v>
      </c>
      <c r="F198" s="60">
        <f t="shared" si="61"/>
        <v>5.24451588730998</v>
      </c>
      <c r="G198" s="60" t="str">
        <f t="shared" si="61"/>
        <v xml:space="preserve"> </v>
      </c>
      <c r="H198" s="60" t="str">
        <f t="shared" si="61"/>
        <v xml:space="preserve"> </v>
      </c>
      <c r="I198" s="60" t="str">
        <f t="shared" si="61"/>
        <v xml:space="preserve"> </v>
      </c>
      <c r="J198" s="60" t="str">
        <f t="shared" si="61"/>
        <v xml:space="preserve"> </v>
      </c>
      <c r="K198" s="60" t="str">
        <f t="shared" si="61"/>
        <v xml:space="preserve"> 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202</v>
      </c>
      <c r="D199" s="64">
        <f t="shared" ref="D199:V199" si="62">+IFERROR(IF(D160&gt;0,+((D160/D42)*100)," "),"")</f>
        <v>76.941244679513616</v>
      </c>
      <c r="E199" s="64">
        <f t="shared" si="62"/>
        <v>75.655182424557239</v>
      </c>
      <c r="F199" s="64">
        <f t="shared" si="62"/>
        <v>66.222029296551327</v>
      </c>
      <c r="G199" s="64">
        <f t="shared" si="62"/>
        <v>71.807405936949991</v>
      </c>
      <c r="H199" s="64">
        <f t="shared" si="62"/>
        <v>70.898616279741972</v>
      </c>
      <c r="I199" s="64">
        <f t="shared" si="62"/>
        <v>68.500653361625339</v>
      </c>
      <c r="J199" s="64">
        <f t="shared" si="62"/>
        <v>73.141182742465134</v>
      </c>
      <c r="K199" s="64">
        <f t="shared" si="62"/>
        <v>86.501919838919761</v>
      </c>
      <c r="L199" s="64">
        <f t="shared" si="62"/>
        <v>90.838411021220679</v>
      </c>
      <c r="M199" s="64">
        <f t="shared" si="62"/>
        <v>86.823877021311617</v>
      </c>
      <c r="N199" s="64">
        <f t="shared" si="62"/>
        <v>82.141026438429748</v>
      </c>
      <c r="O199" s="64">
        <f t="shared" si="62"/>
        <v>77.740749665578946</v>
      </c>
      <c r="P199" s="64">
        <f t="shared" si="62"/>
        <v>85.854104005854268</v>
      </c>
      <c r="Q199" s="64">
        <f t="shared" si="62"/>
        <v>91.01454567137452</v>
      </c>
      <c r="R199" s="64">
        <f t="shared" si="62"/>
        <v>89.496320060690309</v>
      </c>
      <c r="S199" s="64">
        <f t="shared" si="62"/>
        <v>88.699059258271618</v>
      </c>
      <c r="T199" s="64">
        <f t="shared" si="62"/>
        <v>91.90843113327935</v>
      </c>
      <c r="U199" s="64">
        <f t="shared" si="62"/>
        <v>87.312045840163108</v>
      </c>
      <c r="V199" s="64">
        <f t="shared" si="62"/>
        <v>86.611330576999634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C204" s="9"/>
      <c r="D204" s="155" t="s">
        <v>223</v>
      </c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</row>
    <row r="205" spans="3:22" ht="15.75" customHeight="1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76" t="s">
        <v>120</v>
      </c>
      <c r="D206" s="153">
        <v>2000</v>
      </c>
      <c r="E206" s="153">
        <v>2001</v>
      </c>
      <c r="F206" s="153">
        <v>2002</v>
      </c>
      <c r="G206" s="153">
        <v>2003</v>
      </c>
      <c r="H206" s="153">
        <v>2004</v>
      </c>
      <c r="I206" s="153">
        <v>2005</v>
      </c>
      <c r="J206" s="153">
        <v>2006</v>
      </c>
      <c r="K206" s="153">
        <v>2007</v>
      </c>
      <c r="L206" s="153">
        <v>2008</v>
      </c>
      <c r="M206" s="153">
        <v>2009</v>
      </c>
      <c r="N206" s="153">
        <v>2010</v>
      </c>
      <c r="O206" s="153">
        <v>2011</v>
      </c>
      <c r="P206" s="153">
        <v>2012</v>
      </c>
      <c r="Q206" s="153">
        <v>2013</v>
      </c>
      <c r="R206" s="153">
        <v>2014</v>
      </c>
      <c r="S206" s="153">
        <v>2015</v>
      </c>
      <c r="T206" s="153">
        <v>2016</v>
      </c>
      <c r="U206" s="153">
        <v>2017</v>
      </c>
      <c r="V206" s="153">
        <v>2018</v>
      </c>
    </row>
    <row r="207" spans="3:22" ht="12" customHeight="1" thickBot="1" x14ac:dyDescent="0.25">
      <c r="C207" s="160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</row>
    <row r="208" spans="3:22" x14ac:dyDescent="0.2">
      <c r="C208" s="87" t="s">
        <v>123</v>
      </c>
      <c r="D208" s="56">
        <f>13.933540474*Deflactores!$A$5</f>
        <v>51.884505440745471</v>
      </c>
      <c r="E208" s="56">
        <f>16.109500499*Deflactores!$B$5</f>
        <v>55.725128759968719</v>
      </c>
      <c r="F208" s="56">
        <f>21.462998213*Deflactores!$C$5</f>
        <v>69.391893358729234</v>
      </c>
      <c r="G208" s="56">
        <f>16.652774087*Deflactores!$D$5</f>
        <v>50.558078237247663</v>
      </c>
      <c r="H208" s="56">
        <f>21.080632767*Deflactores!$E$5</f>
        <v>60.66630871621588</v>
      </c>
      <c r="I208" s="56">
        <f>32.245226046*Deflactores!$F$5</f>
        <v>88.4992365312375</v>
      </c>
      <c r="J208" s="56">
        <f>34.905415319*Deflactores!$G$5</f>
        <v>91.694285848942116</v>
      </c>
      <c r="K208" s="56">
        <f>48.891010055*Deflactores!$H$5</f>
        <v>121.5139792078556</v>
      </c>
      <c r="L208" s="56">
        <f>48.443013808*Deflactores!$I$5</f>
        <v>111.81911292606894</v>
      </c>
      <c r="M208" s="56">
        <f>41.738139258*Deflactores!$J$5</f>
        <v>94.4517703075079</v>
      </c>
      <c r="N208" s="56">
        <f>61.454904597*Deflactores!$K$5</f>
        <v>134.7953752078206</v>
      </c>
      <c r="O208" s="56">
        <f>26.8451530008199*Deflactores!$L$5</f>
        <v>56.766723411622216</v>
      </c>
      <c r="P208" s="56">
        <f>31.68363926143*Deflactores!$M$5</f>
        <v>65.402362131209358</v>
      </c>
      <c r="Q208" s="56">
        <f>35.0141638024099*Deflactores!$N$5</f>
        <v>70.901839682873486</v>
      </c>
      <c r="R208" s="56">
        <f>61.92687853225*Deflactores!$O$5</f>
        <v>120.97112791138971</v>
      </c>
      <c r="S208" s="56">
        <f>41.08041242311*Deflactores!$P$5</f>
        <v>75.16022864281021</v>
      </c>
      <c r="T208" s="56">
        <f>32.76838736365*Deflactores!$Q$5</f>
        <v>56.692810905797778</v>
      </c>
      <c r="U208" s="56">
        <f>39.13909682293*Deflactores!$R$5</f>
        <v>65.054105943459234</v>
      </c>
      <c r="V208" s="56">
        <f>49.15798525469*Deflactores!$S$5</f>
        <v>79.188563427449509</v>
      </c>
    </row>
    <row r="209" spans="3:22" x14ac:dyDescent="0.2">
      <c r="C209" s="88" t="s">
        <v>124</v>
      </c>
      <c r="D209" s="57">
        <f>2.496799572*Deflactores!$A$5</f>
        <v>9.2973649604432165</v>
      </c>
      <c r="E209" s="57">
        <f>0.824271081*Deflactores!$B$5</f>
        <v>2.85127475707238</v>
      </c>
      <c r="F209" s="57">
        <f>3.76695074439*Deflactores!$C$5</f>
        <v>12.178906308810612</v>
      </c>
      <c r="G209" s="57">
        <f>3.68292848904*Deflactores!$D$5</f>
        <v>11.181427533832407</v>
      </c>
      <c r="H209" s="57">
        <f>3.39710552096*Deflactores!$E$5</f>
        <v>9.776264998968033</v>
      </c>
      <c r="I209" s="57">
        <f>6.66559877471999*Deflactores!$F$5</f>
        <v>18.294193433308184</v>
      </c>
      <c r="J209" s="57">
        <f>9.69118850493*Deflactores!$G$5</f>
        <v>25.458130231824772</v>
      </c>
      <c r="K209" s="57">
        <f>18.90471837582*Deflactores!$H$5</f>
        <v>46.985888674943169</v>
      </c>
      <c r="L209" s="57">
        <f>15.05275683358*Deflactores!$I$5</f>
        <v>34.745689500118843</v>
      </c>
      <c r="M209" s="57">
        <f>18.53989221336*Deflactores!$J$5</f>
        <v>41.955048116491987</v>
      </c>
      <c r="N209" s="57">
        <f>21.74077173705*Deflactores!$K$5</f>
        <v>47.686275047057762</v>
      </c>
      <c r="O209" s="57">
        <f>31.90379283769*Deflactores!$L$5</f>
        <v>67.463716215121906</v>
      </c>
      <c r="P209" s="57">
        <f>29.81352061471*Deflactores!$M$5</f>
        <v>61.542004551958584</v>
      </c>
      <c r="Q209" s="57">
        <f>32.09410360841*Deflactores!$N$5</f>
        <v>64.988871407872978</v>
      </c>
      <c r="R209" s="57">
        <f>36.70099471013*Deflactores!$O$5</f>
        <v>71.693597849312795</v>
      </c>
      <c r="S209" s="57">
        <f>32.11756787911*Deflactores!$P$5</f>
        <v>58.761916029034239</v>
      </c>
      <c r="T209" s="57">
        <f>47.85857855683*Deflactores!$Q$5</f>
        <v>82.800453810321713</v>
      </c>
      <c r="U209" s="57">
        <f>60.9440120528*Deflactores!$R$5</f>
        <v>101.29661996644685</v>
      </c>
      <c r="V209" s="57">
        <f>78.86412910934*Deflactores!$S$5</f>
        <v>127.04216940074268</v>
      </c>
    </row>
    <row r="210" spans="3:22" x14ac:dyDescent="0.2">
      <c r="C210" s="87" t="s">
        <v>125</v>
      </c>
      <c r="D210" s="56">
        <f>1.8305855906*Deflactores!$A$5</f>
        <v>6.8165753142546155</v>
      </c>
      <c r="E210" s="56">
        <f>1.26807817502999*Deflactores!$B$5</f>
        <v>4.3864686919149865</v>
      </c>
      <c r="F210" s="56">
        <f>7.54485813121*Deflactores!$C$5</f>
        <v>24.393236473856362</v>
      </c>
      <c r="G210" s="56">
        <f>2.30098930175*Deflactores!$D$5</f>
        <v>6.9858389078707477</v>
      </c>
      <c r="H210" s="56">
        <f>1.68856175246*Deflactores!$E$5</f>
        <v>4.859380156818272</v>
      </c>
      <c r="I210" s="56">
        <f>10.44788090142*Deflactores!$F$5</f>
        <v>28.674926385255318</v>
      </c>
      <c r="J210" s="56">
        <f>0.19184414*Deflactores!$G$5</f>
        <v>0.50396224341812046</v>
      </c>
      <c r="K210" s="56">
        <f>17.662025475*Deflactores!$H$5</f>
        <v>43.897293059059621</v>
      </c>
      <c r="L210" s="56">
        <f>16.0035368279*Deflactores!$I$5</f>
        <v>36.940337751651825</v>
      </c>
      <c r="M210" s="56">
        <f>43.0481370228*Deflactores!$J$5</f>
        <v>97.416243812649185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0.7674214138*Deflactores!$A$5</f>
        <v>2.857657075310454</v>
      </c>
      <c r="E211" s="57">
        <f>0*Deflactores!$B$5</f>
        <v>0</v>
      </c>
      <c r="F211" s="57">
        <f>0.095712293*Deflactores!$C$5</f>
        <v>0.30944685188263393</v>
      </c>
      <c r="G211" s="57">
        <f>0.042827433*Deflactores!$D$5</f>
        <v>0.13002474524678767</v>
      </c>
      <c r="H211" s="57">
        <f>0.842720955*Deflactores!$E$5</f>
        <v>2.4252009027777337</v>
      </c>
      <c r="I211" s="57">
        <f>1.145876573*Deflactores!$F$5</f>
        <v>3.1449369194951133</v>
      </c>
      <c r="J211" s="57">
        <f>1.83191089*Deflactores!$G$5</f>
        <v>4.8123123378513712</v>
      </c>
      <c r="K211" s="57">
        <f>2.333441387*Deflactores!$H$5</f>
        <v>5.7995477668326467</v>
      </c>
      <c r="L211" s="57">
        <f>7.2054728729*Deflactores!$I$5</f>
        <v>16.632111041932625</v>
      </c>
      <c r="M211" s="57">
        <f>11.2347632746*Deflactores!$J$5</f>
        <v>25.423828161394475</v>
      </c>
      <c r="N211" s="57">
        <f>11.55367942652*Deflactores!$K$5</f>
        <v>25.341875697984026</v>
      </c>
      <c r="O211" s="57">
        <f>12.40299080294*Deflactores!$L$5</f>
        <v>26.2273471999167</v>
      </c>
      <c r="P211" s="57">
        <f>6.31218564578*Deflactores!$M$5</f>
        <v>13.029811633642886</v>
      </c>
      <c r="Q211" s="57">
        <f>24.5333998409899*Deflactores!$N$5</f>
        <v>49.678844030597098</v>
      </c>
      <c r="R211" s="57">
        <f>40.2018460761799*Deflactores!$O$5</f>
        <v>78.532339740374468</v>
      </c>
      <c r="S211" s="57">
        <f>67.46258370365*Deflactores!$P$5</f>
        <v>123.4287320141075</v>
      </c>
      <c r="T211" s="57">
        <f>73.37510126429*Deflactores!$Q$5</f>
        <v>126.94676411768347</v>
      </c>
      <c r="U211" s="57">
        <f>98.0176382989999*Deflactores!$R$5</f>
        <v>162.91765379969385</v>
      </c>
      <c r="V211" s="57">
        <f>104.18441795772*Deflactores!$S$5</f>
        <v>167.83060466884564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0.100820294*Deflactores!$A$5</f>
        <v>0.37542583683893049</v>
      </c>
      <c r="E213" s="57">
        <f>0.106281592*Deflactores!$B$5</f>
        <v>0.36764363981255066</v>
      </c>
      <c r="F213" s="57">
        <f>0.206233637*Deflactores!$C$5</f>
        <v>0.66677275950285597</v>
      </c>
      <c r="G213" s="57">
        <f>0.277372088*Deflactores!$D$5</f>
        <v>0.84210592497499381</v>
      </c>
      <c r="H213" s="57">
        <f>0.271896842*Deflactores!$E$5</f>
        <v>0.78247071319214423</v>
      </c>
      <c r="I213" s="57">
        <f>0.214393176*Deflactores!$F$5</f>
        <v>0.58841678971144618</v>
      </c>
      <c r="J213" s="57">
        <f>0.63145317*Deflactores!$G$5</f>
        <v>1.6587869515674747</v>
      </c>
      <c r="K213" s="57">
        <f>2.405744283*Deflactores!$H$5</f>
        <v>5.9792497732204906</v>
      </c>
      <c r="L213" s="57">
        <f>1.922429066*Deflactores!$I$5</f>
        <v>4.4374677776119595</v>
      </c>
      <c r="M213" s="57">
        <f>2.768815025*Deflactores!$J$5</f>
        <v>6.2657196850276691</v>
      </c>
      <c r="N213" s="57">
        <f>4.993508304*Deflactores!$K$5</f>
        <v>10.952776346412328</v>
      </c>
      <c r="O213" s="57">
        <f>5.995861297*Deflactores!$L$5</f>
        <v>12.678840007015571</v>
      </c>
      <c r="P213" s="57">
        <f>7.84992046531*Deflactores!$M$5</f>
        <v>16.204052089381864</v>
      </c>
      <c r="Q213" s="57">
        <f>6.97004571252*Deflactores!$N$5</f>
        <v>14.113975889305104</v>
      </c>
      <c r="R213" s="57">
        <f>7.64533568206*Deflactores!$O$5</f>
        <v>14.934789265025609</v>
      </c>
      <c r="S213" s="57">
        <f>10.55384999388*Deflactores!$P$5</f>
        <v>19.309197055570614</v>
      </c>
      <c r="T213" s="57">
        <f>14.97429079184*Deflactores!$Q$5</f>
        <v>25.907122828141915</v>
      </c>
      <c r="U213" s="57">
        <f>8.06283453466*Deflactores!$R$5</f>
        <v>13.40144598623079</v>
      </c>
      <c r="V213" s="57">
        <f>9.77602658539*Deflactores!$S$5</f>
        <v>15.748194262126102</v>
      </c>
    </row>
    <row r="214" spans="3:22" x14ac:dyDescent="0.2">
      <c r="C214" s="87" t="s">
        <v>129</v>
      </c>
      <c r="D214" s="56">
        <f>6.69351061201*Deflactores!$A$5</f>
        <v>24.924712309449482</v>
      </c>
      <c r="E214" s="56">
        <f>7.65028250553*Deflactores!$B$5</f>
        <v>26.463451036067742</v>
      </c>
      <c r="F214" s="56">
        <f>6.73216796457*Deflactores!$C$5</f>
        <v>21.765732673245076</v>
      </c>
      <c r="G214" s="56">
        <f>5.39950152370999*Deflactores!$D$5</f>
        <v>16.392969666896292</v>
      </c>
      <c r="H214" s="56">
        <f>9.27642954864*Deflactores!$E$5</f>
        <v>26.69591302131056</v>
      </c>
      <c r="I214" s="56">
        <f>11.23297629211*Deflactores!$F$5</f>
        <v>30.829674582124525</v>
      </c>
      <c r="J214" s="56">
        <f>9.01972235172*Deflactores!$G$5</f>
        <v>23.694231741357214</v>
      </c>
      <c r="K214" s="56">
        <f>11.52362663522*Deflactores!$H$5</f>
        <v>28.640883585263737</v>
      </c>
      <c r="L214" s="56">
        <f>17.72936434543*Deflactores!$I$5</f>
        <v>40.92399786905218</v>
      </c>
      <c r="M214" s="56">
        <f>17.50038625851*Deflactores!$J$5</f>
        <v>39.602686956501849</v>
      </c>
      <c r="N214" s="56">
        <f>28.6990022155299*Deflactores!$K$5</f>
        <v>62.948479004249783</v>
      </c>
      <c r="O214" s="56">
        <f>27.25843296139*Deflactores!$L$5</f>
        <v>57.640644644722755</v>
      </c>
      <c r="P214" s="56">
        <f>16.19553058009*Deflactores!$M$5</f>
        <v>33.431322303797579</v>
      </c>
      <c r="Q214" s="56">
        <f>26.6241265157299*Deflactores!$N$5</f>
        <v>53.91245555848171</v>
      </c>
      <c r="R214" s="56">
        <f>34.93961366945*Deflactores!$O$5</f>
        <v>68.252826148510337</v>
      </c>
      <c r="S214" s="56">
        <f>74.51887146344*Deflactores!$P$5</f>
        <v>136.33883125880072</v>
      </c>
      <c r="T214" s="56">
        <f>45.35334413879*Deflactores!$Q$5</f>
        <v>78.466130623755916</v>
      </c>
      <c r="U214" s="56">
        <f>40.72897522464*Deflactores!$R$5</f>
        <v>67.6966839888848</v>
      </c>
      <c r="V214" s="56">
        <f>45.4977751269799*Deflactores!$S$5</f>
        <v>73.292333540194093</v>
      </c>
    </row>
    <row r="215" spans="3:22" x14ac:dyDescent="0.2">
      <c r="C215" s="88" t="s">
        <v>130</v>
      </c>
      <c r="D215" s="57">
        <f>5.661929658*Deflactores!$A$5</f>
        <v>21.083400926978147</v>
      </c>
      <c r="E215" s="57">
        <f>9.44608736455*Deflactores!$B$5</f>
        <v>32.675403852536441</v>
      </c>
      <c r="F215" s="57">
        <f>6.36649493347*Deflactores!$C$5</f>
        <v>20.583477345893598</v>
      </c>
      <c r="G215" s="57">
        <f>7.92490364376*Deflactores!$D$5</f>
        <v>24.060129342452846</v>
      </c>
      <c r="H215" s="57">
        <f>5.62583174253*Deflactores!$E$5</f>
        <v>16.190142347723377</v>
      </c>
      <c r="I215" s="57">
        <f>9.25184686091*Deflactores!$F$5</f>
        <v>25.392328852848298</v>
      </c>
      <c r="J215" s="57">
        <f>16.32623171813*Deflactores!$G$5</f>
        <v>42.887962922572825</v>
      </c>
      <c r="K215" s="57">
        <f>12.98827128086*Deflactores!$H$5</f>
        <v>32.281119260840555</v>
      </c>
      <c r="L215" s="57">
        <f>12.3461396241299*Deflactores!$I$5</f>
        <v>28.498110920663049</v>
      </c>
      <c r="M215" s="57">
        <f>7.44441884136999*Deflactores!$J$5</f>
        <v>16.846427535534925</v>
      </c>
      <c r="N215" s="57">
        <f>0*Deflactores!$K$5</f>
        <v>0</v>
      </c>
      <c r="O215" s="57">
        <f>2.134232765*Deflactores!$L$5</f>
        <v>4.5130456534584287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75.54901732551*Deflactores!$A$5</f>
        <v>281.3228560094106</v>
      </c>
      <c r="E216" s="56">
        <f>89.96945292258*Deflactores!$B$5</f>
        <v>311.21755444161244</v>
      </c>
      <c r="F216" s="56">
        <f>120.526255677399*Deflactores!$C$5</f>
        <v>389.67272875358395</v>
      </c>
      <c r="G216" s="56">
        <f>114.15615333022*Deflactores!$D$5</f>
        <v>346.57983715986637</v>
      </c>
      <c r="H216" s="56">
        <f>98.34610681758*Deflactores!$E$5</f>
        <v>283.02258965266907</v>
      </c>
      <c r="I216" s="56">
        <f>87.0102291122*Deflactores!$F$5</f>
        <v>238.80554708634074</v>
      </c>
      <c r="J216" s="56">
        <f>59.3814501237399*Deflactores!$G$5</f>
        <v>155.99125843396203</v>
      </c>
      <c r="K216" s="56">
        <f>12.30836769716*Deflactores!$H$5</f>
        <v>30.591283239041719</v>
      </c>
      <c r="L216" s="56">
        <f>12.52454580141*Deflactores!$I$5</f>
        <v>28.909918917643971</v>
      </c>
      <c r="M216" s="56">
        <f>23.87166475623*Deflactores!$J$5</f>
        <v>54.020640030834691</v>
      </c>
      <c r="N216" s="56">
        <f>2.017004784*Deflactores!$K$5</f>
        <v>4.4241044459862602</v>
      </c>
      <c r="O216" s="56">
        <f>1.543710782*Deflactores!$L$5</f>
        <v>3.2643286848339668</v>
      </c>
      <c r="P216" s="56">
        <f>4.70851033049*Deflactores!$M$5</f>
        <v>9.7194547378945391</v>
      </c>
      <c r="Q216" s="56">
        <f>10.42858463756*Deflactores!$N$5</f>
        <v>21.117335266497665</v>
      </c>
      <c r="R216" s="56">
        <f>4.72411174780999*Deflactores!$O$5</f>
        <v>9.2283212081230239</v>
      </c>
      <c r="S216" s="56">
        <f>7.15581791932*Deflactores!$P$5</f>
        <v>13.092198427877735</v>
      </c>
      <c r="T216" s="56">
        <f>8.21078144432*Deflactores!$Q$5</f>
        <v>14.205529086488948</v>
      </c>
      <c r="U216" s="56">
        <f>9.1789061692*Deflactores!$R$5</f>
        <v>15.256497539472521</v>
      </c>
      <c r="V216" s="56">
        <f>8.90184697107999*Deflactores!$S$5</f>
        <v>14.339978944185118</v>
      </c>
    </row>
    <row r="217" spans="3:22" x14ac:dyDescent="0.2">
      <c r="C217" s="88" t="s">
        <v>132</v>
      </c>
      <c r="D217" s="57">
        <f>10.70356688839*Deflactores!$A$5</f>
        <v>39.857010893414802</v>
      </c>
      <c r="E217" s="57">
        <f>10.2167416666*Deflactores!$B$5</f>
        <v>35.341210294755179</v>
      </c>
      <c r="F217" s="57">
        <f>13.06264461278*Deflactores!$C$5</f>
        <v>42.232759512787119</v>
      </c>
      <c r="G217" s="57">
        <f>4.75706574913*Deflactores!$D$5</f>
        <v>14.442524775016222</v>
      </c>
      <c r="H217" s="57">
        <f>6.79017654488999*Deflactores!$E$5</f>
        <v>19.540919433630787</v>
      </c>
      <c r="I217" s="57">
        <f>6.70244064272999*Deflactores!$F$5</f>
        <v>18.395308469270976</v>
      </c>
      <c r="J217" s="57">
        <f>13.7152646739599*Deflactores!$G$5</f>
        <v>36.029120066748604</v>
      </c>
      <c r="K217" s="57">
        <f>15.75686260163*Deflactores!$H$5</f>
        <v>39.162191012245088</v>
      </c>
      <c r="L217" s="57">
        <f>23.51163111697*Deflactores!$I$5</f>
        <v>54.270977965255682</v>
      </c>
      <c r="M217" s="57">
        <f>54.08461249657*Deflactores!$J$5</f>
        <v>122.39135446646608</v>
      </c>
      <c r="N217" s="57">
        <f>52.95043387175*Deflactores!$K$5</f>
        <v>116.14164317664337</v>
      </c>
      <c r="O217" s="57">
        <f>40.16571293493*Deflactores!$L$5</f>
        <v>84.934361027413416</v>
      </c>
      <c r="P217" s="57">
        <f>65.93195200938*Deflactores!$M$5</f>
        <v>136.09880373130991</v>
      </c>
      <c r="Q217" s="57">
        <f>87.6744319086499*Deflactores!$N$5</f>
        <v>177.53611225884134</v>
      </c>
      <c r="R217" s="57">
        <f>82.23562754206*Deflactores!$O$5</f>
        <v>160.64327565102764</v>
      </c>
      <c r="S217" s="57">
        <f>113.03178557422*Deflactores!$P$5</f>
        <v>206.80159585944875</v>
      </c>
      <c r="T217" s="57">
        <f>168.4251811087*Deflactores!$Q$5</f>
        <v>291.39355679621968</v>
      </c>
      <c r="U217" s="57">
        <f>225.22450127953*Deflactores!$R$5</f>
        <v>374.35147350455554</v>
      </c>
      <c r="V217" s="57">
        <f>301.81684506638*Deflactores!$S$5</f>
        <v>486.19654070813391</v>
      </c>
    </row>
    <row r="218" spans="3:22" x14ac:dyDescent="0.2">
      <c r="C218" s="87" t="s">
        <v>133</v>
      </c>
      <c r="D218" s="56">
        <f>0*Deflactores!$A$5</f>
        <v>0</v>
      </c>
      <c r="E218" s="56">
        <f>0*Deflactores!$B$5</f>
        <v>0</v>
      </c>
      <c r="F218" s="56">
        <f>0*Deflactores!$C$5</f>
        <v>0</v>
      </c>
      <c r="G218" s="56">
        <f>0*Deflactores!$D$5</f>
        <v>0</v>
      </c>
      <c r="H218" s="56">
        <f>0.14895637272*Deflactores!$E$5</f>
        <v>0.42866992620948957</v>
      </c>
      <c r="I218" s="56">
        <f>2.24767035719999*Deflactores!$F$5</f>
        <v>6.168885598827071</v>
      </c>
      <c r="J218" s="56">
        <f>3.1089359385*Deflactores!$G$5</f>
        <v>8.1669751820914627</v>
      </c>
      <c r="K218" s="56">
        <f>0.587277222*Deflactores!$H$5</f>
        <v>1.4596219645099575</v>
      </c>
      <c r="L218" s="56">
        <f>3.37250889571*Deflactores!$I$5</f>
        <v>7.7846302987716145</v>
      </c>
      <c r="M218" s="56">
        <f>3.88330912743*Deflactores!$J$5</f>
        <v>8.7877760786081307</v>
      </c>
      <c r="N218" s="56">
        <f>2.41974305503*Deflactores!$K$5</f>
        <v>5.3074717981941086</v>
      </c>
      <c r="O218" s="56">
        <f>1.65973875042*Deflactores!$L$5</f>
        <v>3.5096812664009045</v>
      </c>
      <c r="P218" s="56">
        <f>3.69728270299*Deflactores!$M$5</f>
        <v>7.632046945338649</v>
      </c>
      <c r="Q218" s="56">
        <f>2.41940331932999*Deflactores!$N$5</f>
        <v>4.8991644422346718</v>
      </c>
      <c r="R218" s="56">
        <f>2.82295476784*Deflactores!$O$5</f>
        <v>5.5145040473919149</v>
      </c>
      <c r="S218" s="56">
        <f>1.383866316*Deflactores!$P$5</f>
        <v>2.5319051729658666</v>
      </c>
      <c r="T218" s="56">
        <f>2.30170068329*Deflactores!$Q$5</f>
        <v>3.982188081194928</v>
      </c>
      <c r="U218" s="56">
        <f>2.84055346233*Deflactores!$R$5</f>
        <v>4.7213574373595417</v>
      </c>
      <c r="V218" s="56">
        <f>11.36108845678*Deflactores!$S$5</f>
        <v>18.301569301576553</v>
      </c>
    </row>
    <row r="219" spans="3:22" x14ac:dyDescent="0.2">
      <c r="C219" s="88" t="s">
        <v>134</v>
      </c>
      <c r="D219" s="57">
        <f>7.1581196416*Deflactores!$A$5</f>
        <v>26.654782980903278</v>
      </c>
      <c r="E219" s="57">
        <f>10.81719799985*Deflactores!$B$5</f>
        <v>37.418276960302748</v>
      </c>
      <c r="F219" s="57">
        <f>10.5403189428*Deflactores!$C$5</f>
        <v>34.077843215900721</v>
      </c>
      <c r="G219" s="57">
        <f>11.18642920691*Deflactores!$D$5</f>
        <v>33.962171112373184</v>
      </c>
      <c r="H219" s="57">
        <f>11.4525417479*Deflactores!$E$5</f>
        <v>32.958376579239996</v>
      </c>
      <c r="I219" s="57">
        <f>13.96557671108*Deflactores!$F$5</f>
        <v>38.329484026126984</v>
      </c>
      <c r="J219" s="57">
        <f>3.16434473503*Deflactores!$G$5</f>
        <v>8.3125305344955382</v>
      </c>
      <c r="K219" s="57">
        <f>10.48246377168*Deflactores!$H$5</f>
        <v>26.053171807375193</v>
      </c>
      <c r="L219" s="57">
        <f>9.91908473504*Deflactores!$I$5</f>
        <v>22.895835104452516</v>
      </c>
      <c r="M219" s="57">
        <f>7.89239455697999*Deflactores!$J$5</f>
        <v>17.860178990351567</v>
      </c>
      <c r="N219" s="57">
        <f>9.12584131686*Deflactores!$K$5</f>
        <v>20.016648182270963</v>
      </c>
      <c r="O219" s="57">
        <f>8.09663555946*Deflactores!$L$5</f>
        <v>17.121134357272364</v>
      </c>
      <c r="P219" s="57">
        <f>12.15848647639*Deflactores!$M$5</f>
        <v>25.097929216240555</v>
      </c>
      <c r="Q219" s="57">
        <f>16.16073850609*Deflactores!$N$5</f>
        <v>32.724645294449971</v>
      </c>
      <c r="R219" s="57">
        <f>19.35411601562*Deflactores!$O$5</f>
        <v>37.807318883643674</v>
      </c>
      <c r="S219" s="57">
        <f>18.847020966*Deflactores!$P$5</f>
        <v>34.482282953992744</v>
      </c>
      <c r="T219" s="57">
        <f>14.3472865691*Deflactores!$Q$5</f>
        <v>24.822338537647124</v>
      </c>
      <c r="U219" s="57">
        <f>21.95418969295*Deflactores!$R$5</f>
        <v>36.490626972036821</v>
      </c>
      <c r="V219" s="57">
        <f>23.8812818552399*Deflactores!$S$5</f>
        <v>38.470339927978195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</row>
    <row r="221" spans="3:22" x14ac:dyDescent="0.2">
      <c r="C221" s="88" t="s">
        <v>136</v>
      </c>
      <c r="D221" s="57">
        <f>684.96798935616*Deflactores!$A$5</f>
        <v>2550.6241889347793</v>
      </c>
      <c r="E221" s="57">
        <f>757.156783707149*Deflactores!$B$5</f>
        <v>2619.1165434448931</v>
      </c>
      <c r="F221" s="57">
        <f>800.373504134309*Deflactores!$C$5</f>
        <v>2587.6828714639005</v>
      </c>
      <c r="G221" s="57">
        <f>840.96911827959*Deflactores!$D$5</f>
        <v>2553.1951766691068</v>
      </c>
      <c r="H221" s="57">
        <f>914.921582096199*Deflactores!$E$5</f>
        <v>2632.981455730544</v>
      </c>
      <c r="I221" s="57">
        <f>1043.35594223889*Deflactores!$F$5</f>
        <v>2863.5620102879057</v>
      </c>
      <c r="J221" s="57">
        <f>1280.75888574218*Deflactores!$G$5</f>
        <v>3364.4713950414189</v>
      </c>
      <c r="K221" s="57">
        <f>1549.86830216296*Deflactores!$H$5</f>
        <v>3852.0510096249095</v>
      </c>
      <c r="L221" s="57">
        <f>2293.82649645777*Deflactores!$I$5</f>
        <v>5294.7499314723163</v>
      </c>
      <c r="M221" s="57">
        <f>3036.0660854076*Deflactores!$J$5</f>
        <v>6870.4983412112542</v>
      </c>
      <c r="N221" s="57">
        <f>2431.68907051002*Deflactores!$K$5</f>
        <v>5333.6742249886383</v>
      </c>
      <c r="O221" s="57">
        <f>2132.4704292763*Deflactores!$L$5</f>
        <v>4509.3190207742091</v>
      </c>
      <c r="P221" s="57">
        <f>2637.0154833025*Deflactores!$M$5</f>
        <v>5443.4100881368286</v>
      </c>
      <c r="Q221" s="57">
        <f>3011.10108328809*Deflactores!$N$5</f>
        <v>6097.3212863511235</v>
      </c>
      <c r="R221" s="57">
        <f>1090.61077922424*Deflactores!$O$5</f>
        <v>2130.454807380107</v>
      </c>
      <c r="S221" s="57">
        <f>1117.43329574725*Deflactores!$P$5</f>
        <v>2044.4425225440341</v>
      </c>
      <c r="T221" s="57">
        <f>2175.83307246726*Deflactores!$Q$5</f>
        <v>3764.4236675743209</v>
      </c>
      <c r="U221" s="57">
        <f>2341.23807812149*Deflactores!$R$5</f>
        <v>3891.4324125064063</v>
      </c>
      <c r="V221" s="57">
        <f>2226.32701296753*Deflactores!$S$5</f>
        <v>3586.3885991910806</v>
      </c>
    </row>
    <row r="222" spans="3:22" x14ac:dyDescent="0.2">
      <c r="C222" s="87" t="s">
        <v>137</v>
      </c>
      <c r="D222" s="56">
        <f>8.26089719545*Deflactores!$A$5</f>
        <v>30.761210065923727</v>
      </c>
      <c r="E222" s="56">
        <f>10.55381846221*Deflactores!$B$5</f>
        <v>36.507208448362164</v>
      </c>
      <c r="F222" s="56">
        <f>14.85984983264*Deflactores!$C$5</f>
        <v>48.043293144791051</v>
      </c>
      <c r="G222" s="56">
        <f>13.84029989234*Deflactores!$D$5</f>
        <v>42.019363328188525</v>
      </c>
      <c r="H222" s="56">
        <f>13.26655910316*Deflactores!$E$5</f>
        <v>38.178795629613589</v>
      </c>
      <c r="I222" s="56">
        <f>28.29949587856*Deflactores!$F$5</f>
        <v>77.669909210704432</v>
      </c>
      <c r="J222" s="56">
        <f>32.07953440739*Deflactores!$G$5</f>
        <v>84.270878056306813</v>
      </c>
      <c r="K222" s="56">
        <f>26.63552395127*Deflactores!$H$5</f>
        <v>66.200074409670776</v>
      </c>
      <c r="L222" s="56">
        <f>36.09504518112*Deflactores!$I$5</f>
        <v>83.316780189936964</v>
      </c>
      <c r="M222" s="56">
        <f>37.0789633306199*Deflactores!$J$5</f>
        <v>83.908238124749488</v>
      </c>
      <c r="N222" s="56">
        <f>33.69079129154*Deflactores!$K$5</f>
        <v>73.897484390744651</v>
      </c>
      <c r="O222" s="56">
        <f>32.78499991651*Deflactores!$L$5</f>
        <v>69.327115485381654</v>
      </c>
      <c r="P222" s="56">
        <f>35.62906369959*Deflactores!$M$5</f>
        <v>73.54663103089942</v>
      </c>
      <c r="Q222" s="56">
        <f>36.80561662362*Deflactores!$N$5</f>
        <v>74.529437401489517</v>
      </c>
      <c r="R222" s="56">
        <f>43.81025243064*Deflactores!$O$5</f>
        <v>85.581185039985996</v>
      </c>
      <c r="S222" s="56">
        <f>34.12822628932*Deflactores!$P$5</f>
        <v>62.440592481390361</v>
      </c>
      <c r="T222" s="56">
        <f>29.48092338345*Deflactores!$Q$5</f>
        <v>51.005147008249786</v>
      </c>
      <c r="U222" s="56">
        <f>50.14222142683*Deflactores!$R$5</f>
        <v>83.342684163073045</v>
      </c>
      <c r="V222" s="56">
        <f>37.91985832052*Deflactores!$S$5</f>
        <v>61.085072755049659</v>
      </c>
    </row>
    <row r="223" spans="3:22" x14ac:dyDescent="0.2">
      <c r="C223" s="88" t="s">
        <v>138</v>
      </c>
      <c r="D223" s="57">
        <f>3.50696737171999*Deflactores!$A$5</f>
        <v>13.058939902464495</v>
      </c>
      <c r="E223" s="57">
        <f>3.0711489301*Deflactores!$B$5</f>
        <v>10.623555310202587</v>
      </c>
      <c r="F223" s="57">
        <f>4.33166902610999*Deflactores!$C$5</f>
        <v>14.004693665914484</v>
      </c>
      <c r="G223" s="57">
        <f>2.28970573560999*Deflactores!$D$5</f>
        <v>6.9515818275355779</v>
      </c>
      <c r="H223" s="57">
        <f>7.12534524595*Deflactores!$E$5</f>
        <v>20.505475294702944</v>
      </c>
      <c r="I223" s="57">
        <f>3.15838128155*Deflactores!$F$5</f>
        <v>8.6683942513840755</v>
      </c>
      <c r="J223" s="57">
        <f>2.11638848706*Deflactores!$G$5</f>
        <v>5.5596167278450075</v>
      </c>
      <c r="K223" s="57">
        <f>30.60837305353*Deflactores!$H$5</f>
        <v>76.0742149247653</v>
      </c>
      <c r="L223" s="57">
        <f>30.55587163942*Deflactores!$I$5</f>
        <v>70.530922682571102</v>
      </c>
      <c r="M223" s="57">
        <f>18.3873777286499*Deflactores!$J$5</f>
        <v>41.609913826020581</v>
      </c>
      <c r="N223" s="57">
        <f>14.7694965916899*Deflactores!$K$5</f>
        <v>32.39545887773869</v>
      </c>
      <c r="O223" s="57">
        <f>17.8279177389099*Deflactores!$L$5</f>
        <v>37.698890196637819</v>
      </c>
      <c r="P223" s="57">
        <f>10*Deflactores!$M$5</f>
        <v>20.642313716412861</v>
      </c>
      <c r="Q223" s="57">
        <f>5*Deflactores!$N$5</f>
        <v>10.124736961159925</v>
      </c>
      <c r="R223" s="57">
        <f>0*Deflactores!$O$5</f>
        <v>0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47.3600981606799*Deflactores!$A$5</f>
        <v>176.35541198428902</v>
      </c>
      <c r="E224" s="56">
        <f>54.13848501321*Deflactores!$B$5</f>
        <v>187.27297276647636</v>
      </c>
      <c r="F224" s="56">
        <f>69.83713236948*Deflactores!$C$5</f>
        <v>225.79002214737847</v>
      </c>
      <c r="G224" s="56">
        <f>57.56628212041*Deflactores!$D$5</f>
        <v>174.7721178505146</v>
      </c>
      <c r="H224" s="56">
        <f>57.49285681035*Deflactores!$E$5</f>
        <v>165.45420807737216</v>
      </c>
      <c r="I224" s="56">
        <f>76.66124031996*Deflactores!$F$5</f>
        <v>210.40203688371381</v>
      </c>
      <c r="J224" s="56">
        <f>99.39031207139*Deflactores!$G$5</f>
        <v>261.09197104235142</v>
      </c>
      <c r="K224" s="56">
        <f>136.561867807329*Deflactores!$H$5</f>
        <v>339.41160034652717</v>
      </c>
      <c r="L224" s="56">
        <f>129.40188586437*Deflactores!$I$5</f>
        <v>298.693308918875</v>
      </c>
      <c r="M224" s="56">
        <f>261.46737224117*Deflactores!$J$5</f>
        <v>591.69039695743345</v>
      </c>
      <c r="N224" s="56">
        <f>203.35294442637*Deflactores!$K$5</f>
        <v>446.03496862162143</v>
      </c>
      <c r="O224" s="56">
        <f>137.600254295809*Deflactores!$L$5</f>
        <v>290.96930744781031</v>
      </c>
      <c r="P224" s="56">
        <f>196.922279610959*Deflactores!$M$5</f>
        <v>406.49314734805881</v>
      </c>
      <c r="Q224" s="56">
        <f>286.233279759459*Deflactores!$N$5</f>
        <v>579.60733341892478</v>
      </c>
      <c r="R224" s="56">
        <f>308.401025487469*Deflactores!$O$5</f>
        <v>602.44631711607224</v>
      </c>
      <c r="S224" s="56">
        <f>331.579425835949*Deflactores!$P$5</f>
        <v>606.65373079511471</v>
      </c>
      <c r="T224" s="56">
        <f>236.71013779608*Deflactores!$Q$5</f>
        <v>409.53382699708482</v>
      </c>
      <c r="U224" s="56">
        <f>148.63947482975*Deflactores!$R$5</f>
        <v>247.05751864181161</v>
      </c>
      <c r="V224" s="56">
        <f>23.02282134015*Deflactores!$S$5</f>
        <v>37.087446495772852</v>
      </c>
    </row>
    <row r="225" spans="2:22" x14ac:dyDescent="0.2">
      <c r="C225" s="88" t="s">
        <v>140</v>
      </c>
      <c r="D225" s="57">
        <f>5.67153362241*Deflactores!$A$5</f>
        <v>21.119163333856228</v>
      </c>
      <c r="E225" s="57">
        <f>8.84401313942*Deflactores!$B$5</f>
        <v>30.592740661302777</v>
      </c>
      <c r="F225" s="57">
        <f>5.37227631156999*Deflactores!$C$5</f>
        <v>17.369074963641101</v>
      </c>
      <c r="G225" s="57">
        <f>4.31417557206*Deflactores!$D$5</f>
        <v>13.097903386061358</v>
      </c>
      <c r="H225" s="57">
        <f>19.0296756498999*Deflactores!$E$5</f>
        <v>54.76401920693273</v>
      </c>
      <c r="I225" s="57">
        <f>23.8529535288899*Deflactores!$F$5</f>
        <v>65.466068475079197</v>
      </c>
      <c r="J225" s="57">
        <f>161.63225288644*Deflactores!$G$5</f>
        <v>424.59755493900042</v>
      </c>
      <c r="K225" s="57">
        <f>72.2888458856*Deflactores!$H$5</f>
        <v>179.66708615798663</v>
      </c>
      <c r="L225" s="57">
        <f>156.32558230068*Deflactores!$I$5</f>
        <v>360.84022372750263</v>
      </c>
      <c r="M225" s="57">
        <f>228.28082263936*Deflactores!$J$5</f>
        <v>516.59053826672584</v>
      </c>
      <c r="N225" s="57">
        <f>176.550374365119*Deflactores!$K$5</f>
        <v>387.24612968952761</v>
      </c>
      <c r="O225" s="57">
        <f>401.46732812112*Deflactores!$L$5</f>
        <v>848.94225685949914</v>
      </c>
      <c r="P225" s="57">
        <f>410.15400081034*Deflactores!$M$5</f>
        <v>846.65275567688934</v>
      </c>
      <c r="Q225" s="57">
        <f>387.44045952691*Deflactores!$N$5</f>
        <v>784.54654816417838</v>
      </c>
      <c r="R225" s="57">
        <f>214.8418640503*Deflactores!$O$5</f>
        <v>419.68307191868973</v>
      </c>
      <c r="S225" s="57">
        <f>113.6131881978*Deflactores!$P$5</f>
        <v>207.86532310911045</v>
      </c>
      <c r="T225" s="57">
        <f>206.533673030609*Deflactores!$Q$5</f>
        <v>357.32531909070872</v>
      </c>
      <c r="U225" s="57">
        <f>106.157018482549*Deflactores!$R$5</f>
        <v>176.44632829032452</v>
      </c>
      <c r="V225" s="57">
        <f>178.43150002572*Deflactores!$S$5</f>
        <v>287.43517627980117</v>
      </c>
    </row>
    <row r="226" spans="2:22" x14ac:dyDescent="0.2">
      <c r="C226" s="87" t="s">
        <v>141</v>
      </c>
      <c r="D226" s="56">
        <f>0*Deflactores!$A$5</f>
        <v>0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0*Deflactores!$E$5</f>
        <v>0</v>
      </c>
      <c r="I226" s="56">
        <f>0*Deflactores!$F$5</f>
        <v>0</v>
      </c>
      <c r="J226" s="56">
        <f>0*Deflactores!$G$5</f>
        <v>0</v>
      </c>
      <c r="K226" s="56">
        <f>0.338771688*Deflactores!$H$5</f>
        <v>0.84198497444689668</v>
      </c>
      <c r="L226" s="56">
        <f>0.45957962*Deflactores!$I$5</f>
        <v>1.0608296509168307</v>
      </c>
      <c r="M226" s="56">
        <f>0.089379995*Deflactores!$J$5</f>
        <v>0.2022634192109582</v>
      </c>
      <c r="N226" s="56">
        <f>0.124632853*Deflactores!$K$5</f>
        <v>0.27337007995577067</v>
      </c>
      <c r="O226" s="56">
        <f>0.003571296*Deflactores!$L$5</f>
        <v>7.5518575828880923E-3</v>
      </c>
      <c r="P226" s="56">
        <f>0.00348*Deflactores!$M$5</f>
        <v>7.1835251733116754E-3</v>
      </c>
      <c r="Q226" s="56">
        <f>0.068193039*Deflactores!$N$5</f>
        <v>0.13808731649142406</v>
      </c>
      <c r="R226" s="56">
        <f>0.5471869766*Deflactores!$O$5</f>
        <v>1.0689029918285498</v>
      </c>
      <c r="S226" s="56">
        <f>0*Deflactores!$P$5</f>
        <v>0</v>
      </c>
      <c r="T226" s="56">
        <f>0.007643926*Deflactores!$Q$5</f>
        <v>1.3224808608574768E-2</v>
      </c>
      <c r="U226" s="56">
        <f>0*Deflactores!$R$5</f>
        <v>0</v>
      </c>
      <c r="V226" s="56">
        <f>0*Deflactores!$S$5</f>
        <v>0</v>
      </c>
    </row>
    <row r="227" spans="2:22" x14ac:dyDescent="0.2">
      <c r="C227" s="88" t="s">
        <v>142</v>
      </c>
      <c r="D227" s="57">
        <f>1.60296245794*Deflactores!$A$5</f>
        <v>5.9689721019213984</v>
      </c>
      <c r="E227" s="57">
        <f>2.95106539462*Deflactores!$B$5</f>
        <v>10.208168720345833</v>
      </c>
      <c r="F227" s="57">
        <f>2.3126983444*Deflactores!$C$5</f>
        <v>7.477171422784318</v>
      </c>
      <c r="G227" s="57">
        <f>2.504603623*Deflactores!$D$5</f>
        <v>7.6040151186450151</v>
      </c>
      <c r="H227" s="57">
        <f>2.73019062537*Deflactores!$E$5</f>
        <v>7.8570026414053382</v>
      </c>
      <c r="I227" s="57">
        <f>3.19003575329*Deflactores!$F$5</f>
        <v>8.7552721221669714</v>
      </c>
      <c r="J227" s="57">
        <f>4.67899193975*Deflactores!$G$5</f>
        <v>12.291411532777147</v>
      </c>
      <c r="K227" s="57">
        <f>6.74787071366*Deflactores!$H$5</f>
        <v>16.771194145397349</v>
      </c>
      <c r="L227" s="57">
        <f>11.8242193821399*Deflactores!$I$5</f>
        <v>27.293382851745019</v>
      </c>
      <c r="M227" s="57">
        <f>15.12347129267*Deflactores!$J$5</f>
        <v>34.223821717535387</v>
      </c>
      <c r="N227" s="57">
        <f>21.73790201691*Deflactores!$K$5</f>
        <v>47.679980594148759</v>
      </c>
      <c r="O227" s="57">
        <f>19.09766657252*Deflactores!$L$5</f>
        <v>40.383899324265933</v>
      </c>
      <c r="P227" s="57">
        <f>23.4969596462399*Deflactores!$M$5</f>
        <v>48.503161239957741</v>
      </c>
      <c r="Q227" s="57">
        <f>33.00444791459*Deflactores!$N$5</f>
        <v>66.832270736705411</v>
      </c>
      <c r="R227" s="57">
        <f>13.67871302587*Deflactores!$O$5</f>
        <v>26.720696769076934</v>
      </c>
      <c r="S227" s="57">
        <f>12.45699628018*Deflactores!$P$5</f>
        <v>22.791170618683012</v>
      </c>
      <c r="T227" s="57">
        <f>9.24958735517*Deflactores!$Q$5</f>
        <v>16.002774291694678</v>
      </c>
      <c r="U227" s="57">
        <f>10.41424557238*Deflactores!$R$5</f>
        <v>17.309787138212563</v>
      </c>
      <c r="V227" s="57">
        <f>14.98511598553*Deflactores!$S$5</f>
        <v>24.13951266594303</v>
      </c>
    </row>
    <row r="228" spans="2:22" x14ac:dyDescent="0.2">
      <c r="C228" s="87" t="s">
        <v>143</v>
      </c>
      <c r="D228" s="56">
        <f>0.0585*Deflactores!$A$5</f>
        <v>0.21783720899561584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30.27942238435*Deflactores!$E$5</f>
        <v>87.138787835308932</v>
      </c>
      <c r="I228" s="56">
        <f>4.23428594992999*Deflactores!$F$5</f>
        <v>11.621288475049626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0.036607469*Deflactores!$M$5</f>
        <v>7.5566285946185849E-2</v>
      </c>
      <c r="Q228" s="56">
        <f>3.487363484*Deflactores!$N$5</f>
        <v>7.0617275926908496</v>
      </c>
      <c r="R228" s="56">
        <f>1.10531429688*Deflactores!$O$5</f>
        <v>2.1591774098629046</v>
      </c>
      <c r="S228" s="56">
        <f>0.221295048*Deflactores!$P$5</f>
        <v>0.40487875910040555</v>
      </c>
      <c r="T228" s="56">
        <f>10.87767284817*Deflactores!$Q$5</f>
        <v>18.81953612891316</v>
      </c>
      <c r="U228" s="56">
        <f>18.85724748255*Deflactores!$R$5</f>
        <v>31.343119159896915</v>
      </c>
      <c r="V228" s="56">
        <f>55.41805192524*Deflactores!$S$5</f>
        <v>89.272900367471195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1.46794301177*Deflactores!$A$5</f>
        <v>5.4661984384375257</v>
      </c>
      <c r="E230" s="56">
        <f>0.092233314*Deflactores!$B$5</f>
        <v>0.31904858247638862</v>
      </c>
      <c r="F230" s="56">
        <f>0.061303668*Deflactores!$C$5</f>
        <v>0.19820052865579307</v>
      </c>
      <c r="G230" s="56">
        <f>0.251174703*Deflactores!$D$5</f>
        <v>0.76257026121580895</v>
      </c>
      <c r="H230" s="56">
        <f>0.425352765*Deflactores!$E$5</f>
        <v>1.2240895441801434</v>
      </c>
      <c r="I230" s="56">
        <f>0.252822783*Deflactores!$F$5</f>
        <v>0.6938894843312251</v>
      </c>
      <c r="J230" s="56">
        <f>8.84255507921999*Deflactores!$G$5</f>
        <v>23.228824686915129</v>
      </c>
      <c r="K230" s="56">
        <f>4.113941478*Deflactores!$H$5</f>
        <v>10.224812264210987</v>
      </c>
      <c r="L230" s="56">
        <f>3.097758893*Deflactores!$I$5</f>
        <v>7.1504356200253127</v>
      </c>
      <c r="M230" s="56">
        <f>12.5888534385*Deflactores!$J$5</f>
        <v>28.488081034426525</v>
      </c>
      <c r="N230" s="56">
        <f>4.430565197*Deflactores!$K$5</f>
        <v>9.7180152182919617</v>
      </c>
      <c r="O230" s="56">
        <f>3.06042588508999*Deflactores!$L$5</f>
        <v>6.4715723443768995</v>
      </c>
      <c r="P230" s="56">
        <f>12.27372283284*Deflactores!$M$5</f>
        <v>25.335803718378287</v>
      </c>
      <c r="Q230" s="56">
        <f>7.27388653272*Deflactores!$N$5</f>
        <v>14.72923756582272</v>
      </c>
      <c r="R230" s="56">
        <f>8.19726850036*Deflactores!$O$5</f>
        <v>16.012963026460913</v>
      </c>
      <c r="S230" s="56">
        <f>10.05242402716*Deflactores!$P$5</f>
        <v>18.3917941357081</v>
      </c>
      <c r="T230" s="56">
        <f>28.35785864576*Deflactores!$Q$5</f>
        <v>49.062125030932179</v>
      </c>
      <c r="U230" s="56">
        <f>31.6940302780999*Deflactores!$R$5</f>
        <v>52.679468124026194</v>
      </c>
      <c r="V230" s="56">
        <f>34.3594663844*Deflactores!$S$5</f>
        <v>55.34963992151792</v>
      </c>
    </row>
    <row r="231" spans="2:22" x14ac:dyDescent="0.2">
      <c r="C231" s="88" t="s">
        <v>146</v>
      </c>
      <c r="D231" s="57">
        <f>3.21439404988999*Deflactores!$A$5</f>
        <v>11.969480828036748</v>
      </c>
      <c r="E231" s="57">
        <f>4.15648078777*Deflactores!$B$5</f>
        <v>14.377877644387381</v>
      </c>
      <c r="F231" s="57">
        <f>1.17608422715*Deflactores!$C$5</f>
        <v>3.8023910015444726</v>
      </c>
      <c r="G231" s="57">
        <f>2.72121537173*Deflactores!$D$5</f>
        <v>8.2616517191407635</v>
      </c>
      <c r="H231" s="57">
        <f>0.67099643373*Deflactores!$E$5</f>
        <v>1.9310082978091314</v>
      </c>
      <c r="I231" s="57">
        <f>3.06013280566*Deflactores!$F$5</f>
        <v>8.3987445645058134</v>
      </c>
      <c r="J231" s="57">
        <f>2.33851196832999*Deflactores!$G$5</f>
        <v>6.1431208574820504</v>
      </c>
      <c r="K231" s="57">
        <f>2.91466783401*Deflactores!$H$5</f>
        <v>7.2441311026560795</v>
      </c>
      <c r="L231" s="57">
        <f>2.74858777098*Deflactores!$I$5</f>
        <v>6.3444575840917032</v>
      </c>
      <c r="M231" s="57">
        <f>2.75407973566*Deflactores!$J$5</f>
        <v>6.2323743038271981</v>
      </c>
      <c r="N231" s="57">
        <f>7.74967262171999*Deflactores!$K$5</f>
        <v>16.99815556842497</v>
      </c>
      <c r="O231" s="57">
        <f>7.8765886987292*Deflactores!$L$5</f>
        <v>16.655823569871767</v>
      </c>
      <c r="P231" s="57">
        <f>48.9439996081079*Deflactores!$M$5</f>
        <v>101.03173944465514</v>
      </c>
      <c r="Q231" s="57">
        <f>32.8087374269321*Deflactores!$N$5</f>
        <v>66.43596729509008</v>
      </c>
      <c r="R231" s="57">
        <f>11.1083391844955*Deflactores!$O$5</f>
        <v>21.699597205935316</v>
      </c>
      <c r="S231" s="57">
        <f>37.7780895632402*Deflactores!$P$5</f>
        <v>69.118338443563701</v>
      </c>
      <c r="T231" s="57">
        <f>22.47163638256*Deflactores!$Q$5</f>
        <v>38.878331668940994</v>
      </c>
      <c r="U231" s="57">
        <f>34.11930650605*Deflactores!$R$5</f>
        <v>56.710582520687119</v>
      </c>
      <c r="V231" s="57">
        <f>14.61402279532*Deflactores!$S$5</f>
        <v>23.541718910194355</v>
      </c>
    </row>
    <row r="232" spans="2:22" x14ac:dyDescent="0.2">
      <c r="C232" s="90" t="s">
        <v>147</v>
      </c>
      <c r="D232" s="58">
        <f>389.01565107225*Deflactores!$A$5</f>
        <v>1448.5826270972871</v>
      </c>
      <c r="E232" s="58">
        <f>516.82708292438*Deflactores!$B$5</f>
        <v>1787.7808032836203</v>
      </c>
      <c r="F232" s="58">
        <f>441.2065195666*Deflactores!$C$5</f>
        <v>1426.4622049121535</v>
      </c>
      <c r="G232" s="58">
        <f>442.8111062494*Deflactores!$D$5</f>
        <v>1344.3813287274645</v>
      </c>
      <c r="H232" s="58">
        <f>586.89576189826*Deflactores!$E$5</f>
        <v>1688.9815343349164</v>
      </c>
      <c r="I232" s="58">
        <f>635.59821078292*Deflactores!$F$5</f>
        <v>1744.4429235715268</v>
      </c>
      <c r="J232" s="58">
        <f>784.762477154169*Deflactores!$G$5</f>
        <v>2061.5206622259952</v>
      </c>
      <c r="K232" s="58">
        <f>912.823705220419*Deflactores!$H$5</f>
        <v>2268.7369439046392</v>
      </c>
      <c r="L232" s="58">
        <f>1151.58226246904*Deflactores!$I$5</f>
        <v>2658.1522685819832</v>
      </c>
      <c r="M232" s="58">
        <f>1231.90868565971*Deflactores!$J$5</f>
        <v>2787.7609851870147</v>
      </c>
      <c r="N232" s="58">
        <f>1690.682884713*Deflactores!$K$5</f>
        <v>3708.3489966633906</v>
      </c>
      <c r="O232" s="58">
        <f>1273.58156801314*Deflactores!$L$5</f>
        <v>2693.1138224965216</v>
      </c>
      <c r="P232" s="58">
        <f>1783.5523054315*Deflactores!$M$5</f>
        <v>3681.6646218348433</v>
      </c>
      <c r="Q232" s="58">
        <f>2015.78114104687*Deflactores!$N$5</f>
        <v>4081.8507648732748</v>
      </c>
      <c r="R232" s="58">
        <f>754.195213661079*Deflactores!$O$5</f>
        <v>1473.2834566243944</v>
      </c>
      <c r="S232" s="58">
        <f>1193.38135086093*Deflactores!$P$5</f>
        <v>2183.3961710256576</v>
      </c>
      <c r="T232" s="58">
        <f>1442.33644652387*Deflactores!$Q$5</f>
        <v>2495.3961425647003</v>
      </c>
      <c r="U232" s="58">
        <f>1539.24052417336*Deflactores!$R$5</f>
        <v>2558.4115184123289</v>
      </c>
      <c r="V232" s="58">
        <f>1401.9625819327*Deflactores!$S$5</f>
        <v>2258.4205245005746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69.87222704172*Deflactores!$A$5</f>
        <v>260.18411837737227</v>
      </c>
      <c r="E234" s="56">
        <f>58.54006019833*Deflactores!$B$5</f>
        <v>202.49866793639927</v>
      </c>
      <c r="F234" s="56">
        <f>29.69360689084*Deflactores!$C$5</f>
        <v>96.002225893918592</v>
      </c>
      <c r="G234" s="56">
        <f>6.94730161008*Deflactores!$D$5</f>
        <v>21.092114533300418</v>
      </c>
      <c r="H234" s="56">
        <f>108.26122760529*Deflactores!$E$5</f>
        <v>311.556542371935</v>
      </c>
      <c r="I234" s="56">
        <f>49.7080382573999*Deflactores!$F$5</f>
        <v>136.42712347464362</v>
      </c>
      <c r="J234" s="56">
        <f>131.95867132664*Deflactores!$G$5</f>
        <v>346.64696060170462</v>
      </c>
      <c r="K234" s="56">
        <f>252.18815831973*Deflactores!$H$5</f>
        <v>626.78980434353116</v>
      </c>
      <c r="L234" s="56">
        <f>248.50942484275*Deflactores!$I$5</f>
        <v>573.62457979637315</v>
      </c>
      <c r="M234" s="56">
        <f>411.17929065688*Deflactores!$J$5</f>
        <v>930.48258994640742</v>
      </c>
      <c r="N234" s="56">
        <f>342.86072571792*Deflactores!$K$5</f>
        <v>752.03176166721755</v>
      </c>
      <c r="O234" s="56">
        <f>508.55468881551*Deflactores!$L$5</f>
        <v>1075.3890416937447</v>
      </c>
      <c r="P234" s="56">
        <f>418.65744808668*Deflactores!$M$5</f>
        <v>864.20583831180795</v>
      </c>
      <c r="Q234" s="56">
        <f>769.93401162443*Deflactores!$N$5</f>
        <v>1559.0758690296004</v>
      </c>
      <c r="R234" s="56">
        <f>1150.70926296054*Deflactores!$O$5</f>
        <v>2247.8542554979122</v>
      </c>
      <c r="S234" s="56">
        <f>853.75035730102*Deflactores!$P$5</f>
        <v>1562.0113887300581</v>
      </c>
      <c r="T234" s="56">
        <f>903.6577187074*Deflactores!$Q$5</f>
        <v>1563.4243944233187</v>
      </c>
      <c r="U234" s="56">
        <f>858.68326402154*Deflactores!$R$5</f>
        <v>1427.2396801145917</v>
      </c>
      <c r="V234" s="56">
        <f>894.681440688969*Deflactores!$S$5</f>
        <v>1441.241695449691</v>
      </c>
    </row>
    <row r="235" spans="2:22" x14ac:dyDescent="0.2">
      <c r="C235" s="88" t="s">
        <v>150</v>
      </c>
      <c r="D235" s="57">
        <f>217.397521384039*Deflactores!$A$5</f>
        <v>809.52597095493616</v>
      </c>
      <c r="E235" s="57">
        <f>445.980906333199*Deflactores!$B$5</f>
        <v>1542.7134709389518</v>
      </c>
      <c r="F235" s="57">
        <f>325.1985339208*Deflactores!$C$5</f>
        <v>1051.3974684384534</v>
      </c>
      <c r="G235" s="57">
        <f>335.98785881397*Deflactores!$D$5</f>
        <v>1020.0643066396277</v>
      </c>
      <c r="H235" s="57">
        <f>299.74163115299*Deflactores!$E$5</f>
        <v>862.60305995630756</v>
      </c>
      <c r="I235" s="57">
        <f>246.216417254639*Deflactores!$F$5</f>
        <v>675.75786001336451</v>
      </c>
      <c r="J235" s="57">
        <f>337.2496069323*Deflactores!$G$5</f>
        <v>885.93307307422185</v>
      </c>
      <c r="K235" s="57">
        <f>417.99797150056*Deflactores!$H$5</f>
        <v>1038.8944053458022</v>
      </c>
      <c r="L235" s="57">
        <f>438.873132413319*Deflactores!$I$5</f>
        <v>1013.0336759815355</v>
      </c>
      <c r="M235" s="57">
        <f>474.6107827218*Deflactores!$J$5</f>
        <v>1074.0255658741132</v>
      </c>
      <c r="N235" s="57">
        <f>471.300959289059*Deflactores!$K$5</f>
        <v>1033.7529617819266</v>
      </c>
      <c r="O235" s="57">
        <f>215.72446328519*Deflactores!$L$5</f>
        <v>456.17065173951585</v>
      </c>
      <c r="P235" s="57">
        <f>387.312741511714*Deflactores!$M$5</f>
        <v>799.50311166487234</v>
      </c>
      <c r="Q235" s="57">
        <f>423.74872755251*Deflactores!$N$5</f>
        <v>858.06888081907709</v>
      </c>
      <c r="R235" s="57">
        <f>660.142615790434*Deflactores!$O$5</f>
        <v>1289.5563074918396</v>
      </c>
      <c r="S235" s="57">
        <f>703.828523528609*Deflactores!$P$5</f>
        <v>1287.7162042312571</v>
      </c>
      <c r="T235" s="57">
        <f>580.01251643673*Deflactores!$Q$5</f>
        <v>1003.4836182942616</v>
      </c>
      <c r="U235" s="57">
        <f>983.60204610684*Deflactores!$R$5</f>
        <v>1634.8704213366025</v>
      </c>
      <c r="V235" s="57">
        <f>961.12965077051*Deflactores!$S$5</f>
        <v>1548.2830697334464</v>
      </c>
    </row>
    <row r="236" spans="2:22" x14ac:dyDescent="0.2">
      <c r="C236" s="87" t="s">
        <v>151</v>
      </c>
      <c r="D236" s="56">
        <f>2.547212579*Deflactores!$A$5</f>
        <v>9.4850885286817874</v>
      </c>
      <c r="E236" s="56">
        <f>0.756774056*Deflactores!$B$5</f>
        <v>2.6177926320820171</v>
      </c>
      <c r="F236" s="56">
        <f>0.634796203*Deflactores!$C$5</f>
        <v>2.0523558724624786</v>
      </c>
      <c r="G236" s="56">
        <f>0*Deflactores!$D$5</f>
        <v>0</v>
      </c>
      <c r="H236" s="56">
        <f>0*Deflactores!$E$5</f>
        <v>0</v>
      </c>
      <c r="I236" s="56">
        <f>0*Deflactores!$F$5</f>
        <v>0</v>
      </c>
      <c r="J236" s="56">
        <f>0*Deflactores!$G$5</f>
        <v>0</v>
      </c>
      <c r="K236" s="56">
        <f>0*Deflactores!$H$5</f>
        <v>0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202</v>
      </c>
      <c r="D237" s="44">
        <f t="shared" ref="D237:V237" si="63">+SUM(D208:D236)</f>
        <v>5808.3934995047302</v>
      </c>
      <c r="E237" s="44">
        <f t="shared" si="63"/>
        <v>6951.0752628035434</v>
      </c>
      <c r="F237" s="44">
        <f t="shared" si="63"/>
        <v>6095.5547707097912</v>
      </c>
      <c r="G237" s="44">
        <f t="shared" si="63"/>
        <v>5697.3372374665778</v>
      </c>
      <c r="H237" s="44">
        <f t="shared" si="63"/>
        <v>6330.5222153697832</v>
      </c>
      <c r="I237" s="44">
        <f t="shared" si="63"/>
        <v>6308.9884594889227</v>
      </c>
      <c r="J237" s="44">
        <f t="shared" si="63"/>
        <v>7874.9650252808506</v>
      </c>
      <c r="K237" s="44">
        <f t="shared" si="63"/>
        <v>8865.2714908957296</v>
      </c>
      <c r="L237" s="44">
        <f t="shared" si="63"/>
        <v>10782.648987131095</v>
      </c>
      <c r="M237" s="44">
        <f t="shared" si="63"/>
        <v>13490.734784010085</v>
      </c>
      <c r="N237" s="44">
        <f t="shared" si="63"/>
        <v>12269.666157048248</v>
      </c>
      <c r="O237" s="44">
        <f t="shared" si="63"/>
        <v>10378.568776257198</v>
      </c>
      <c r="P237" s="44">
        <f t="shared" si="63"/>
        <v>12679.229749275497</v>
      </c>
      <c r="Q237" s="44">
        <f t="shared" si="63"/>
        <v>14690.195391356785</v>
      </c>
      <c r="R237" s="44">
        <f t="shared" si="63"/>
        <v>8884.0988391769642</v>
      </c>
      <c r="S237" s="44">
        <f t="shared" si="63"/>
        <v>8735.1390022882861</v>
      </c>
      <c r="T237" s="44">
        <f t="shared" si="63"/>
        <v>10472.585002668986</v>
      </c>
      <c r="U237" s="44">
        <f t="shared" si="63"/>
        <v>11018.0299855461</v>
      </c>
      <c r="V237" s="44">
        <f t="shared" si="63"/>
        <v>10432.655650451776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C242" s="9"/>
      <c r="D242" s="155" t="s">
        <v>224</v>
      </c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</row>
    <row r="243" spans="3:22" hidden="1" x14ac:dyDescent="0.2">
      <c r="H243" s="27"/>
      <c r="I243" s="27"/>
      <c r="J243" s="27"/>
      <c r="L243" s="177"/>
      <c r="M243" s="156"/>
      <c r="N243" s="156"/>
      <c r="O243" s="156"/>
      <c r="P243" s="156"/>
      <c r="Q243" s="156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76" t="s">
        <v>120</v>
      </c>
      <c r="D245" s="153">
        <v>2000</v>
      </c>
      <c r="E245" s="153">
        <v>2001</v>
      </c>
      <c r="F245" s="153">
        <v>2002</v>
      </c>
      <c r="G245" s="153">
        <v>2003</v>
      </c>
      <c r="H245" s="153">
        <v>2004</v>
      </c>
      <c r="I245" s="153">
        <v>2005</v>
      </c>
      <c r="J245" s="153">
        <v>2006</v>
      </c>
      <c r="K245" s="153">
        <v>2007</v>
      </c>
      <c r="L245" s="153">
        <v>2008</v>
      </c>
      <c r="M245" s="153">
        <v>2009</v>
      </c>
      <c r="N245" s="153">
        <v>2010</v>
      </c>
      <c r="O245" s="153">
        <v>2011</v>
      </c>
      <c r="P245" s="153">
        <v>2012</v>
      </c>
      <c r="Q245" s="153">
        <v>2013</v>
      </c>
      <c r="R245" s="153">
        <v>2014</v>
      </c>
      <c r="S245" s="153">
        <v>2015</v>
      </c>
      <c r="T245" s="153">
        <v>2016</v>
      </c>
      <c r="U245" s="153">
        <v>2017</v>
      </c>
      <c r="V245" s="153">
        <v>2018</v>
      </c>
    </row>
    <row r="246" spans="3:22" ht="12" customHeight="1" thickBot="1" x14ac:dyDescent="0.25">
      <c r="C246" s="160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</row>
    <row r="247" spans="3:22" x14ac:dyDescent="0.2">
      <c r="C247" s="87" t="s">
        <v>123</v>
      </c>
      <c r="D247" s="60">
        <f t="shared" ref="D247:V247" si="64">+IFERROR(IF(D208&gt;0,+((D208/D13)*100)," "),"")</f>
        <v>41.802956953204976</v>
      </c>
      <c r="E247" s="60">
        <f t="shared" si="64"/>
        <v>46.540440126741835</v>
      </c>
      <c r="F247" s="60">
        <f t="shared" si="64"/>
        <v>77.081688172652662</v>
      </c>
      <c r="G247" s="60">
        <f t="shared" si="64"/>
        <v>71.129649136473361</v>
      </c>
      <c r="H247" s="60">
        <f t="shared" si="64"/>
        <v>44.04518651228944</v>
      </c>
      <c r="I247" s="60">
        <f t="shared" si="64"/>
        <v>79.644390218961874</v>
      </c>
      <c r="J247" s="60">
        <f t="shared" si="64"/>
        <v>64.399696980155056</v>
      </c>
      <c r="K247" s="60">
        <f t="shared" si="64"/>
        <v>85.104363497266249</v>
      </c>
      <c r="L247" s="60">
        <f t="shared" si="64"/>
        <v>84.706658594039126</v>
      </c>
      <c r="M247" s="60">
        <f t="shared" si="64"/>
        <v>66.228938382443943</v>
      </c>
      <c r="N247" s="60">
        <f t="shared" si="64"/>
        <v>78.320205302358119</v>
      </c>
      <c r="O247" s="60">
        <f t="shared" si="64"/>
        <v>50.938950648075433</v>
      </c>
      <c r="P247" s="60">
        <f t="shared" si="64"/>
        <v>74.314827645594832</v>
      </c>
      <c r="Q247" s="60">
        <f t="shared" si="64"/>
        <v>60.166440809387069</v>
      </c>
      <c r="R247" s="60">
        <f t="shared" si="64"/>
        <v>71.857598669028292</v>
      </c>
      <c r="S247" s="60">
        <f t="shared" si="64"/>
        <v>62.062784946012862</v>
      </c>
      <c r="T247" s="60">
        <f t="shared" si="64"/>
        <v>93.070857088303811</v>
      </c>
      <c r="U247" s="60">
        <f t="shared" si="64"/>
        <v>90.062996827545575</v>
      </c>
      <c r="V247" s="60">
        <f t="shared" si="64"/>
        <v>83.440102207603957</v>
      </c>
    </row>
    <row r="248" spans="3:22" x14ac:dyDescent="0.2">
      <c r="C248" s="88" t="s">
        <v>124</v>
      </c>
      <c r="D248" s="62">
        <f t="shared" ref="D248:V248" si="65">+IFERROR(IF(D209&gt;0,+((D209/D14)*100)," "),"")</f>
        <v>43.739809960934075</v>
      </c>
      <c r="E248" s="62">
        <f t="shared" si="65"/>
        <v>26.762048084415586</v>
      </c>
      <c r="F248" s="62">
        <f t="shared" si="65"/>
        <v>43.179169468019253</v>
      </c>
      <c r="G248" s="62">
        <f t="shared" si="65"/>
        <v>33.705619655992301</v>
      </c>
      <c r="H248" s="62">
        <f t="shared" si="65"/>
        <v>22.654770698161396</v>
      </c>
      <c r="I248" s="62">
        <f t="shared" si="65"/>
        <v>55.830461300946389</v>
      </c>
      <c r="J248" s="62">
        <f t="shared" si="65"/>
        <v>66.288783659173262</v>
      </c>
      <c r="K248" s="62">
        <f t="shared" si="65"/>
        <v>78.070915566425384</v>
      </c>
      <c r="L248" s="62">
        <f t="shared" si="65"/>
        <v>67.595118027661769</v>
      </c>
      <c r="M248" s="62">
        <f t="shared" si="65"/>
        <v>74.082523029489337</v>
      </c>
      <c r="N248" s="62">
        <f t="shared" si="65"/>
        <v>73.230839858023444</v>
      </c>
      <c r="O248" s="62">
        <f t="shared" si="65"/>
        <v>74.153479076073808</v>
      </c>
      <c r="P248" s="62">
        <f t="shared" si="65"/>
        <v>79.86049666428265</v>
      </c>
      <c r="Q248" s="62">
        <f t="shared" si="65"/>
        <v>68.989904575257953</v>
      </c>
      <c r="R248" s="62">
        <f t="shared" si="65"/>
        <v>87.919862195503015</v>
      </c>
      <c r="S248" s="62">
        <f t="shared" si="65"/>
        <v>73.763751722331222</v>
      </c>
      <c r="T248" s="62">
        <f t="shared" si="65"/>
        <v>80.762269579586217</v>
      </c>
      <c r="U248" s="62">
        <f t="shared" si="65"/>
        <v>85.608914916147512</v>
      </c>
      <c r="V248" s="62">
        <f t="shared" si="65"/>
        <v>94.385876018278509</v>
      </c>
    </row>
    <row r="249" spans="3:22" x14ac:dyDescent="0.2">
      <c r="C249" s="87" t="s">
        <v>125</v>
      </c>
      <c r="D249" s="60">
        <f t="shared" ref="D249:V249" si="66">+IFERROR(IF(D210&gt;0,+((D210/D15)*100)," "),"")</f>
        <v>36.586832765719308</v>
      </c>
      <c r="E249" s="60">
        <f t="shared" si="66"/>
        <v>21.188667352248068</v>
      </c>
      <c r="F249" s="60">
        <f t="shared" si="66"/>
        <v>36.112967326150738</v>
      </c>
      <c r="G249" s="60">
        <f t="shared" si="66"/>
        <v>8.7935714558383431</v>
      </c>
      <c r="H249" s="60">
        <f t="shared" si="66"/>
        <v>6.3700665147186903</v>
      </c>
      <c r="I249" s="60">
        <f t="shared" si="66"/>
        <v>26.089964911543824</v>
      </c>
      <c r="J249" s="60">
        <f t="shared" si="66"/>
        <v>0.42183069988243305</v>
      </c>
      <c r="K249" s="60">
        <f t="shared" si="66"/>
        <v>32.398560242270932</v>
      </c>
      <c r="L249" s="60">
        <f t="shared" si="66"/>
        <v>26.177625261962174</v>
      </c>
      <c r="M249" s="60">
        <f t="shared" si="66"/>
        <v>91.720584057220961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99.979860469842706</v>
      </c>
      <c r="E250" s="62" t="str">
        <f t="shared" si="67"/>
        <v xml:space="preserve"> </v>
      </c>
      <c r="F250" s="62">
        <f t="shared" si="67"/>
        <v>1.6427998054982615</v>
      </c>
      <c r="G250" s="62">
        <f t="shared" si="67"/>
        <v>33.48002549356174</v>
      </c>
      <c r="H250" s="62">
        <f t="shared" si="67"/>
        <v>17.404398079306073</v>
      </c>
      <c r="I250" s="62">
        <f t="shared" si="67"/>
        <v>23.466651095637932</v>
      </c>
      <c r="J250" s="62">
        <f t="shared" si="67"/>
        <v>36.42339263026669</v>
      </c>
      <c r="K250" s="62">
        <f t="shared" si="67"/>
        <v>47.085004324195857</v>
      </c>
      <c r="L250" s="62">
        <f t="shared" si="67"/>
        <v>64.094483404893737</v>
      </c>
      <c r="M250" s="62">
        <f t="shared" si="67"/>
        <v>78.48160099436231</v>
      </c>
      <c r="N250" s="62">
        <f t="shared" si="67"/>
        <v>70.454324146646613</v>
      </c>
      <c r="O250" s="62">
        <f t="shared" si="67"/>
        <v>56.013303324939145</v>
      </c>
      <c r="P250" s="62">
        <f t="shared" si="67"/>
        <v>32.978935041506936</v>
      </c>
      <c r="Q250" s="62">
        <f t="shared" si="67"/>
        <v>54.117466869535015</v>
      </c>
      <c r="R250" s="62">
        <f t="shared" si="67"/>
        <v>75.513838350803525</v>
      </c>
      <c r="S250" s="62">
        <f t="shared" si="67"/>
        <v>81.445553197413119</v>
      </c>
      <c r="T250" s="62">
        <f t="shared" si="67"/>
        <v>90.390753908355464</v>
      </c>
      <c r="U250" s="62">
        <f t="shared" si="67"/>
        <v>84.969483371499095</v>
      </c>
      <c r="V250" s="62">
        <f t="shared" si="67"/>
        <v>87.517002917673892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81.967718699187003</v>
      </c>
      <c r="E252" s="62">
        <f t="shared" si="69"/>
        <v>65.203430674846629</v>
      </c>
      <c r="F252" s="62">
        <f t="shared" si="69"/>
        <v>81.838744841269843</v>
      </c>
      <c r="G252" s="62">
        <f t="shared" si="69"/>
        <v>69.804447898789704</v>
      </c>
      <c r="H252" s="62">
        <f t="shared" si="69"/>
        <v>44.458825972497024</v>
      </c>
      <c r="I252" s="62">
        <f t="shared" si="69"/>
        <v>46.197460782623686</v>
      </c>
      <c r="J252" s="62">
        <f t="shared" si="69"/>
        <v>9.6182982344289218</v>
      </c>
      <c r="K252" s="62">
        <f t="shared" si="69"/>
        <v>44.153955051574762</v>
      </c>
      <c r="L252" s="62">
        <f t="shared" si="69"/>
        <v>63.489447587844538</v>
      </c>
      <c r="M252" s="62">
        <f t="shared" si="69"/>
        <v>24.032766469924482</v>
      </c>
      <c r="N252" s="62">
        <f t="shared" si="69"/>
        <v>81.036112591762475</v>
      </c>
      <c r="O252" s="62">
        <f t="shared" si="69"/>
        <v>74.176203724538595</v>
      </c>
      <c r="P252" s="62">
        <f t="shared" si="69"/>
        <v>93.573971454404585</v>
      </c>
      <c r="Q252" s="62">
        <f t="shared" si="69"/>
        <v>88.813016952334024</v>
      </c>
      <c r="R252" s="62">
        <f t="shared" si="69"/>
        <v>93.579419241664425</v>
      </c>
      <c r="S252" s="62">
        <f t="shared" si="69"/>
        <v>71.814968491364155</v>
      </c>
      <c r="T252" s="62">
        <f t="shared" si="69"/>
        <v>92.424838738476552</v>
      </c>
      <c r="U252" s="62">
        <f t="shared" si="69"/>
        <v>92.446421372145366</v>
      </c>
      <c r="V252" s="62">
        <f t="shared" si="69"/>
        <v>91.016787488830047</v>
      </c>
    </row>
    <row r="253" spans="3:22" x14ac:dyDescent="0.2">
      <c r="C253" s="87" t="s">
        <v>129</v>
      </c>
      <c r="D253" s="60">
        <f t="shared" ref="D253:V253" si="70">+IFERROR(IF(D214&gt;0,+((D214/D19)*100)," "),"")</f>
        <v>89.557273374498266</v>
      </c>
      <c r="E253" s="60">
        <f t="shared" si="70"/>
        <v>79.705636652924454</v>
      </c>
      <c r="F253" s="60">
        <f t="shared" si="70"/>
        <v>69.870775134948332</v>
      </c>
      <c r="G253" s="60">
        <f t="shared" si="70"/>
        <v>57.391684222744502</v>
      </c>
      <c r="H253" s="60">
        <f t="shared" si="70"/>
        <v>54.78249562185529</v>
      </c>
      <c r="I253" s="60">
        <f t="shared" si="70"/>
        <v>69.147284038842699</v>
      </c>
      <c r="J253" s="60">
        <f t="shared" si="70"/>
        <v>41.410410143346873</v>
      </c>
      <c r="K253" s="60">
        <f t="shared" si="70"/>
        <v>77.495807903295216</v>
      </c>
      <c r="L253" s="60">
        <f t="shared" si="70"/>
        <v>76.278296026459586</v>
      </c>
      <c r="M253" s="60">
        <f t="shared" si="70"/>
        <v>75.131525602155165</v>
      </c>
      <c r="N253" s="60">
        <f t="shared" si="70"/>
        <v>76.440981822741065</v>
      </c>
      <c r="O253" s="60">
        <f t="shared" si="70"/>
        <v>41.017598290726966</v>
      </c>
      <c r="P253" s="60">
        <f t="shared" si="70"/>
        <v>34.387313482464002</v>
      </c>
      <c r="Q253" s="60">
        <f t="shared" si="70"/>
        <v>59.821431977103991</v>
      </c>
      <c r="R253" s="60">
        <f t="shared" si="70"/>
        <v>68.202310943680772</v>
      </c>
      <c r="S253" s="60">
        <f t="shared" si="70"/>
        <v>77.765300868317766</v>
      </c>
      <c r="T253" s="60">
        <f t="shared" si="70"/>
        <v>66.025206374029977</v>
      </c>
      <c r="U253" s="60">
        <f t="shared" si="70"/>
        <v>53.81692560096193</v>
      </c>
      <c r="V253" s="60">
        <f t="shared" si="70"/>
        <v>73.07938898494757</v>
      </c>
    </row>
    <row r="254" spans="3:22" x14ac:dyDescent="0.2">
      <c r="C254" s="88" t="s">
        <v>130</v>
      </c>
      <c r="D254" s="62">
        <f t="shared" ref="D254:V254" si="71">+IFERROR(IF(D215&gt;0,+((D215/D20)*100)," "),"")</f>
        <v>71.298162217297133</v>
      </c>
      <c r="E254" s="62">
        <f t="shared" si="71"/>
        <v>74.46156857329926</v>
      </c>
      <c r="F254" s="62">
        <f t="shared" si="71"/>
        <v>45.32861713232991</v>
      </c>
      <c r="G254" s="62">
        <f t="shared" si="71"/>
        <v>63.959021394983459</v>
      </c>
      <c r="H254" s="62">
        <f t="shared" si="71"/>
        <v>42.27324990292292</v>
      </c>
      <c r="I254" s="62">
        <f t="shared" si="71"/>
        <v>79.028332287605693</v>
      </c>
      <c r="J254" s="62">
        <f t="shared" si="71"/>
        <v>82.007532159495995</v>
      </c>
      <c r="K254" s="62">
        <f t="shared" si="71"/>
        <v>86.018719043450133</v>
      </c>
      <c r="L254" s="62">
        <f t="shared" si="71"/>
        <v>81.256681805679975</v>
      </c>
      <c r="M254" s="62">
        <f t="shared" si="71"/>
        <v>49.989382496440975</v>
      </c>
      <c r="N254" s="62" t="str">
        <f t="shared" si="71"/>
        <v xml:space="preserve"> </v>
      </c>
      <c r="O254" s="62">
        <f t="shared" si="71"/>
        <v>63.127778251036595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82.824107056699802</v>
      </c>
      <c r="E255" s="60">
        <f t="shared" si="72"/>
        <v>87.488213757678608</v>
      </c>
      <c r="F255" s="60">
        <f t="shared" si="72"/>
        <v>83.817158560554702</v>
      </c>
      <c r="G255" s="60">
        <f t="shared" si="72"/>
        <v>82.700817939864393</v>
      </c>
      <c r="H255" s="60">
        <f t="shared" si="72"/>
        <v>66.836881157287635</v>
      </c>
      <c r="I255" s="60">
        <f t="shared" si="72"/>
        <v>57.467853335128041</v>
      </c>
      <c r="J255" s="60">
        <f t="shared" si="72"/>
        <v>34.482476696722024</v>
      </c>
      <c r="K255" s="60">
        <f t="shared" si="72"/>
        <v>69.047623824603349</v>
      </c>
      <c r="L255" s="60">
        <f t="shared" si="72"/>
        <v>68.912605555163267</v>
      </c>
      <c r="M255" s="60">
        <f t="shared" si="72"/>
        <v>78.436391788341439</v>
      </c>
      <c r="N255" s="60">
        <f t="shared" si="72"/>
        <v>45.695622655188039</v>
      </c>
      <c r="O255" s="60">
        <f t="shared" si="72"/>
        <v>33.638359086884115</v>
      </c>
      <c r="P255" s="60">
        <f t="shared" si="72"/>
        <v>78.501429411444306</v>
      </c>
      <c r="Q255" s="60">
        <f t="shared" si="72"/>
        <v>64.485108924238659</v>
      </c>
      <c r="R255" s="60">
        <f t="shared" si="72"/>
        <v>68.750634840445812</v>
      </c>
      <c r="S255" s="60">
        <f t="shared" si="72"/>
        <v>69.550944722113513</v>
      </c>
      <c r="T255" s="60">
        <f t="shared" si="72"/>
        <v>66.029757533573616</v>
      </c>
      <c r="U255" s="60">
        <f t="shared" si="72"/>
        <v>62.627386434405018</v>
      </c>
      <c r="V255" s="60">
        <f t="shared" si="72"/>
        <v>86.644595340691581</v>
      </c>
    </row>
    <row r="256" spans="3:22" x14ac:dyDescent="0.2">
      <c r="C256" s="88" t="s">
        <v>132</v>
      </c>
      <c r="D256" s="62">
        <f t="shared" ref="D256:V256" si="73">+IFERROR(IF(D217&gt;0,+((D217/D22)*100)," "),"")</f>
        <v>93.890937617456146</v>
      </c>
      <c r="E256" s="62">
        <f t="shared" si="73"/>
        <v>47.985678548130927</v>
      </c>
      <c r="F256" s="62">
        <f t="shared" si="73"/>
        <v>67.312401385035542</v>
      </c>
      <c r="G256" s="62">
        <f t="shared" si="73"/>
        <v>94.221115279818747</v>
      </c>
      <c r="H256" s="62">
        <f t="shared" si="73"/>
        <v>63.651082507937339</v>
      </c>
      <c r="I256" s="62">
        <f t="shared" si="73"/>
        <v>79.772138973897697</v>
      </c>
      <c r="J256" s="62">
        <f t="shared" si="73"/>
        <v>76.489123160782441</v>
      </c>
      <c r="K256" s="62">
        <f t="shared" si="73"/>
        <v>37.183917518404364</v>
      </c>
      <c r="L256" s="62">
        <f t="shared" si="73"/>
        <v>57.795205447136091</v>
      </c>
      <c r="M256" s="62">
        <f t="shared" si="73"/>
        <v>82.573473049388696</v>
      </c>
      <c r="N256" s="62">
        <f t="shared" si="73"/>
        <v>63.348168494295379</v>
      </c>
      <c r="O256" s="62">
        <f t="shared" si="73"/>
        <v>44.20279874732163</v>
      </c>
      <c r="P256" s="62">
        <f t="shared" si="73"/>
        <v>64.431100399777606</v>
      </c>
      <c r="Q256" s="62">
        <f t="shared" si="73"/>
        <v>77.040005236952851</v>
      </c>
      <c r="R256" s="62">
        <f t="shared" si="73"/>
        <v>64.670443959080131</v>
      </c>
      <c r="S256" s="62">
        <f t="shared" si="73"/>
        <v>73.625391156293929</v>
      </c>
      <c r="T256" s="62">
        <f t="shared" si="73"/>
        <v>85.197133120543725</v>
      </c>
      <c r="U256" s="62">
        <f t="shared" si="73"/>
        <v>85.017138853596734</v>
      </c>
      <c r="V256" s="62">
        <f t="shared" si="73"/>
        <v>86.17464973948799</v>
      </c>
    </row>
    <row r="257" spans="3:22" x14ac:dyDescent="0.2">
      <c r="C257" s="87" t="s">
        <v>133</v>
      </c>
      <c r="D257" s="60" t="str">
        <f t="shared" ref="D257:V257" si="74">+IFERROR(IF(D218&gt;0,+((D218/D23)*100)," "),"")</f>
        <v xml:space="preserve"> </v>
      </c>
      <c r="E257" s="60" t="str">
        <f t="shared" si="74"/>
        <v xml:space="preserve"> </v>
      </c>
      <c r="F257" s="60" t="str">
        <f t="shared" si="74"/>
        <v xml:space="preserve"> </v>
      </c>
      <c r="G257" s="60" t="str">
        <f t="shared" si="74"/>
        <v xml:space="preserve"> </v>
      </c>
      <c r="H257" s="60">
        <f t="shared" si="74"/>
        <v>14.572135855996871</v>
      </c>
      <c r="I257" s="60">
        <f t="shared" si="74"/>
        <v>86.165838254348785</v>
      </c>
      <c r="J257" s="60">
        <f t="shared" si="74"/>
        <v>52.693829466101697</v>
      </c>
      <c r="K257" s="60">
        <f t="shared" si="74"/>
        <v>53.388838363636346</v>
      </c>
      <c r="L257" s="60">
        <f t="shared" si="74"/>
        <v>67.450177914199998</v>
      </c>
      <c r="M257" s="60">
        <f t="shared" si="74"/>
        <v>86.252938595150766</v>
      </c>
      <c r="N257" s="60">
        <f t="shared" si="74"/>
        <v>69.349508627479096</v>
      </c>
      <c r="O257" s="60">
        <f t="shared" si="74"/>
        <v>30.810075188787827</v>
      </c>
      <c r="P257" s="60">
        <f t="shared" si="74"/>
        <v>82.161837844222234</v>
      </c>
      <c r="Q257" s="60">
        <f t="shared" si="74"/>
        <v>43.98915126054527</v>
      </c>
      <c r="R257" s="60">
        <f t="shared" si="74"/>
        <v>70.573869196000004</v>
      </c>
      <c r="S257" s="60">
        <f t="shared" si="74"/>
        <v>27.677326320000002</v>
      </c>
      <c r="T257" s="60">
        <f t="shared" si="74"/>
        <v>25.870744842279425</v>
      </c>
      <c r="U257" s="60">
        <f t="shared" si="74"/>
        <v>36.417352081153851</v>
      </c>
      <c r="V257" s="60">
        <f t="shared" si="74"/>
        <v>44.327305722902842</v>
      </c>
    </row>
    <row r="258" spans="3:22" x14ac:dyDescent="0.2">
      <c r="C258" s="88" t="s">
        <v>134</v>
      </c>
      <c r="D258" s="62">
        <f t="shared" ref="D258:V258" si="75">+IFERROR(IF(D219&gt;0,+((D219/D24)*100)," "),"")</f>
        <v>85.382916706235719</v>
      </c>
      <c r="E258" s="62">
        <f t="shared" si="75"/>
        <v>81.824167528335963</v>
      </c>
      <c r="F258" s="62">
        <f t="shared" si="75"/>
        <v>48.037667263161907</v>
      </c>
      <c r="G258" s="62">
        <f t="shared" si="75"/>
        <v>73.499611125910164</v>
      </c>
      <c r="H258" s="62">
        <f t="shared" si="75"/>
        <v>51.541174330158178</v>
      </c>
      <c r="I258" s="62">
        <f t="shared" si="75"/>
        <v>48.794827015348403</v>
      </c>
      <c r="J258" s="62">
        <f t="shared" si="75"/>
        <v>25.506363743555266</v>
      </c>
      <c r="K258" s="62">
        <f t="shared" si="75"/>
        <v>67.091093422384162</v>
      </c>
      <c r="L258" s="62">
        <f t="shared" si="75"/>
        <v>69.820749199591731</v>
      </c>
      <c r="M258" s="62">
        <f t="shared" si="75"/>
        <v>64.265891776827971</v>
      </c>
      <c r="N258" s="62">
        <f t="shared" si="75"/>
        <v>69.355934977822315</v>
      </c>
      <c r="O258" s="62">
        <f t="shared" si="75"/>
        <v>64.664448202699447</v>
      </c>
      <c r="P258" s="62">
        <f t="shared" si="75"/>
        <v>70.750514191520921</v>
      </c>
      <c r="Q258" s="62">
        <f t="shared" si="75"/>
        <v>85.333362336673417</v>
      </c>
      <c r="R258" s="62">
        <f t="shared" si="75"/>
        <v>85.491806361910136</v>
      </c>
      <c r="S258" s="62">
        <f t="shared" si="75"/>
        <v>63.808018716319069</v>
      </c>
      <c r="T258" s="62">
        <f t="shared" si="75"/>
        <v>72.554805978638072</v>
      </c>
      <c r="U258" s="62">
        <f t="shared" si="75"/>
        <v>82.830521439526891</v>
      </c>
      <c r="V258" s="62">
        <f t="shared" si="75"/>
        <v>74.445124191269301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69.287087244869724</v>
      </c>
      <c r="E260" s="62">
        <f t="shared" si="77"/>
        <v>73.901474184813807</v>
      </c>
      <c r="F260" s="62">
        <f t="shared" si="77"/>
        <v>80.591441796308089</v>
      </c>
      <c r="G260" s="62">
        <f t="shared" si="77"/>
        <v>82.076440412689649</v>
      </c>
      <c r="H260" s="62">
        <f t="shared" si="77"/>
        <v>86.099515159125389</v>
      </c>
      <c r="I260" s="62">
        <f t="shared" si="77"/>
        <v>89.452184676629983</v>
      </c>
      <c r="J260" s="62">
        <f t="shared" si="77"/>
        <v>84.409196817631624</v>
      </c>
      <c r="K260" s="62">
        <f t="shared" si="77"/>
        <v>72.785475385038183</v>
      </c>
      <c r="L260" s="62">
        <f t="shared" si="77"/>
        <v>87.120812171765792</v>
      </c>
      <c r="M260" s="62">
        <f t="shared" si="77"/>
        <v>89.116575786793533</v>
      </c>
      <c r="N260" s="62">
        <f t="shared" si="77"/>
        <v>85.933996089964182</v>
      </c>
      <c r="O260" s="62">
        <f t="shared" si="77"/>
        <v>68.401307214197331</v>
      </c>
      <c r="P260" s="62">
        <f t="shared" si="77"/>
        <v>89.676098089924992</v>
      </c>
      <c r="Q260" s="62">
        <f t="shared" si="77"/>
        <v>88.756989454226598</v>
      </c>
      <c r="R260" s="62">
        <f t="shared" si="77"/>
        <v>91.353177915318668</v>
      </c>
      <c r="S260" s="62">
        <f t="shared" si="77"/>
        <v>86.319806935297123</v>
      </c>
      <c r="T260" s="62">
        <f t="shared" si="77"/>
        <v>95.000023304547355</v>
      </c>
      <c r="U260" s="62">
        <f t="shared" si="77"/>
        <v>94.327762244529836</v>
      </c>
      <c r="V260" s="62">
        <f t="shared" si="77"/>
        <v>94.887821960328083</v>
      </c>
    </row>
    <row r="261" spans="3:22" x14ac:dyDescent="0.2">
      <c r="C261" s="87" t="s">
        <v>137</v>
      </c>
      <c r="D261" s="60">
        <f t="shared" ref="D261:V261" si="78">+IFERROR(IF(D222&gt;0,+((D222/D27)*100)," "),"")</f>
        <v>65.973175915617816</v>
      </c>
      <c r="E261" s="60">
        <f t="shared" si="78"/>
        <v>61.622933691029644</v>
      </c>
      <c r="F261" s="60">
        <f t="shared" si="78"/>
        <v>73.63058041026224</v>
      </c>
      <c r="G261" s="60">
        <f t="shared" si="78"/>
        <v>58.300634116133075</v>
      </c>
      <c r="H261" s="60">
        <f t="shared" si="78"/>
        <v>45.937373772608623</v>
      </c>
      <c r="I261" s="60">
        <f t="shared" si="78"/>
        <v>36.666858863546935</v>
      </c>
      <c r="J261" s="60">
        <f t="shared" si="78"/>
        <v>63.615016629756582</v>
      </c>
      <c r="K261" s="60">
        <f t="shared" si="78"/>
        <v>86.006716210882118</v>
      </c>
      <c r="L261" s="60">
        <f t="shared" si="78"/>
        <v>66.537487618093365</v>
      </c>
      <c r="M261" s="60">
        <f t="shared" si="78"/>
        <v>66.398726842057286</v>
      </c>
      <c r="N261" s="60">
        <f t="shared" si="78"/>
        <v>52.783717634173087</v>
      </c>
      <c r="O261" s="60">
        <f t="shared" si="78"/>
        <v>60.909225869486875</v>
      </c>
      <c r="P261" s="60">
        <f t="shared" si="78"/>
        <v>71.482764088350564</v>
      </c>
      <c r="Q261" s="60">
        <f t="shared" si="78"/>
        <v>66.594804631287545</v>
      </c>
      <c r="R261" s="60">
        <f t="shared" si="78"/>
        <v>75.361507160426711</v>
      </c>
      <c r="S261" s="60">
        <f t="shared" si="78"/>
        <v>77.435677828421007</v>
      </c>
      <c r="T261" s="60">
        <f t="shared" si="78"/>
        <v>77.104305408778387</v>
      </c>
      <c r="U261" s="60">
        <f t="shared" si="78"/>
        <v>75.447817071088636</v>
      </c>
      <c r="V261" s="60">
        <f t="shared" si="78"/>
        <v>72.991584994552554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85.327673277858622</v>
      </c>
      <c r="E262" s="62">
        <f t="shared" si="79"/>
        <v>72.689915505325459</v>
      </c>
      <c r="F262" s="62">
        <f t="shared" si="79"/>
        <v>70.459993592888239</v>
      </c>
      <c r="G262" s="62">
        <f t="shared" si="79"/>
        <v>12.820162318341405</v>
      </c>
      <c r="H262" s="62">
        <f t="shared" si="79"/>
        <v>26.390167577592592</v>
      </c>
      <c r="I262" s="62">
        <f t="shared" si="79"/>
        <v>13.789047289019866</v>
      </c>
      <c r="J262" s="62">
        <f t="shared" si="79"/>
        <v>4.7015998212564831</v>
      </c>
      <c r="K262" s="62">
        <f t="shared" si="79"/>
        <v>69.406741617981851</v>
      </c>
      <c r="L262" s="62">
        <f t="shared" si="79"/>
        <v>52.932436602936342</v>
      </c>
      <c r="M262" s="62">
        <f t="shared" si="79"/>
        <v>27.900699222771543</v>
      </c>
      <c r="N262" s="62">
        <f t="shared" si="79"/>
        <v>23.766960044752299</v>
      </c>
      <c r="O262" s="62">
        <f t="shared" si="79"/>
        <v>35.065335232504424</v>
      </c>
      <c r="P262" s="62">
        <f t="shared" si="79"/>
        <v>100</v>
      </c>
      <c r="Q262" s="62">
        <f t="shared" si="79"/>
        <v>100</v>
      </c>
      <c r="R262" s="62" t="str">
        <f t="shared" si="79"/>
        <v xml:space="preserve"> 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48.709117631308388</v>
      </c>
      <c r="E263" s="60">
        <f t="shared" si="80"/>
        <v>96.96147951881909</v>
      </c>
      <c r="F263" s="60">
        <f t="shared" si="80"/>
        <v>87.698427244800854</v>
      </c>
      <c r="G263" s="60">
        <f t="shared" si="80"/>
        <v>84.474012104152834</v>
      </c>
      <c r="H263" s="60">
        <f t="shared" si="80"/>
        <v>35.504511624110243</v>
      </c>
      <c r="I263" s="60">
        <f t="shared" si="80"/>
        <v>73.194325230523532</v>
      </c>
      <c r="J263" s="60">
        <f t="shared" si="80"/>
        <v>86.195003438501189</v>
      </c>
      <c r="K263" s="60">
        <f t="shared" si="80"/>
        <v>64.264408379919544</v>
      </c>
      <c r="L263" s="60">
        <f t="shared" si="80"/>
        <v>44.500775812044679</v>
      </c>
      <c r="M263" s="60">
        <f t="shared" si="80"/>
        <v>73.507720126684291</v>
      </c>
      <c r="N263" s="60">
        <f t="shared" si="80"/>
        <v>63.830547070518818</v>
      </c>
      <c r="O263" s="60">
        <f t="shared" si="80"/>
        <v>55.134078101792802</v>
      </c>
      <c r="P263" s="60">
        <f t="shared" si="80"/>
        <v>73.76322627517257</v>
      </c>
      <c r="Q263" s="60">
        <f t="shared" si="80"/>
        <v>76.050631834045348</v>
      </c>
      <c r="R263" s="60">
        <f t="shared" si="80"/>
        <v>81.236042238687205</v>
      </c>
      <c r="S263" s="60">
        <f t="shared" si="80"/>
        <v>72.252884179094423</v>
      </c>
      <c r="T263" s="60">
        <f t="shared" si="80"/>
        <v>43.372665030772922</v>
      </c>
      <c r="U263" s="60">
        <f t="shared" si="80"/>
        <v>25.331821582281666</v>
      </c>
      <c r="V263" s="60">
        <f t="shared" si="80"/>
        <v>60.53586268143691</v>
      </c>
    </row>
    <row r="264" spans="3:22" x14ac:dyDescent="0.2">
      <c r="C264" s="88" t="s">
        <v>140</v>
      </c>
      <c r="D264" s="62">
        <f t="shared" ref="D264:V264" si="81">+IFERROR(IF(D225&gt;0,+((D225/D30)*100)," "),"")</f>
        <v>29.5175621943553</v>
      </c>
      <c r="E264" s="62">
        <f t="shared" si="81"/>
        <v>22.016001211184957</v>
      </c>
      <c r="F264" s="62">
        <f t="shared" si="81"/>
        <v>33.410237573471278</v>
      </c>
      <c r="G264" s="62">
        <f t="shared" si="81"/>
        <v>56.674051755963951</v>
      </c>
      <c r="H264" s="62">
        <f t="shared" si="81"/>
        <v>53.226258892891522</v>
      </c>
      <c r="I264" s="62">
        <f t="shared" si="81"/>
        <v>10.046487706045983</v>
      </c>
      <c r="J264" s="62">
        <f t="shared" si="81"/>
        <v>69.755246302734321</v>
      </c>
      <c r="K264" s="62">
        <f t="shared" si="81"/>
        <v>52.45544291822074</v>
      </c>
      <c r="L264" s="62">
        <f t="shared" si="81"/>
        <v>62.798185842826925</v>
      </c>
      <c r="M264" s="62">
        <f t="shared" si="81"/>
        <v>67.295657945006269</v>
      </c>
      <c r="N264" s="62">
        <f t="shared" si="81"/>
        <v>53.042019363689164</v>
      </c>
      <c r="O264" s="62">
        <f t="shared" si="81"/>
        <v>75.29876312815955</v>
      </c>
      <c r="P264" s="62">
        <f t="shared" si="81"/>
        <v>76.011115103656905</v>
      </c>
      <c r="Q264" s="62">
        <f t="shared" si="81"/>
        <v>81.566247682301523</v>
      </c>
      <c r="R264" s="62">
        <f t="shared" si="81"/>
        <v>74.36493266287323</v>
      </c>
      <c r="S264" s="62">
        <f t="shared" si="81"/>
        <v>59.69022957808329</v>
      </c>
      <c r="T264" s="62">
        <f t="shared" si="81"/>
        <v>84.032557323690284</v>
      </c>
      <c r="U264" s="62">
        <f t="shared" si="81"/>
        <v>57.715862699588214</v>
      </c>
      <c r="V264" s="62">
        <f t="shared" si="81"/>
        <v>75.758053086895842</v>
      </c>
    </row>
    <row r="265" spans="3:22" x14ac:dyDescent="0.2">
      <c r="C265" s="87" t="s">
        <v>141</v>
      </c>
      <c r="D265" s="60" t="str">
        <f t="shared" ref="D265:V265" si="82">+IFERROR(IF(D226&gt;0,+((D226/D31)*100)," "),"")</f>
        <v xml:space="preserve"> </v>
      </c>
      <c r="E265" s="60" t="str">
        <f t="shared" si="82"/>
        <v xml:space="preserve"> </v>
      </c>
      <c r="F265" s="60" t="str">
        <f t="shared" si="82"/>
        <v xml:space="preserve"> </v>
      </c>
      <c r="G265" s="60" t="str">
        <f t="shared" si="82"/>
        <v xml:space="preserve"> </v>
      </c>
      <c r="H265" s="60" t="str">
        <f t="shared" si="82"/>
        <v xml:space="preserve"> </v>
      </c>
      <c r="I265" s="60" t="str">
        <f t="shared" si="82"/>
        <v xml:space="preserve"> </v>
      </c>
      <c r="J265" s="60" t="str">
        <f t="shared" si="82"/>
        <v xml:space="preserve"> </v>
      </c>
      <c r="K265" s="60">
        <f t="shared" si="82"/>
        <v>23.432245408957289</v>
      </c>
      <c r="L265" s="60">
        <f t="shared" si="82"/>
        <v>14.101860079779074</v>
      </c>
      <c r="M265" s="60">
        <f t="shared" si="82"/>
        <v>5.1074282857142865</v>
      </c>
      <c r="N265" s="60">
        <f t="shared" si="82"/>
        <v>2.638290707027942</v>
      </c>
      <c r="O265" s="60">
        <f t="shared" si="82"/>
        <v>6.5372432729269639E-2</v>
      </c>
      <c r="P265" s="60">
        <f t="shared" si="82"/>
        <v>6.947497300531956E-2</v>
      </c>
      <c r="Q265" s="60">
        <f t="shared" si="82"/>
        <v>1.0998877258064517</v>
      </c>
      <c r="R265" s="60">
        <f t="shared" si="82"/>
        <v>15.897355508425335</v>
      </c>
      <c r="S265" s="60" t="str">
        <f t="shared" si="82"/>
        <v xml:space="preserve"> </v>
      </c>
      <c r="T265" s="60">
        <f t="shared" si="82"/>
        <v>0.2403221303486654</v>
      </c>
      <c r="U265" s="60" t="str">
        <f t="shared" si="82"/>
        <v xml:space="preserve"> </v>
      </c>
      <c r="V265" s="60" t="str">
        <f t="shared" si="82"/>
        <v xml:space="preserve"> </v>
      </c>
    </row>
    <row r="266" spans="3:22" x14ac:dyDescent="0.2">
      <c r="C266" s="88" t="s">
        <v>142</v>
      </c>
      <c r="D266" s="62">
        <f t="shared" ref="D266:V266" si="83">+IFERROR(IF(D227&gt;0,+((D227/D32)*100)," "),"")</f>
        <v>71.185511119499438</v>
      </c>
      <c r="E266" s="62">
        <f t="shared" si="83"/>
        <v>73.046173134158423</v>
      </c>
      <c r="F266" s="62">
        <f t="shared" si="83"/>
        <v>47.523060719913147</v>
      </c>
      <c r="G266" s="62">
        <f t="shared" si="83"/>
        <v>46.250121001293174</v>
      </c>
      <c r="H266" s="62">
        <f t="shared" si="83"/>
        <v>37.761972688381739</v>
      </c>
      <c r="I266" s="62">
        <f t="shared" si="83"/>
        <v>45.248734089219866</v>
      </c>
      <c r="J266" s="62">
        <f t="shared" si="83"/>
        <v>64.435611647042634</v>
      </c>
      <c r="K266" s="62">
        <f t="shared" si="83"/>
        <v>70.613967284010059</v>
      </c>
      <c r="L266" s="62">
        <f t="shared" si="83"/>
        <v>85.364427299722166</v>
      </c>
      <c r="M266" s="62">
        <f t="shared" si="83"/>
        <v>94.806113920950366</v>
      </c>
      <c r="N266" s="62">
        <f t="shared" si="83"/>
        <v>85.456797761201059</v>
      </c>
      <c r="O266" s="62">
        <f t="shared" si="83"/>
        <v>65.4545243600096</v>
      </c>
      <c r="P266" s="62">
        <f t="shared" si="83"/>
        <v>78.186866987063226</v>
      </c>
      <c r="Q266" s="62">
        <f t="shared" si="83"/>
        <v>79.697018078136026</v>
      </c>
      <c r="R266" s="62">
        <f t="shared" si="83"/>
        <v>72.992065239434368</v>
      </c>
      <c r="S266" s="62">
        <f t="shared" si="83"/>
        <v>64.082495396779677</v>
      </c>
      <c r="T266" s="62">
        <f t="shared" si="83"/>
        <v>52.319369032988327</v>
      </c>
      <c r="U266" s="62">
        <f t="shared" si="83"/>
        <v>60.268264663824333</v>
      </c>
      <c r="V266" s="62">
        <f t="shared" si="83"/>
        <v>83.074176352554645</v>
      </c>
    </row>
    <row r="267" spans="3:22" x14ac:dyDescent="0.2">
      <c r="C267" s="87" t="s">
        <v>143</v>
      </c>
      <c r="D267" s="60">
        <f t="shared" ref="D267:V267" si="84">+IFERROR(IF(D228&gt;0,+((D228/D33)*100)," "),"")</f>
        <v>100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>
        <f t="shared" si="84"/>
        <v>45.470331866799953</v>
      </c>
      <c r="I267" s="60">
        <f t="shared" si="84"/>
        <v>47.748295316648296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>
        <f t="shared" si="84"/>
        <v>7.623102218922144E-2</v>
      </c>
      <c r="Q267" s="60">
        <f t="shared" si="84"/>
        <v>50.862349575365059</v>
      </c>
      <c r="R267" s="60">
        <f t="shared" si="84"/>
        <v>8.6177623181964123</v>
      </c>
      <c r="S267" s="60">
        <f t="shared" si="84"/>
        <v>6.6876714415231175</v>
      </c>
      <c r="T267" s="60">
        <f t="shared" si="84"/>
        <v>91.557205299293742</v>
      </c>
      <c r="U267" s="60">
        <f t="shared" si="84"/>
        <v>91.777205605581315</v>
      </c>
      <c r="V267" s="60">
        <f t="shared" si="84"/>
        <v>36.253216751957154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29.183757689264418</v>
      </c>
      <c r="E269" s="60">
        <f t="shared" si="86"/>
        <v>1.84466628</v>
      </c>
      <c r="F269" s="60">
        <f t="shared" si="86"/>
        <v>1.5325917</v>
      </c>
      <c r="G269" s="60">
        <f t="shared" si="86"/>
        <v>2.5445862375627564</v>
      </c>
      <c r="H269" s="60">
        <f t="shared" si="86"/>
        <v>3.2585170029624604</v>
      </c>
      <c r="I269" s="60">
        <f t="shared" si="86"/>
        <v>16.421329111457521</v>
      </c>
      <c r="J269" s="60">
        <f t="shared" si="86"/>
        <v>40.072326222370364</v>
      </c>
      <c r="K269" s="60">
        <f t="shared" si="86"/>
        <v>21.205883907216496</v>
      </c>
      <c r="L269" s="60">
        <f t="shared" si="86"/>
        <v>28.095038028296752</v>
      </c>
      <c r="M269" s="60">
        <f t="shared" si="86"/>
        <v>79.319850283535999</v>
      </c>
      <c r="N269" s="60">
        <f t="shared" si="86"/>
        <v>19.394025813088206</v>
      </c>
      <c r="O269" s="60">
        <f t="shared" si="86"/>
        <v>12.014792122036322</v>
      </c>
      <c r="P269" s="60">
        <f t="shared" si="86"/>
        <v>39.202849145766578</v>
      </c>
      <c r="Q269" s="60">
        <f t="shared" si="86"/>
        <v>26.547757618763313</v>
      </c>
      <c r="R269" s="60">
        <f t="shared" si="86"/>
        <v>30.307559984466074</v>
      </c>
      <c r="S269" s="60">
        <f t="shared" si="86"/>
        <v>25.583745841589796</v>
      </c>
      <c r="T269" s="60">
        <f t="shared" si="86"/>
        <v>57.349068605049823</v>
      </c>
      <c r="U269" s="60">
        <f t="shared" si="86"/>
        <v>68.668006814565459</v>
      </c>
      <c r="V269" s="60">
        <f t="shared" si="86"/>
        <v>67.834210032281248</v>
      </c>
    </row>
    <row r="270" spans="3:22" x14ac:dyDescent="0.2">
      <c r="C270" s="88" t="s">
        <v>146</v>
      </c>
      <c r="D270" s="62">
        <f t="shared" ref="D270:V270" si="87">+IFERROR(IF(D231&gt;0,+((D231/D36)*100)," "),"")</f>
        <v>64.287880997799803</v>
      </c>
      <c r="E270" s="62">
        <f t="shared" si="87"/>
        <v>54.979904600132279</v>
      </c>
      <c r="F270" s="62">
        <f t="shared" si="87"/>
        <v>16.095974230083137</v>
      </c>
      <c r="G270" s="62">
        <f t="shared" si="87"/>
        <v>99.468425807063042</v>
      </c>
      <c r="H270" s="62">
        <f t="shared" si="87"/>
        <v>48.53537497762008</v>
      </c>
      <c r="I270" s="62">
        <f t="shared" si="87"/>
        <v>74.546475168331298</v>
      </c>
      <c r="J270" s="62">
        <f t="shared" si="87"/>
        <v>48.922332785849306</v>
      </c>
      <c r="K270" s="62">
        <f t="shared" si="87"/>
        <v>65.013081113535549</v>
      </c>
      <c r="L270" s="62">
        <f t="shared" si="87"/>
        <v>85.812918232282229</v>
      </c>
      <c r="M270" s="62">
        <f t="shared" si="87"/>
        <v>59.396129564786051</v>
      </c>
      <c r="N270" s="62">
        <f t="shared" si="87"/>
        <v>94.808816022999636</v>
      </c>
      <c r="O270" s="62">
        <f t="shared" si="87"/>
        <v>84.440273356873931</v>
      </c>
      <c r="P270" s="62">
        <f t="shared" si="87"/>
        <v>86.889060592103746</v>
      </c>
      <c r="Q270" s="62">
        <f t="shared" si="87"/>
        <v>71.862309554116948</v>
      </c>
      <c r="R270" s="62">
        <f t="shared" si="87"/>
        <v>91.48941324352856</v>
      </c>
      <c r="S270" s="62">
        <f t="shared" si="87"/>
        <v>97.522044409211105</v>
      </c>
      <c r="T270" s="62">
        <f t="shared" si="87"/>
        <v>92.628158928326243</v>
      </c>
      <c r="U270" s="62">
        <f t="shared" si="87"/>
        <v>76.738019919560656</v>
      </c>
      <c r="V270" s="62">
        <f t="shared" si="87"/>
        <v>97.706911782576725</v>
      </c>
    </row>
    <row r="271" spans="3:22" x14ac:dyDescent="0.2">
      <c r="C271" s="90" t="s">
        <v>147</v>
      </c>
      <c r="D271" s="61">
        <f t="shared" ref="D271:V271" si="88">+IFERROR(IF(D232&gt;0,+((D232/D37)*100)," "),"")</f>
        <v>70.779904300888433</v>
      </c>
      <c r="E271" s="61">
        <f t="shared" si="88"/>
        <v>80.456155228787907</v>
      </c>
      <c r="F271" s="61">
        <f t="shared" si="88"/>
        <v>76.064059274286976</v>
      </c>
      <c r="G271" s="61">
        <f t="shared" si="88"/>
        <v>69.358643143652316</v>
      </c>
      <c r="H271" s="61">
        <f t="shared" si="88"/>
        <v>71.538615913942166</v>
      </c>
      <c r="I271" s="61">
        <f t="shared" si="88"/>
        <v>73.99919217954637</v>
      </c>
      <c r="J271" s="61">
        <f t="shared" si="88"/>
        <v>76.019085324908644</v>
      </c>
      <c r="K271" s="61">
        <f t="shared" si="88"/>
        <v>82.385876606618041</v>
      </c>
      <c r="L271" s="61">
        <f t="shared" si="88"/>
        <v>90.089668095509538</v>
      </c>
      <c r="M271" s="61">
        <f t="shared" si="88"/>
        <v>83.627607575036038</v>
      </c>
      <c r="N271" s="61">
        <f t="shared" si="88"/>
        <v>87.508964874585331</v>
      </c>
      <c r="O271" s="61">
        <f t="shared" si="88"/>
        <v>61.967191020694436</v>
      </c>
      <c r="P271" s="61">
        <f t="shared" si="88"/>
        <v>77.837226912195561</v>
      </c>
      <c r="Q271" s="61">
        <f t="shared" si="88"/>
        <v>88.102203926728521</v>
      </c>
      <c r="R271" s="61">
        <f t="shared" si="88"/>
        <v>80.21404596895843</v>
      </c>
      <c r="S271" s="61">
        <f t="shared" si="88"/>
        <v>81.347359336968211</v>
      </c>
      <c r="T271" s="61">
        <f t="shared" si="88"/>
        <v>82.86842188881252</v>
      </c>
      <c r="U271" s="61">
        <f t="shared" si="88"/>
        <v>85.398205738167334</v>
      </c>
      <c r="V271" s="61">
        <f t="shared" si="88"/>
        <v>86.431426883159816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70.648298601861441</v>
      </c>
      <c r="E273" s="60">
        <f t="shared" si="90"/>
        <v>50.138657310689204</v>
      </c>
      <c r="F273" s="60">
        <f t="shared" si="90"/>
        <v>23.584923122680713</v>
      </c>
      <c r="G273" s="60">
        <f t="shared" si="90"/>
        <v>11.050928863844318</v>
      </c>
      <c r="H273" s="60">
        <f t="shared" si="90"/>
        <v>94.812218679100198</v>
      </c>
      <c r="I273" s="60">
        <f t="shared" si="90"/>
        <v>37.13671171764399</v>
      </c>
      <c r="J273" s="60">
        <f t="shared" si="90"/>
        <v>71.689747000766502</v>
      </c>
      <c r="K273" s="60">
        <f t="shared" si="90"/>
        <v>85.989622317497492</v>
      </c>
      <c r="L273" s="60">
        <f t="shared" si="90"/>
        <v>62.359719399144787</v>
      </c>
      <c r="M273" s="60">
        <f t="shared" si="90"/>
        <v>62.738789533412806</v>
      </c>
      <c r="N273" s="60">
        <f t="shared" si="90"/>
        <v>51.324848497026977</v>
      </c>
      <c r="O273" s="60">
        <f t="shared" si="90"/>
        <v>68.390539616361536</v>
      </c>
      <c r="P273" s="60">
        <f t="shared" si="90"/>
        <v>52.791792959312886</v>
      </c>
      <c r="Q273" s="60">
        <f t="shared" si="90"/>
        <v>74.024372414158009</v>
      </c>
      <c r="R273" s="60">
        <f t="shared" si="90"/>
        <v>77.412019594198796</v>
      </c>
      <c r="S273" s="60">
        <f t="shared" si="90"/>
        <v>76.403207009963111</v>
      </c>
      <c r="T273" s="60">
        <f t="shared" si="90"/>
        <v>84.291745677423776</v>
      </c>
      <c r="U273" s="60">
        <f t="shared" si="90"/>
        <v>76.335886404424798</v>
      </c>
      <c r="V273" s="60">
        <f t="shared" si="90"/>
        <v>87.942958715364654</v>
      </c>
    </row>
    <row r="274" spans="3:22" x14ac:dyDescent="0.2">
      <c r="C274" s="88" t="s">
        <v>150</v>
      </c>
      <c r="D274" s="62">
        <f t="shared" ref="D274:V274" si="91">+IFERROR(IF(D235&gt;0,+((D235/D40)*100)," "),"")</f>
        <v>58.050528750604379</v>
      </c>
      <c r="E274" s="62">
        <f t="shared" si="91"/>
        <v>71.847889086077686</v>
      </c>
      <c r="F274" s="62">
        <f t="shared" si="91"/>
        <v>39.679254535895545</v>
      </c>
      <c r="G274" s="62">
        <f t="shared" si="91"/>
        <v>56.990783283590318</v>
      </c>
      <c r="H274" s="62">
        <f t="shared" si="91"/>
        <v>53.866046727135497</v>
      </c>
      <c r="I274" s="62">
        <f t="shared" si="91"/>
        <v>59.338985576148517</v>
      </c>
      <c r="J274" s="62">
        <f t="shared" si="91"/>
        <v>53.844088988973482</v>
      </c>
      <c r="K274" s="62">
        <f t="shared" si="91"/>
        <v>67.200670653721701</v>
      </c>
      <c r="L274" s="62">
        <f t="shared" si="91"/>
        <v>72.297088045918528</v>
      </c>
      <c r="M274" s="62">
        <f t="shared" si="91"/>
        <v>60.132464080495893</v>
      </c>
      <c r="N274" s="62">
        <f t="shared" si="91"/>
        <v>50.118106325326494</v>
      </c>
      <c r="O274" s="62">
        <f t="shared" si="91"/>
        <v>33.670527887992193</v>
      </c>
      <c r="P274" s="62">
        <f t="shared" si="91"/>
        <v>43.747965419839716</v>
      </c>
      <c r="Q274" s="62">
        <f t="shared" si="91"/>
        <v>52.631220595017339</v>
      </c>
      <c r="R274" s="62">
        <f t="shared" si="91"/>
        <v>60.94334335127639</v>
      </c>
      <c r="S274" s="62">
        <f t="shared" si="91"/>
        <v>59.374339496391272</v>
      </c>
      <c r="T274" s="62">
        <f t="shared" si="91"/>
        <v>48.55520794899175</v>
      </c>
      <c r="U274" s="62">
        <f t="shared" si="91"/>
        <v>57.414590140658326</v>
      </c>
      <c r="V274" s="62">
        <f t="shared" si="91"/>
        <v>70.146585988443633</v>
      </c>
    </row>
    <row r="275" spans="3:22" x14ac:dyDescent="0.2">
      <c r="C275" s="87" t="s">
        <v>151</v>
      </c>
      <c r="D275" s="60">
        <f t="shared" ref="D275:V275" si="92">+IFERROR(IF(D236&gt;0,+((D236/D41)*100)," "),"")</f>
        <v>25.47212579</v>
      </c>
      <c r="E275" s="60">
        <f t="shared" si="92"/>
        <v>1.8986253470201739</v>
      </c>
      <c r="F275" s="60">
        <f t="shared" si="92"/>
        <v>5.24451588730998</v>
      </c>
      <c r="G275" s="60" t="str">
        <f t="shared" si="92"/>
        <v xml:space="preserve"> </v>
      </c>
      <c r="H275" s="60" t="str">
        <f t="shared" si="92"/>
        <v xml:space="preserve"> </v>
      </c>
      <c r="I275" s="60" t="str">
        <f t="shared" si="92"/>
        <v xml:space="preserve"> </v>
      </c>
      <c r="J275" s="60" t="str">
        <f t="shared" si="92"/>
        <v xml:space="preserve"> </v>
      </c>
      <c r="K275" s="60" t="str">
        <f t="shared" si="92"/>
        <v xml:space="preserve"> 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202</v>
      </c>
      <c r="D276" s="64">
        <f t="shared" ref="D276:V276" si="93">+IFERROR(IF(D237&gt;0,+((D237/D42)*100)," "),"")</f>
        <v>66.706236590747253</v>
      </c>
      <c r="E276" s="64">
        <f t="shared" si="93"/>
        <v>72.187385134014065</v>
      </c>
      <c r="F276" s="64">
        <f t="shared" si="93"/>
        <v>64.099136331959954</v>
      </c>
      <c r="G276" s="64">
        <f t="shared" si="93"/>
        <v>69.710130385713427</v>
      </c>
      <c r="H276" s="64">
        <f t="shared" si="93"/>
        <v>68.494279177600788</v>
      </c>
      <c r="I276" s="64">
        <f t="shared" si="93"/>
        <v>66.926072509501751</v>
      </c>
      <c r="J276" s="64">
        <f t="shared" si="93"/>
        <v>70.824889428571808</v>
      </c>
      <c r="K276" s="64">
        <f t="shared" si="93"/>
        <v>73.297379148943847</v>
      </c>
      <c r="L276" s="64">
        <f t="shared" si="93"/>
        <v>79.564379286736369</v>
      </c>
      <c r="M276" s="64">
        <f t="shared" si="93"/>
        <v>79.580703625737996</v>
      </c>
      <c r="N276" s="64">
        <f t="shared" si="93"/>
        <v>74.768495420080598</v>
      </c>
      <c r="O276" s="64">
        <f t="shared" si="93"/>
        <v>62.737724579107038</v>
      </c>
      <c r="P276" s="64">
        <f t="shared" si="93"/>
        <v>74.61477617203191</v>
      </c>
      <c r="Q276" s="64">
        <f t="shared" si="93"/>
        <v>81.313763804677734</v>
      </c>
      <c r="R276" s="64">
        <f t="shared" si="93"/>
        <v>77.006702586635129</v>
      </c>
      <c r="S276" s="64">
        <f t="shared" si="93"/>
        <v>75.069724535706243</v>
      </c>
      <c r="T276" s="64">
        <f t="shared" si="93"/>
        <v>78.276619491060302</v>
      </c>
      <c r="U276" s="64">
        <f t="shared" si="93"/>
        <v>76.050903167496969</v>
      </c>
      <c r="V276" s="64">
        <f t="shared" si="93"/>
        <v>84.430104075100175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D2:V2"/>
    <mergeCell ref="K206:K207"/>
    <mergeCell ref="H245:H246"/>
    <mergeCell ref="D204:V204"/>
    <mergeCell ref="D51:D52"/>
    <mergeCell ref="A5:C6"/>
    <mergeCell ref="H206:H207"/>
    <mergeCell ref="I168:I169"/>
    <mergeCell ref="N51:N52"/>
    <mergeCell ref="K168:K169"/>
    <mergeCell ref="E129:E130"/>
    <mergeCell ref="O6:O7"/>
    <mergeCell ref="C11:C12"/>
    <mergeCell ref="E6:E7"/>
    <mergeCell ref="T129:T130"/>
    <mergeCell ref="E11:E12"/>
    <mergeCell ref="V90:V91"/>
    <mergeCell ref="T51:T52"/>
    <mergeCell ref="V51:V52"/>
    <mergeCell ref="L51:L52"/>
    <mergeCell ref="F90:F91"/>
    <mergeCell ref="D129:D130"/>
    <mergeCell ref="D4:V4"/>
    <mergeCell ref="Q206:Q207"/>
    <mergeCell ref="V6:V7"/>
    <mergeCell ref="Q51:Q52"/>
    <mergeCell ref="E90:E91"/>
    <mergeCell ref="M6:M7"/>
    <mergeCell ref="R129:R130"/>
    <mergeCell ref="E168:E169"/>
    <mergeCell ref="G168:G169"/>
    <mergeCell ref="S6:S7"/>
    <mergeCell ref="O11:O12"/>
    <mergeCell ref="T6:T7"/>
    <mergeCell ref="L11:L12"/>
    <mergeCell ref="N11:N12"/>
    <mergeCell ref="I90:I91"/>
    <mergeCell ref="P168:P169"/>
    <mergeCell ref="N90:N91"/>
    <mergeCell ref="J129:J130"/>
    <mergeCell ref="J51:J52"/>
    <mergeCell ref="V245:V246"/>
    <mergeCell ref="D206:D207"/>
    <mergeCell ref="C206:C207"/>
    <mergeCell ref="O245:O246"/>
    <mergeCell ref="S90:S91"/>
    <mergeCell ref="E206:E207"/>
    <mergeCell ref="Q245:Q246"/>
    <mergeCell ref="U90:U91"/>
    <mergeCell ref="K51:K52"/>
    <mergeCell ref="M51:M52"/>
    <mergeCell ref="D127:V127"/>
    <mergeCell ref="H168:H169"/>
    <mergeCell ref="G245:G246"/>
    <mergeCell ref="C90:C91"/>
    <mergeCell ref="D245:D246"/>
    <mergeCell ref="D242:V242"/>
    <mergeCell ref="U168:U169"/>
    <mergeCell ref="R206:R207"/>
    <mergeCell ref="N245:N246"/>
    <mergeCell ref="F245:F246"/>
    <mergeCell ref="P245:P246"/>
    <mergeCell ref="J90:J91"/>
    <mergeCell ref="O129:O130"/>
    <mergeCell ref="T90:T91"/>
    <mergeCell ref="K11:K12"/>
    <mergeCell ref="F51:F52"/>
    <mergeCell ref="H51:H52"/>
    <mergeCell ref="L206:L207"/>
    <mergeCell ref="R51:R52"/>
    <mergeCell ref="M168:M169"/>
    <mergeCell ref="G6:G7"/>
    <mergeCell ref="L129:L130"/>
    <mergeCell ref="O168:O169"/>
    <mergeCell ref="Q6:Q7"/>
    <mergeCell ref="I129:I130"/>
    <mergeCell ref="F6:F7"/>
    <mergeCell ref="L90:L91"/>
    <mergeCell ref="Q129:Q130"/>
    <mergeCell ref="L88:Q88"/>
    <mergeCell ref="R168:R169"/>
    <mergeCell ref="H6:H7"/>
    <mergeCell ref="J6:J7"/>
    <mergeCell ref="R90:R91"/>
    <mergeCell ref="A7:C7"/>
    <mergeCell ref="I11:I12"/>
    <mergeCell ref="F168:F169"/>
    <mergeCell ref="D90:D91"/>
    <mergeCell ref="D87:V87"/>
    <mergeCell ref="S11:S12"/>
    <mergeCell ref="U11:U12"/>
    <mergeCell ref="C129:C130"/>
    <mergeCell ref="V11:V12"/>
    <mergeCell ref="C51:C52"/>
    <mergeCell ref="G129:G130"/>
    <mergeCell ref="O51:O52"/>
    <mergeCell ref="D168:D169"/>
    <mergeCell ref="V168:V169"/>
    <mergeCell ref="S129:S130"/>
    <mergeCell ref="U129:U130"/>
    <mergeCell ref="F11:F12"/>
    <mergeCell ref="S51:S52"/>
    <mergeCell ref="L166:Q166"/>
    <mergeCell ref="E51:E52"/>
    <mergeCell ref="M11:M12"/>
    <mergeCell ref="F129:F130"/>
    <mergeCell ref="H129:H130"/>
    <mergeCell ref="Q11:Q12"/>
    <mergeCell ref="G11:G12"/>
    <mergeCell ref="V129:V130"/>
    <mergeCell ref="S168:S169"/>
    <mergeCell ref="P129:P130"/>
    <mergeCell ref="U6:U7"/>
    <mergeCell ref="P51:P52"/>
    <mergeCell ref="V206:V207"/>
    <mergeCell ref="D11:D12"/>
    <mergeCell ref="P90:P91"/>
    <mergeCell ref="P11:P12"/>
    <mergeCell ref="L6:L7"/>
    <mergeCell ref="N6:N7"/>
    <mergeCell ref="J206:J207"/>
    <mergeCell ref="G206:G207"/>
    <mergeCell ref="S206:S207"/>
    <mergeCell ref="U206:U207"/>
    <mergeCell ref="P206:P207"/>
    <mergeCell ref="I206:I207"/>
    <mergeCell ref="N168:N169"/>
    <mergeCell ref="D48:V48"/>
    <mergeCell ref="O90:O91"/>
    <mergeCell ref="R11:R12"/>
    <mergeCell ref="D6:D7"/>
    <mergeCell ref="F206:F207"/>
    <mergeCell ref="K90:K91"/>
    <mergeCell ref="J168:J169"/>
    <mergeCell ref="H90:H91"/>
    <mergeCell ref="L168:L169"/>
    <mergeCell ref="S245:S246"/>
    <mergeCell ref="K245:K246"/>
    <mergeCell ref="I245:I246"/>
    <mergeCell ref="U51:U52"/>
    <mergeCell ref="C245:C246"/>
    <mergeCell ref="G90:G91"/>
    <mergeCell ref="C168:C169"/>
    <mergeCell ref="R245:R246"/>
    <mergeCell ref="T245:T246"/>
    <mergeCell ref="L243:Q243"/>
    <mergeCell ref="L245:L246"/>
    <mergeCell ref="M245:M246"/>
    <mergeCell ref="T168:T169"/>
    <mergeCell ref="U245:U246"/>
    <mergeCell ref="T11:T12"/>
    <mergeCell ref="G51:G52"/>
    <mergeCell ref="Q90:Q91"/>
    <mergeCell ref="I51:I52"/>
    <mergeCell ref="M206:M207"/>
    <mergeCell ref="N206:N207"/>
    <mergeCell ref="I6:I7"/>
    <mergeCell ref="N129:N130"/>
    <mergeCell ref="Q168:Q169"/>
    <mergeCell ref="K6:K7"/>
    <mergeCell ref="O206:O207"/>
    <mergeCell ref="J245:J246"/>
    <mergeCell ref="D165:V165"/>
    <mergeCell ref="D9:V9"/>
    <mergeCell ref="K129:K130"/>
    <mergeCell ref="M129:M130"/>
    <mergeCell ref="P6:P7"/>
    <mergeCell ref="R6:R7"/>
    <mergeCell ref="T206:T207"/>
    <mergeCell ref="H11:H12"/>
    <mergeCell ref="J11:J12"/>
    <mergeCell ref="M90:M91"/>
    <mergeCell ref="E245:E246"/>
  </mergeCells>
  <pageMargins left="0.7" right="0.7" top="0.75" bottom="0.75" header="0.3" footer="0.3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1:K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79"/>
      <c r="E2" s="178"/>
      <c r="F2" s="178"/>
      <c r="G2" s="178"/>
      <c r="H2" s="178"/>
      <c r="I2" s="178"/>
      <c r="J2" s="178"/>
      <c r="K2" s="178"/>
    </row>
    <row r="3" spans="1:11" ht="16.5" customHeight="1" x14ac:dyDescent="0.2">
      <c r="D3" s="156"/>
      <c r="E3" s="178"/>
      <c r="F3" s="178"/>
      <c r="G3" s="178"/>
      <c r="H3" s="178"/>
      <c r="I3" s="178"/>
      <c r="J3" s="178"/>
      <c r="K3" s="178"/>
    </row>
    <row r="4" spans="1:11" ht="16.5" customHeight="1" x14ac:dyDescent="0.2">
      <c r="D4" s="156"/>
      <c r="E4" s="178"/>
      <c r="F4" s="178"/>
      <c r="G4" s="178"/>
      <c r="H4" s="178"/>
      <c r="I4" s="178"/>
      <c r="J4" s="178"/>
      <c r="K4" s="178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1"/>
      <c r="E6" s="178"/>
      <c r="F6" s="178"/>
      <c r="G6" s="178"/>
      <c r="H6" s="178"/>
      <c r="I6" s="178"/>
      <c r="J6" s="178"/>
      <c r="K6" s="178"/>
    </row>
    <row r="7" spans="1:11" ht="21" customHeight="1" x14ac:dyDescent="0.2">
      <c r="A7" s="165" t="s">
        <v>225</v>
      </c>
      <c r="B7" s="156"/>
      <c r="C7" s="156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" customHeight="1" x14ac:dyDescent="0.25">
      <c r="A8" s="175"/>
      <c r="B8" s="175"/>
      <c r="C8" s="175"/>
      <c r="D8" s="151">
        <v>2019</v>
      </c>
      <c r="E8" s="151">
        <v>2020</v>
      </c>
      <c r="F8" s="151">
        <v>2021</v>
      </c>
      <c r="G8" s="151">
        <v>2022</v>
      </c>
      <c r="H8" s="151">
        <v>2023</v>
      </c>
      <c r="I8" s="151">
        <v>2024</v>
      </c>
      <c r="J8" s="151">
        <v>2025</v>
      </c>
      <c r="K8" s="151" t="s">
        <v>10</v>
      </c>
    </row>
    <row r="9" spans="1:11" s="102" customFormat="1" ht="16.5" customHeight="1" x14ac:dyDescent="0.25">
      <c r="A9" s="162" t="s">
        <v>227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D11" s="155" t="s">
        <v>218</v>
      </c>
      <c r="E11" s="178"/>
      <c r="F11" s="178"/>
      <c r="G11" s="178"/>
      <c r="H11" s="178"/>
      <c r="I11" s="178"/>
      <c r="J11" s="178"/>
      <c r="K11" s="178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76" t="s">
        <v>120</v>
      </c>
      <c r="D13" s="153">
        <v>2019</v>
      </c>
      <c r="E13" s="153">
        <v>2020</v>
      </c>
      <c r="F13" s="153">
        <v>2021</v>
      </c>
      <c r="G13" s="153">
        <v>2022</v>
      </c>
      <c r="H13" s="153">
        <v>2023</v>
      </c>
      <c r="I13" s="153">
        <v>2024</v>
      </c>
      <c r="J13" s="153">
        <v>2025</v>
      </c>
      <c r="K13" s="153" t="s">
        <v>10</v>
      </c>
    </row>
    <row r="14" spans="1:11" ht="9.9499999999999993" customHeight="1" thickBot="1" x14ac:dyDescent="0.25">
      <c r="C14" s="160"/>
      <c r="D14" s="154"/>
      <c r="E14" s="154"/>
      <c r="F14" s="154"/>
      <c r="G14" s="154"/>
      <c r="H14" s="154"/>
      <c r="I14" s="154"/>
      <c r="J14" s="154"/>
      <c r="K14" s="154"/>
    </row>
    <row r="15" spans="1:11" x14ac:dyDescent="0.2">
      <c r="C15" s="87" t="s">
        <v>123</v>
      </c>
      <c r="D15" s="42">
        <f>59.391623*Deflactores!$T$5</f>
        <v>92.171409615699531</v>
      </c>
      <c r="E15" s="42">
        <f>81.318970766*Deflactores!$U$5</f>
        <v>124.20139044302711</v>
      </c>
      <c r="F15" s="42">
        <f>78.364837857*Deflactores!$V$5</f>
        <v>113.3208075572374</v>
      </c>
      <c r="G15" s="42">
        <f>65.195648766*Deflactores!$W$5</f>
        <v>83.342713518235911</v>
      </c>
      <c r="H15" s="42">
        <f>68.389490579*Deflactores!$X$5</f>
        <v>80.001422164644566</v>
      </c>
      <c r="I15" s="42">
        <f>110.863673223*Deflactores!$Y$5</f>
        <v>123.27694482180166</v>
      </c>
      <c r="J15" s="42">
        <f>96.667726576*Deflactores!$Z$5</f>
        <v>102.27445471740801</v>
      </c>
      <c r="K15" s="42">
        <f>73.028282*Deflactores!$AA$5</f>
        <v>73.028282000000004</v>
      </c>
    </row>
    <row r="16" spans="1:11" x14ac:dyDescent="0.2">
      <c r="C16" s="88" t="s">
        <v>124</v>
      </c>
      <c r="D16" s="50">
        <f>99.242829765*Deflactores!$T$5</f>
        <v>154.01753735019082</v>
      </c>
      <c r="E16" s="50">
        <f>117.842227316*Deflactores!$U$5</f>
        <v>179.98467451914615</v>
      </c>
      <c r="F16" s="50">
        <f>148.185412378*Deflactores!$V$5</f>
        <v>214.28603769359043</v>
      </c>
      <c r="G16" s="50">
        <f>162.973423239*Deflactores!$W$5</f>
        <v>208.33671542781909</v>
      </c>
      <c r="H16" s="50">
        <f>168.777201513*Deflactores!$X$5</f>
        <v>197.43407993968765</v>
      </c>
      <c r="I16" s="50">
        <f>186.024608301*Deflactores!$Y$5</f>
        <v>206.85355902732269</v>
      </c>
      <c r="J16" s="50">
        <f>168.587778784*Deflactores!$Z$5</f>
        <v>178.36586995347201</v>
      </c>
      <c r="K16" s="50">
        <f>193.984717302*Deflactores!$AA$5</f>
        <v>193.98471730200001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146.24565314*Deflactores!$T$5</f>
        <v>226.96244553011209</v>
      </c>
      <c r="E18" s="50">
        <f>175.630802447*Deflactores!$U$5</f>
        <v>268.24724493023729</v>
      </c>
      <c r="F18" s="50">
        <f>174.734708762*Deflactores!$V$5</f>
        <v>252.6780996002505</v>
      </c>
      <c r="G18" s="50">
        <f>182.077310778*Deflactores!$W$5</f>
        <v>232.75812784388512</v>
      </c>
      <c r="H18" s="50">
        <f>183.877402642*Deflactores!$X$5</f>
        <v>215.09816187778466</v>
      </c>
      <c r="I18" s="50">
        <f>155.509392449*Deflactores!$Y$5</f>
        <v>172.92159131012878</v>
      </c>
      <c r="J18" s="50">
        <f>171.082892829*Deflactores!$Z$5</f>
        <v>181.00570061308201</v>
      </c>
      <c r="K18" s="50">
        <f>124.881488837*Deflactores!$AA$5</f>
        <v>124.88148883700001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7.07286005*Deflactores!$T$5</f>
        <v>10.976556084737187</v>
      </c>
      <c r="E20" s="50">
        <f>7.7576333*Deflactores!$U$5</f>
        <v>11.848512509826037</v>
      </c>
      <c r="F20" s="50">
        <f>11.11824477*Deflactores!$V$5</f>
        <v>16.077727082834603</v>
      </c>
      <c r="G20" s="50">
        <f>18.472189792*Deflactores!$W$5</f>
        <v>23.613882997234775</v>
      </c>
      <c r="H20" s="50">
        <f>11.95724385*Deflactores!$X$5</f>
        <v>13.987478267065597</v>
      </c>
      <c r="I20" s="50">
        <f>14.934398786*Deflactores!$Y$5</f>
        <v>16.60658538153643</v>
      </c>
      <c r="J20" s="50">
        <f>15.686940053*Deflactores!$Z$5</f>
        <v>16.596782576074002</v>
      </c>
      <c r="K20" s="50">
        <f>19.565566*Deflactores!$AA$5</f>
        <v>19.565566</v>
      </c>
    </row>
    <row r="21" spans="3:11" x14ac:dyDescent="0.2">
      <c r="C21" s="87" t="s">
        <v>129</v>
      </c>
      <c r="D21" s="42">
        <f>76.761977774*Deflactores!$T$5</f>
        <v>119.12891648572354</v>
      </c>
      <c r="E21" s="42">
        <f>54.46401429*Deflactores!$U$5</f>
        <v>83.184848999038024</v>
      </c>
      <c r="F21" s="42">
        <f>75.56736*Deflactores!$V$5</f>
        <v>109.27546708888585</v>
      </c>
      <c r="G21" s="42">
        <f>59.99249*Deflactores!$W$5</f>
        <v>76.691267008652503</v>
      </c>
      <c r="H21" s="42">
        <f>62.572*Deflactores!$X$5</f>
        <v>73.19617305678922</v>
      </c>
      <c r="I21" s="42">
        <f>90.384*Deflactores!$Y$5</f>
        <v>100.50418732167829</v>
      </c>
      <c r="J21" s="42">
        <f>109.293352333*Deflactores!$Z$5</f>
        <v>115.632366768314</v>
      </c>
      <c r="K21" s="42">
        <f>127.079*Deflactores!$AA$5</f>
        <v>127.07899999999999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9.339122385*Deflactores!$T$5</f>
        <v>14.493627742737113</v>
      </c>
      <c r="E23" s="42">
        <f>9.88740022*Deflactores!$U$5</f>
        <v>15.101382169781949</v>
      </c>
      <c r="F23" s="42">
        <f>11.457057952*Deflactores!$V$5</f>
        <v>16.567673651285872</v>
      </c>
      <c r="G23" s="42">
        <f>12.50188021*Deflactores!$W$5</f>
        <v>15.981750937413976</v>
      </c>
      <c r="H23" s="42">
        <f>16.69928271*Deflactores!$X$5</f>
        <v>19.534673450831171</v>
      </c>
      <c r="I23" s="42">
        <f>19.13968724*Deflactores!$Y$5</f>
        <v>21.282734904931136</v>
      </c>
      <c r="J23" s="42">
        <f>21.947315159*Deflactores!$Z$5</f>
        <v>23.220259438222001</v>
      </c>
      <c r="K23" s="42">
        <f>42.126861*Deflactores!$AA$5</f>
        <v>42.126860999999998</v>
      </c>
    </row>
    <row r="24" spans="3:11" x14ac:dyDescent="0.2">
      <c r="C24" s="88" t="s">
        <v>132</v>
      </c>
      <c r="D24" s="50">
        <f>306.447195691*Deflactores!$T$5</f>
        <v>475.58340002962353</v>
      </c>
      <c r="E24" s="50">
        <f>239.56302749*Deflactores!$U$5</f>
        <v>365.89323294091042</v>
      </c>
      <c r="F24" s="50">
        <f>314.24202685*Deflactores!$V$5</f>
        <v>454.4150313441142</v>
      </c>
      <c r="G24" s="50">
        <f>317.604086413*Deflactores!$W$5</f>
        <v>406.00848196396794</v>
      </c>
      <c r="H24" s="50">
        <f>373.177739472*Deflactores!$X$5</f>
        <v>436.54002428137045</v>
      </c>
      <c r="I24" s="50">
        <f>356.860313055*Deflactores!$Y$5</f>
        <v>396.81753132138959</v>
      </c>
      <c r="J24" s="50">
        <f>380.548154145*Deflactores!$Z$5</f>
        <v>402.61994708541005</v>
      </c>
      <c r="K24" s="50">
        <f>401.422826*Deflactores!$AA$5</f>
        <v>401.42282599999999</v>
      </c>
    </row>
    <row r="25" spans="3:11" x14ac:dyDescent="0.2">
      <c r="C25" s="87" t="s">
        <v>133</v>
      </c>
      <c r="D25" s="42">
        <f>58.206*Deflactores!$T$5</f>
        <v>90.331410342017534</v>
      </c>
      <c r="E25" s="42">
        <f>51.042373*Deflactores!$U$5</f>
        <v>77.958853123633304</v>
      </c>
      <c r="F25" s="42">
        <f>78.565592597*Deflactores!$V$5</f>
        <v>113.61111236587183</v>
      </c>
      <c r="G25" s="42">
        <f>29.7269408*Deflactores!$W$5</f>
        <v>38.001369075416044</v>
      </c>
      <c r="H25" s="42">
        <f>40.816742393*Deflactores!$X$5</f>
        <v>47.747064818327893</v>
      </c>
      <c r="I25" s="42">
        <f>28.465002476*Deflactores!$Y$5</f>
        <v>31.652194425561383</v>
      </c>
      <c r="J25" s="42">
        <f>20.470647*Deflactores!$Z$5</f>
        <v>21.657944526000001</v>
      </c>
      <c r="K25" s="42">
        <f>16.386816014*Deflactores!$AA$5</f>
        <v>16.386816014000001</v>
      </c>
    </row>
    <row r="26" spans="3:11" x14ac:dyDescent="0.2">
      <c r="C26" s="88" t="s">
        <v>134</v>
      </c>
      <c r="D26" s="50">
        <f>37.505*Deflactores!$T$5</f>
        <v>58.204988229346938</v>
      </c>
      <c r="E26" s="50">
        <f>46.194195675*Deflactores!$U$5</f>
        <v>70.554057425811735</v>
      </c>
      <c r="F26" s="50">
        <f>74.344*Deflactores!$V$5</f>
        <v>107.50640653922711</v>
      </c>
      <c r="G26" s="50">
        <f>81.407244824*Deflactores!$W$5</f>
        <v>104.06677151150301</v>
      </c>
      <c r="H26" s="50">
        <f>80.807081827*Deflactores!$X$5</f>
        <v>94.527410752784306</v>
      </c>
      <c r="I26" s="50">
        <f>74.701453895*Deflactores!$Y$5</f>
        <v>83.065685469383894</v>
      </c>
      <c r="J26" s="50">
        <f>68.772648393*Deflactores!$Z$5</f>
        <v>72.761461999793994</v>
      </c>
      <c r="K26" s="50">
        <f>80.609269*Deflactores!$AA$5</f>
        <v>80.609268999999998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3467.445760163*Deflactores!$Y$5</f>
        <v>3855.6914742341714</v>
      </c>
      <c r="J27" s="42">
        <f>3248.117676305*Deflactores!$Z$5</f>
        <v>3436.50850153069</v>
      </c>
      <c r="K27" s="42">
        <f>3354.689231911*Deflactores!$AA$5</f>
        <v>3354.6892319110002</v>
      </c>
    </row>
    <row r="28" spans="3:11" x14ac:dyDescent="0.2">
      <c r="C28" s="88" t="s">
        <v>136</v>
      </c>
      <c r="D28" s="50">
        <f>2006.944970603*Deflactores!$T$5</f>
        <v>3114.6302730541165</v>
      </c>
      <c r="E28" s="50">
        <f>1946.901031124*Deflactores!$U$5</f>
        <v>2973.5720071566057</v>
      </c>
      <c r="F28" s="50">
        <f>2243.849*Deflactores!$V$5</f>
        <v>3244.756036891185</v>
      </c>
      <c r="G28" s="50">
        <f>2452.423*Deflactores!$W$5</f>
        <v>3135.0495222178738</v>
      </c>
      <c r="H28" s="50">
        <f>3038.367727041*Deflactores!$X$5</f>
        <v>3554.2557367297886</v>
      </c>
      <c r="I28" s="50">
        <f>0*Deflactores!$Y$5</f>
        <v>0</v>
      </c>
      <c r="J28" s="50">
        <f>0*Deflactores!$Z$5</f>
        <v>0</v>
      </c>
      <c r="K28" s="50">
        <f>0*Deflactores!$AA$5</f>
        <v>0</v>
      </c>
    </row>
    <row r="29" spans="3:11" x14ac:dyDescent="0.2">
      <c r="C29" s="87" t="s">
        <v>137</v>
      </c>
      <c r="D29" s="42">
        <f>41.208440557*Deflactores!$T$5</f>
        <v>63.952454274628131</v>
      </c>
      <c r="E29" s="42">
        <f>32.647898069*Deflactores!$U$5</f>
        <v>49.864309607167414</v>
      </c>
      <c r="F29" s="42">
        <f>100.295438877*Deflactores!$V$5</f>
        <v>145.03392642232012</v>
      </c>
      <c r="G29" s="42">
        <f>86.527398775*Deflactores!$W$5</f>
        <v>110.61210899927102</v>
      </c>
      <c r="H29" s="42">
        <f>49.690029584*Deflactores!$X$5</f>
        <v>58.126957818631979</v>
      </c>
      <c r="I29" s="42">
        <f>57.064031157*Deflactores!$Y$5</f>
        <v>63.453421808430853</v>
      </c>
      <c r="J29" s="42">
        <f>51.236914025*Deflactores!$Z$5</f>
        <v>54.208655038449997</v>
      </c>
      <c r="K29" s="42">
        <f>52.788446*Deflactores!$AA$5</f>
        <v>52.788446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0*Deflactores!$T$5</f>
        <v>0</v>
      </c>
      <c r="E31" s="42">
        <f>0*Deflactores!$U$5</f>
        <v>0</v>
      </c>
      <c r="F31" s="42">
        <f>0*Deflactores!$V$5</f>
        <v>0</v>
      </c>
      <c r="G31" s="42">
        <f>0*Deflactores!$W$5</f>
        <v>0</v>
      </c>
      <c r="H31" s="42">
        <f>0*Deflactores!$X$5</f>
        <v>0</v>
      </c>
      <c r="I31" s="42">
        <f>0*Deflactores!$Y$5</f>
        <v>0</v>
      </c>
      <c r="J31" s="42">
        <f>0*Deflactores!$Z$5</f>
        <v>0</v>
      </c>
      <c r="K31" s="42">
        <f>0*Deflactores!$AA$5</f>
        <v>0</v>
      </c>
    </row>
    <row r="32" spans="3:11" x14ac:dyDescent="0.2">
      <c r="C32" s="88" t="s">
        <v>161</v>
      </c>
      <c r="D32" s="50">
        <f>62.809290072*Deflactores!$T$5</f>
        <v>97.475376332072983</v>
      </c>
      <c r="E32" s="50">
        <f>52.303111521*Deflactores!$U$5</f>
        <v>79.884424436431516</v>
      </c>
      <c r="F32" s="50">
        <f>69.274*Deflactores!$V$5</f>
        <v>100.17484674753067</v>
      </c>
      <c r="G32" s="50">
        <f>196.276714329*Deflactores!$W$5</f>
        <v>250.90990399275557</v>
      </c>
      <c r="H32" s="50">
        <f>154.81551*Deflactores!$X$5</f>
        <v>181.10181649675704</v>
      </c>
      <c r="I32" s="50">
        <f>141.838844636*Deflactores!$Y$5</f>
        <v>157.72036876866446</v>
      </c>
      <c r="J32" s="50">
        <f>260.597100884*Deflactores!$Z$5</f>
        <v>275.71173273527199</v>
      </c>
      <c r="K32" s="50">
        <f>183.564248162*Deflactores!$AA$5</f>
        <v>183.56424816200001</v>
      </c>
    </row>
    <row r="33" spans="1:11" x14ac:dyDescent="0.2">
      <c r="C33" s="87" t="s">
        <v>140</v>
      </c>
      <c r="D33" s="42">
        <f>309.107080199*Deflactores!$T$5</f>
        <v>479.71134420985453</v>
      </c>
      <c r="E33" s="42">
        <f>171.646519202*Deflactores!$U$5</f>
        <v>262.1619057493981</v>
      </c>
      <c r="F33" s="42">
        <f>506.819686674*Deflactores!$V$5</f>
        <v>732.8952340156402</v>
      </c>
      <c r="G33" s="42">
        <f>496.931818545*Deflactores!$W$5</f>
        <v>635.25169202228233</v>
      </c>
      <c r="H33" s="42">
        <f>543.074729679*Deflactores!$X$5</f>
        <v>635.2840231469844</v>
      </c>
      <c r="I33" s="42">
        <f>567.825246759*Deflactores!$Y$5</f>
        <v>631.40395386622345</v>
      </c>
      <c r="J33" s="42">
        <f>522.887496808*Deflactores!$Z$5</f>
        <v>553.21497162286403</v>
      </c>
      <c r="K33" s="42">
        <f>512.078245832*Deflactores!$AA$5</f>
        <v>512.07824583199999</v>
      </c>
    </row>
    <row r="34" spans="1:11" x14ac:dyDescent="0.2">
      <c r="C34" s="88" t="s">
        <v>141</v>
      </c>
      <c r="D34" s="50">
        <f>0*Deflactores!$T$5</f>
        <v>0</v>
      </c>
      <c r="E34" s="50">
        <f>0*Deflactores!$U$5</f>
        <v>0</v>
      </c>
      <c r="F34" s="50">
        <f>0*Deflactores!$V$5</f>
        <v>0</v>
      </c>
      <c r="G34" s="50">
        <f>0*Deflactores!$W$5</f>
        <v>0</v>
      </c>
      <c r="H34" s="50">
        <f>0*Deflactores!$X$5</f>
        <v>0</v>
      </c>
      <c r="I34" s="50">
        <f>0*Deflactores!$Y$5</f>
        <v>0</v>
      </c>
      <c r="J34" s="50">
        <f>0.898818033*Deflactores!$Z$5</f>
        <v>0.95094947891400006</v>
      </c>
      <c r="K34" s="50">
        <f>1.041226669*Deflactores!$AA$5</f>
        <v>1.041226669</v>
      </c>
    </row>
    <row r="35" spans="1:11" x14ac:dyDescent="0.2">
      <c r="C35" s="87" t="s">
        <v>142</v>
      </c>
      <c r="D35" s="42">
        <f>22.542054681*Deflactores!$T$5</f>
        <v>34.983602916221834</v>
      </c>
      <c r="E35" s="42">
        <f>22.69055155*Deflactores!$U$5</f>
        <v>34.656095937794269</v>
      </c>
      <c r="F35" s="42">
        <f>23.534*Deflactores!$V$5</f>
        <v>34.031741250056108</v>
      </c>
      <c r="G35" s="42">
        <f>29.22694107*Deflactores!$W$5</f>
        <v>37.362195525565312</v>
      </c>
      <c r="H35" s="42">
        <f>29.9945*Deflactores!$X$5</f>
        <v>35.087301233009399</v>
      </c>
      <c r="I35" s="42">
        <f>33.032*Deflactores!$Y$5</f>
        <v>36.730553146681679</v>
      </c>
      <c r="J35" s="42">
        <f>38.078*Deflactores!$Z$5</f>
        <v>40.286524000000007</v>
      </c>
      <c r="K35" s="42">
        <f>33.195536331*Deflactores!$AA$5</f>
        <v>33.195536331</v>
      </c>
    </row>
    <row r="36" spans="1:11" x14ac:dyDescent="0.2">
      <c r="C36" s="88" t="s">
        <v>143</v>
      </c>
      <c r="D36" s="50">
        <f>65.340976861*Deflactores!$T$5</f>
        <v>101.40436712674405</v>
      </c>
      <c r="E36" s="50">
        <f>37.175760739*Deflactores!$U$5</f>
        <v>56.779877205376685</v>
      </c>
      <c r="F36" s="50">
        <f>140.242395277*Deflactores!$V$5</f>
        <v>202.79990262407389</v>
      </c>
      <c r="G36" s="50">
        <f>129.934163842*Deflactores!$W$5</f>
        <v>166.10105119412154</v>
      </c>
      <c r="H36" s="50">
        <f>85.554953356*Deflactores!$X$5</f>
        <v>100.08142894124057</v>
      </c>
      <c r="I36" s="50">
        <f>56.133921012*Deflactores!$Y$5</f>
        <v>62.419168353805333</v>
      </c>
      <c r="J36" s="50">
        <f>8.979918869*Deflactores!$Z$5</f>
        <v>9.5007541634020001</v>
      </c>
      <c r="K36" s="50">
        <f>54.001583605*Deflactores!$AA$5</f>
        <v>54.001583605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49.833491261*Deflactores!$T$5</f>
        <v>77.33789554122832</v>
      </c>
      <c r="E38" s="50">
        <f>30.764101275*Deflactores!$U$5</f>
        <v>46.987118972276335</v>
      </c>
      <c r="F38" s="50">
        <f>54.61645*Deflactores!$V$5</f>
        <v>78.979047097672591</v>
      </c>
      <c r="G38" s="50">
        <f>62.857344513*Deflactores!$W$5</f>
        <v>80.353547444044111</v>
      </c>
      <c r="H38" s="50">
        <f>92.715015196*Deflactores!$X$5</f>
        <v>108.45720605461321</v>
      </c>
      <c r="I38" s="50">
        <f>123.506622398*Deflactores!$Y$5</f>
        <v>137.33550974681779</v>
      </c>
      <c r="J38" s="50">
        <f>164.063830267*Deflactores!$Z$5</f>
        <v>173.57953242248598</v>
      </c>
      <c r="K38" s="50">
        <f>170.662621432*Deflactores!$AA$5</f>
        <v>170.66262143200001</v>
      </c>
    </row>
    <row r="39" spans="1:11" x14ac:dyDescent="0.2">
      <c r="C39" s="87" t="s">
        <v>146</v>
      </c>
      <c r="D39" s="42">
        <f>9.18*Deflactores!$T$5</f>
        <v>14.246681561002662</v>
      </c>
      <c r="E39" s="42">
        <f>3.126532629*Deflactores!$U$5</f>
        <v>4.7752657975062824</v>
      </c>
      <c r="F39" s="42">
        <f>1.166273946*Deflactores!$V$5</f>
        <v>1.6865102896640565</v>
      </c>
      <c r="G39" s="42">
        <f>4.308*Deflactores!$W$5</f>
        <v>5.5071222793598826</v>
      </c>
      <c r="H39" s="42">
        <f>30.520829316*Deflactores!$X$5</f>
        <v>35.702996619105377</v>
      </c>
      <c r="I39" s="42">
        <f>67.387371775*Deflactores!$Y$5</f>
        <v>74.932654407751116</v>
      </c>
      <c r="J39" s="42">
        <f>168.91291403*Deflactores!$Z$5</f>
        <v>178.70986304374</v>
      </c>
      <c r="K39" s="42">
        <f>191.092961587*Deflactores!$AA$5</f>
        <v>191.09296158699999</v>
      </c>
    </row>
    <row r="40" spans="1:11" x14ac:dyDescent="0.2">
      <c r="C40" s="88" t="s">
        <v>162</v>
      </c>
      <c r="D40" s="50">
        <f>122.04812109*Deflactores!$T$5</f>
        <v>189.40966408365176</v>
      </c>
      <c r="E40" s="50">
        <f>120.039074013*Deflactores!$U$5</f>
        <v>183.33999753648629</v>
      </c>
      <c r="F40" s="50">
        <f>131.184513934*Deflactores!$V$5</f>
        <v>189.70159914235862</v>
      </c>
      <c r="G40" s="50">
        <f>157.6052207*Deflactores!$W$5</f>
        <v>201.47428557576634</v>
      </c>
      <c r="H40" s="50">
        <f>180.119216*Deflactores!$X$5</f>
        <v>210.70186833071017</v>
      </c>
      <c r="I40" s="50">
        <f>182.916876989*Deflactores!$Y$5</f>
        <v>203.39785879357896</v>
      </c>
      <c r="J40" s="50">
        <f>148.757396579*Deflactores!$Z$5</f>
        <v>157.38532558058199</v>
      </c>
      <c r="K40" s="50">
        <f>402.012049*Deflactores!$AA$5</f>
        <v>402.01204899999999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1126.589832872*Deflactores!$T$5</f>
        <v>1748.3841610882998</v>
      </c>
      <c r="E42" s="50">
        <f>1268.783313599*Deflactores!$U$5</f>
        <v>1937.858414039277</v>
      </c>
      <c r="F42" s="50">
        <f>1606.674211183*Deflactores!$V$5</f>
        <v>2323.3585887701984</v>
      </c>
      <c r="G42" s="50">
        <f>1565.590897309*Deflactores!$W$5</f>
        <v>2001.3696636335712</v>
      </c>
      <c r="H42" s="50">
        <f>1495.299573094*Deflactores!$X$5</f>
        <v>1749.1882363346458</v>
      </c>
      <c r="I42" s="50">
        <f>2453.682613618*Deflactores!$Y$5</f>
        <v>2728.4184925098316</v>
      </c>
      <c r="J42" s="50">
        <f>1395.728136921*Deflactores!$Z$5</f>
        <v>1476.6803688624182</v>
      </c>
      <c r="K42" s="50">
        <f>1507.851472581*Deflactores!$AA$5</f>
        <v>1507.8514725810001</v>
      </c>
    </row>
    <row r="43" spans="1:11" x14ac:dyDescent="0.2">
      <c r="C43" s="87" t="s">
        <v>163</v>
      </c>
      <c r="D43" s="42">
        <f>1569.718*Deflactores!$T$5</f>
        <v>2436.0863275135052</v>
      </c>
      <c r="E43" s="42">
        <f>1523.399885081*Deflactores!$U$5</f>
        <v>2326.743466444821</v>
      </c>
      <c r="F43" s="42">
        <f>1612.14226607*Deflactores!$V$5</f>
        <v>2331.2657626061591</v>
      </c>
      <c r="G43" s="42">
        <f>1665.025032*Deflactores!$W$5</f>
        <v>2128.4810699672939</v>
      </c>
      <c r="H43" s="42">
        <f>2193.285850138*Deflactores!$X$5</f>
        <v>2565.6864196399047</v>
      </c>
      <c r="I43" s="42">
        <f>2160.31034*Deflactores!$Y$5</f>
        <v>2402.1976797255988</v>
      </c>
      <c r="J43" s="42">
        <f>2942.420134867*Deflactores!$Z$5</f>
        <v>3113.0805026892858</v>
      </c>
      <c r="K43" s="42">
        <f>2916.330264*Deflactores!$AA$5</f>
        <v>2916.3302640000002</v>
      </c>
    </row>
    <row r="44" spans="1:11" x14ac:dyDescent="0.2">
      <c r="C44" s="88" t="s">
        <v>150</v>
      </c>
      <c r="D44" s="50">
        <f>2143.073694073*Deflactores!$T$5</f>
        <v>3325.8919914182643</v>
      </c>
      <c r="E44" s="50">
        <f>2137.772616813*Deflactores!$U$5</f>
        <v>3265.0970487961026</v>
      </c>
      <c r="F44" s="50">
        <f>2737.910385*Deflactores!$V$5</f>
        <v>3959.2019116240972</v>
      </c>
      <c r="G44" s="50">
        <f>2614.371402011*Deflactores!$W$5</f>
        <v>3342.0759040241674</v>
      </c>
      <c r="H44" s="50">
        <f>2483.922056545*Deflactores!$X$5</f>
        <v>2905.6700874263825</v>
      </c>
      <c r="I44" s="50">
        <f>3168.695512848*Deflactores!$Y$5</f>
        <v>3523.4905225331568</v>
      </c>
      <c r="J44" s="50">
        <f>3780.044804515*Deflactores!$Z$5</f>
        <v>3999.2874031768702</v>
      </c>
      <c r="K44" s="50">
        <f>5543.515783918*Deflactores!$AA$5</f>
        <v>5543.5157839180001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202</v>
      </c>
      <c r="D46" s="44">
        <f t="shared" ref="D46:K46" si="0">+SUM(D15:D45)</f>
        <v>12925.384430529777</v>
      </c>
      <c r="E46" s="44">
        <f t="shared" si="0"/>
        <v>12418.694128740655</v>
      </c>
      <c r="F46" s="44">
        <f t="shared" si="0"/>
        <v>14741.623470404254</v>
      </c>
      <c r="G46" s="44">
        <f t="shared" si="0"/>
        <v>13283.349147160203</v>
      </c>
      <c r="H46" s="44">
        <f t="shared" si="0"/>
        <v>13317.410567381061</v>
      </c>
      <c r="I46" s="44">
        <f t="shared" si="0"/>
        <v>15030.172671878447</v>
      </c>
      <c r="J46" s="44">
        <f t="shared" si="0"/>
        <v>14583.23987202275</v>
      </c>
      <c r="K46" s="44">
        <f t="shared" si="0"/>
        <v>16001.908497181001</v>
      </c>
    </row>
    <row r="47" spans="1:11" s="31" customFormat="1" x14ac:dyDescent="0.2">
      <c r="A47" s="5"/>
      <c r="B47" s="5"/>
      <c r="C47" s="72" t="str">
        <f>+'C1 Aprop Resumen 2000-2026'!B20</f>
        <v>* Información con corte a 30 de abril</v>
      </c>
      <c r="D47" s="121">
        <f>+D46-'C7 Ejec. Prop 19-26'!D32</f>
        <v>0</v>
      </c>
      <c r="E47" s="121">
        <f>+E46-'C7 Ejec. Prop 19-26'!E32</f>
        <v>0</v>
      </c>
      <c r="F47" s="121">
        <f>+F46-'C7 Ejec. Prop 19-26'!F32</f>
        <v>0</v>
      </c>
      <c r="G47" s="121">
        <f>+G46-'C7 Ejec. Prop 19-26'!G32</f>
        <v>0</v>
      </c>
      <c r="H47" s="121">
        <f>+H46-'C7 Ejec. Prop 19-26'!H32</f>
        <v>0</v>
      </c>
      <c r="I47" s="121">
        <f>+I46-'C7 Ejec. Prop 19-26'!I32</f>
        <v>0</v>
      </c>
      <c r="J47" s="121">
        <f>+J46-'C7 Ejec. Prop 19-26'!J32</f>
        <v>0</v>
      </c>
      <c r="K47" s="121">
        <f>+K46-'C7 Ejec. Prop 19-26'!K32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55" t="s">
        <v>219</v>
      </c>
      <c r="E53" s="178"/>
      <c r="F53" s="178"/>
      <c r="G53" s="178"/>
      <c r="H53" s="178"/>
      <c r="I53" s="178"/>
      <c r="J53" s="178"/>
      <c r="K53" s="178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76" t="s">
        <v>120</v>
      </c>
      <c r="D56" s="153">
        <v>2019</v>
      </c>
      <c r="E56" s="153">
        <v>2020</v>
      </c>
      <c r="F56" s="153">
        <v>2021</v>
      </c>
      <c r="G56" s="153">
        <v>2022</v>
      </c>
      <c r="H56" s="153">
        <v>2023</v>
      </c>
      <c r="I56" s="153">
        <v>2024</v>
      </c>
      <c r="J56" s="153">
        <v>2025</v>
      </c>
      <c r="K56" s="153" t="s">
        <v>10</v>
      </c>
    </row>
    <row r="57" spans="3:11" ht="12" customHeight="1" thickBot="1" x14ac:dyDescent="0.25">
      <c r="C57" s="160"/>
      <c r="D57" s="154"/>
      <c r="E57" s="154"/>
      <c r="F57" s="154"/>
      <c r="G57" s="154"/>
      <c r="H57" s="154"/>
      <c r="I57" s="154"/>
      <c r="J57" s="154"/>
      <c r="K57" s="154"/>
    </row>
    <row r="58" spans="3:11" x14ac:dyDescent="0.2">
      <c r="C58" s="87" t="s">
        <v>123</v>
      </c>
      <c r="D58" s="42">
        <f>52.99446910226*Deflactores!$T$5</f>
        <v>82.243499541861965</v>
      </c>
      <c r="E58" s="42">
        <f>75.33916343173*Deflactores!$U$5</f>
        <v>115.06821550854707</v>
      </c>
      <c r="F58" s="42">
        <f>74.29326591088*Deflactores!$V$5</f>
        <v>107.43304164615797</v>
      </c>
      <c r="G58" s="42">
        <f>57.28077929205*Deflactores!$W$5</f>
        <v>73.224757618000183</v>
      </c>
      <c r="H58" s="42">
        <f>61.19608403786*Deflactores!$X$5</f>
        <v>71.586638714329354</v>
      </c>
      <c r="I58" s="42">
        <f>105.38489283678*Deflactores!$Y$5</f>
        <v>117.18471201255454</v>
      </c>
      <c r="J58" s="42">
        <f>87.95719148905*Deflactores!$Z$5</f>
        <v>93.058708595414913</v>
      </c>
      <c r="K58" s="42">
        <f>34.1723701127*Deflactores!$AA$5</f>
        <v>34.172370112700001</v>
      </c>
    </row>
    <row r="59" spans="3:11" x14ac:dyDescent="0.2">
      <c r="C59" s="88" t="s">
        <v>124</v>
      </c>
      <c r="D59" s="50">
        <f>95.52390098196*Deflactores!$T$5</f>
        <v>148.24603472273787</v>
      </c>
      <c r="E59" s="50">
        <f>112.22837949245*Deflactores!$U$5</f>
        <v>171.41044271502207</v>
      </c>
      <c r="F59" s="50">
        <f>127.23429528279*Deflactores!$V$5</f>
        <v>183.98931822882398</v>
      </c>
      <c r="G59" s="50">
        <f>138.58533964589*Deflactores!$W$5</f>
        <v>177.16026266400587</v>
      </c>
      <c r="H59" s="50">
        <f>143.9613803473*Deflactores!$X$5</f>
        <v>168.40475147662255</v>
      </c>
      <c r="I59" s="50">
        <f>154.25854228965*Deflactores!$Y$5</f>
        <v>171.53068496910976</v>
      </c>
      <c r="J59" s="50">
        <f>159.40243966246*Deflactores!$Z$5</f>
        <v>168.64778116288269</v>
      </c>
      <c r="K59" s="50">
        <f>126.76445687678*Deflactores!$AA$5</f>
        <v>126.76445687678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141.76744512611*Deflactores!$T$5</f>
        <v>220.01259765017517</v>
      </c>
      <c r="E61" s="50">
        <f>164.06486242761*Deflactores!$U$5</f>
        <v>250.58216851993052</v>
      </c>
      <c r="F61" s="50">
        <f>154.33154204783*Deflactores!$V$5</f>
        <v>223.17375311013447</v>
      </c>
      <c r="G61" s="50">
        <f>168.041215336299*Deflactores!$W$5</f>
        <v>214.81511625562763</v>
      </c>
      <c r="H61" s="50">
        <f>173.864991200049*Deflactores!$X$5</f>
        <v>203.38573138777602</v>
      </c>
      <c r="I61" s="50">
        <f>141.97265949756*Deflactores!$Y$5</f>
        <v>157.8691667186628</v>
      </c>
      <c r="J61" s="50">
        <f>161.15828186113*Deflactores!$Z$5</f>
        <v>170.50546220907555</v>
      </c>
      <c r="K61" s="50">
        <f>87.137549578*Deflactores!$AA$5</f>
        <v>87.137549578000005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6.79108868*Deflactores!$T$5</f>
        <v>10.539267742537026</v>
      </c>
      <c r="E63" s="50">
        <f>7.57102028348999*Deflactores!$U$5</f>
        <v>11.563491734144975</v>
      </c>
      <c r="F63" s="50">
        <f>7.08108879167*Deflactores!$V$5</f>
        <v>10.239728967739691</v>
      </c>
      <c r="G63" s="50">
        <f>17.81294334801*Deflactores!$W$5</f>
        <v>22.771136762488695</v>
      </c>
      <c r="H63" s="50">
        <f>9.67606845721*Deflactores!$X$5</f>
        <v>11.318979436541627</v>
      </c>
      <c r="I63" s="50">
        <f>9.17440729615*Deflactores!$Y$5</f>
        <v>10.201654601009377</v>
      </c>
      <c r="J63" s="50">
        <f>14.91587759454*Deflactores!$Z$5</f>
        <v>15.78099849502332</v>
      </c>
      <c r="K63" s="50">
        <f>7.26908379647999*Deflactores!$AA$5</f>
        <v>7.2690837964799897</v>
      </c>
    </row>
    <row r="64" spans="3:11" x14ac:dyDescent="0.2">
      <c r="C64" s="87" t="s">
        <v>129</v>
      </c>
      <c r="D64" s="42">
        <f>74.5716027629199*Deflactores!$T$5</f>
        <v>115.7296163460682</v>
      </c>
      <c r="E64" s="42">
        <f>52.2971978626*Deflactores!$U$5</f>
        <v>79.875392293144813</v>
      </c>
      <c r="F64" s="42">
        <f>63.31590318633*Deflactores!$V$5</f>
        <v>91.559039442967006</v>
      </c>
      <c r="G64" s="42">
        <f>47.6381994606*Deflactores!$W$5</f>
        <v>60.898187000478231</v>
      </c>
      <c r="H64" s="42">
        <f>42.8521851908699*Deflactores!$X$5</f>
        <v>50.128107829260593</v>
      </c>
      <c r="I64" s="42">
        <f>75.46576116024*Deflactores!$Y$5</f>
        <v>83.915571296045712</v>
      </c>
      <c r="J64" s="42">
        <f>108.20363556238*Deflactores!$Z$5</f>
        <v>114.47944642499805</v>
      </c>
      <c r="K64" s="42">
        <f>35.96025730724*Deflactores!$AA$5</f>
        <v>35.960257307239999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8.13565722717*Deflactores!$T$5</f>
        <v>12.625938758710337</v>
      </c>
      <c r="E66" s="42">
        <f>7.54931517670999*Deflactores!$U$5</f>
        <v>11.530340743467196</v>
      </c>
      <c r="F66" s="42">
        <f>9.43122209673*Deflactores!$V$5</f>
        <v>13.638179232927975</v>
      </c>
      <c r="G66" s="42">
        <f>10.90837428739*Deflactores!$W$5</f>
        <v>13.94469616287882</v>
      </c>
      <c r="H66" s="42">
        <f>14.3920010011799*Deflactores!$X$5</f>
        <v>16.835635682347498</v>
      </c>
      <c r="I66" s="42">
        <f>18.73817945851*Deflactores!$Y$5</f>
        <v>20.8362707820556</v>
      </c>
      <c r="J66" s="42">
        <f>20.18350086827*Deflactores!$Z$5</f>
        <v>21.35414391862966</v>
      </c>
      <c r="K66" s="42">
        <f>17.03560088889*Deflactores!$AA$5</f>
        <v>17.035600888889999</v>
      </c>
    </row>
    <row r="67" spans="3:11" x14ac:dyDescent="0.2">
      <c r="C67" s="88" t="s">
        <v>132</v>
      </c>
      <c r="D67" s="50">
        <f>283.36905985301*Deflactores!$T$5</f>
        <v>439.76783877631129</v>
      </c>
      <c r="E67" s="50">
        <f>167.47272491567*Deflactores!$U$5</f>
        <v>255.78711953528025</v>
      </c>
      <c r="F67" s="50">
        <f>198.21741044494*Deflactores!$V$5</f>
        <v>286.63566004582162</v>
      </c>
      <c r="G67" s="50">
        <f>212.18267025194*Deflactores!$W$5</f>
        <v>271.24324759483062</v>
      </c>
      <c r="H67" s="50">
        <f>279.10872777605*Deflactores!$X$5</f>
        <v>326.49892507760705</v>
      </c>
      <c r="I67" s="50">
        <f>315.00481654626*Deflactores!$Y$5</f>
        <v>350.27552541817374</v>
      </c>
      <c r="J67" s="50">
        <f>339.35868535974*Deflactores!$Z$5</f>
        <v>359.04148911060491</v>
      </c>
      <c r="K67" s="50">
        <f>200.42333498999*Deflactores!$AA$5</f>
        <v>200.42333498999</v>
      </c>
    </row>
    <row r="68" spans="3:11" x14ac:dyDescent="0.2">
      <c r="C68" s="87" t="s">
        <v>133</v>
      </c>
      <c r="D68" s="42">
        <f>57.93673918914*Deflactores!$T$5</f>
        <v>89.91353746302191</v>
      </c>
      <c r="E68" s="42">
        <f>49.7250166587*Deflactores!$U$5</f>
        <v>75.94680737640887</v>
      </c>
      <c r="F68" s="42">
        <f>73.63814217955*Deflactores!$V$5</f>
        <v>106.48568882422403</v>
      </c>
      <c r="G68" s="42">
        <f>28.90595070693*Deflactores!$W$5</f>
        <v>36.951858204320509</v>
      </c>
      <c r="H68" s="42">
        <f>32.48254131161*Deflactores!$X$5</f>
        <v>37.99778998863566</v>
      </c>
      <c r="I68" s="42">
        <f>24.4516974965899*Deflactores!$Y$5</f>
        <v>27.189524534544649</v>
      </c>
      <c r="J68" s="42">
        <f>20.3861240393899*Deflactores!$Z$5</f>
        <v>21.568519233674518</v>
      </c>
      <c r="K68" s="42">
        <f>2.01829292072*Deflactores!$AA$5</f>
        <v>2.01829292072</v>
      </c>
    </row>
    <row r="69" spans="3:11" x14ac:dyDescent="0.2">
      <c r="C69" s="88" t="s">
        <v>134</v>
      </c>
      <c r="D69" s="50">
        <f>34.3570502878699*Deflactores!$T$5</f>
        <v>53.319602922291651</v>
      </c>
      <c r="E69" s="50">
        <f>43.79309448833*Deflactores!$U$5</f>
        <v>66.886769175976866</v>
      </c>
      <c r="F69" s="50">
        <f>47.89463380156*Deflactores!$V$5</f>
        <v>69.25885037821368</v>
      </c>
      <c r="G69" s="50">
        <f>76.02028209126*Deflactores!$W$5</f>
        <v>97.180359607242593</v>
      </c>
      <c r="H69" s="50">
        <f>68.99016391851*Deflactores!$X$5</f>
        <v>80.704084532946268</v>
      </c>
      <c r="I69" s="50">
        <f>70.84139698064*Deflactores!$Y$5</f>
        <v>78.77342264418057</v>
      </c>
      <c r="J69" s="50">
        <f>65.19567550329*Deflactores!$Z$5</f>
        <v>68.977024682480831</v>
      </c>
      <c r="K69" s="50">
        <f>41.5247547393*Deflactores!$AA$5</f>
        <v>41.5247547393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3400.43015368833*Deflactores!$Y$5</f>
        <v>3781.1722112384405</v>
      </c>
      <c r="J70" s="42">
        <f>3238.38963056396*Deflactores!$Z$5</f>
        <v>3426.2162291366699</v>
      </c>
      <c r="K70" s="42">
        <f>2261.13238972595*Deflactores!$AA$5</f>
        <v>2261.1323897259499</v>
      </c>
    </row>
    <row r="71" spans="3:11" x14ac:dyDescent="0.2">
      <c r="C71" s="88" t="s">
        <v>136</v>
      </c>
      <c r="D71" s="50">
        <f>1987.07040256264*Deflactores!$T$5</f>
        <v>3083.7864122661549</v>
      </c>
      <c r="E71" s="50">
        <f>1897.62677359805*Deflactores!$U$5</f>
        <v>2898.3136604249285</v>
      </c>
      <c r="F71" s="50">
        <f>2041.09323321575*Deflactores!$V$5</f>
        <v>2951.5576094178136</v>
      </c>
      <c r="G71" s="50">
        <f>2364.25351045392*Deflactores!$W$5</f>
        <v>3022.3382501103988</v>
      </c>
      <c r="H71" s="50">
        <f>2999.95383544231*Deflactores!$X$5</f>
        <v>3509.319505552226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137</v>
      </c>
      <c r="D72" s="42">
        <f>35.61998725577*Deflactores!$T$5</f>
        <v>55.279587760340767</v>
      </c>
      <c r="E72" s="42">
        <f>26.94251347559*Deflactores!$U$5</f>
        <v>41.150270400340361</v>
      </c>
      <c r="F72" s="42">
        <f>54.96696780485*Deflactores!$V$5</f>
        <v>79.485919335209474</v>
      </c>
      <c r="G72" s="42">
        <f>26.3537798673299*Deflactores!$W$5</f>
        <v>33.689296251791653</v>
      </c>
      <c r="H72" s="42">
        <f>15.01367056997*Deflactores!$X$5</f>
        <v>17.562859254253457</v>
      </c>
      <c r="I72" s="42">
        <f>37.29178026117*Deflactores!$Y$5</f>
        <v>41.467295859084508</v>
      </c>
      <c r="J72" s="42">
        <f>38.28117597402*Deflactores!$Z$5</f>
        <v>40.501484180513167</v>
      </c>
      <c r="K72" s="42">
        <f>33.36985257852*Deflactores!$AA$5</f>
        <v>33.369852578520003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0*Deflactores!$T$5</f>
        <v>0</v>
      </c>
      <c r="E74" s="42">
        <f>0*Deflactores!$U$5</f>
        <v>0</v>
      </c>
      <c r="F74" s="42">
        <f>0*Deflactores!$V$5</f>
        <v>0</v>
      </c>
      <c r="G74" s="42">
        <f>0*Deflactores!$W$5</f>
        <v>0</v>
      </c>
      <c r="H74" s="42">
        <f>0*Deflactores!$X$5</f>
        <v>0</v>
      </c>
      <c r="I74" s="42">
        <f>0*Deflactores!$Y$5</f>
        <v>0</v>
      </c>
      <c r="J74" s="42">
        <f>0*Deflactores!$Z$5</f>
        <v>0</v>
      </c>
      <c r="K74" s="42">
        <f>0*Deflactores!$AA$5</f>
        <v>0</v>
      </c>
    </row>
    <row r="75" spans="3:11" x14ac:dyDescent="0.2">
      <c r="C75" s="88" t="s">
        <v>161</v>
      </c>
      <c r="D75" s="50">
        <f>60.1653825444499*Deflactores!$T$5</f>
        <v>93.372227244737019</v>
      </c>
      <c r="E75" s="50">
        <f>47.9459610823499*Deflactores!$U$5</f>
        <v>73.229591772513288</v>
      </c>
      <c r="F75" s="50">
        <f>61.0464557459599*Deflactores!$V$5</f>
        <v>88.277266345691686</v>
      </c>
      <c r="G75" s="50">
        <f>110.21591540949*Deflactores!$W$5</f>
        <v>140.89427188756886</v>
      </c>
      <c r="H75" s="50">
        <f>117.90687363022*Deflactores!$X$5</f>
        <v>137.92641959378892</v>
      </c>
      <c r="I75" s="50">
        <f>128.72155161436*Deflactores!$Y$5</f>
        <v>143.13434828937332</v>
      </c>
      <c r="J75" s="50">
        <f>175.96904509842*Deflactores!$Z$5</f>
        <v>186.17524971412837</v>
      </c>
      <c r="K75" s="50">
        <f>61.37238921227*Deflactores!$AA$5</f>
        <v>61.372389212270001</v>
      </c>
    </row>
    <row r="76" spans="3:11" x14ac:dyDescent="0.2">
      <c r="C76" s="87" t="s">
        <v>140</v>
      </c>
      <c r="D76" s="42">
        <f>300.855958318469*Deflactores!$T$5</f>
        <v>466.9062128424311</v>
      </c>
      <c r="E76" s="42">
        <f>148.775214438409*Deflactores!$U$5</f>
        <v>227.22973892379525</v>
      </c>
      <c r="F76" s="42">
        <f>408.49272431872*Deflactores!$V$5</f>
        <v>590.70785657113879</v>
      </c>
      <c r="G76" s="42">
        <f>372.61506255115*Deflactores!$W$5</f>
        <v>476.33164173642399</v>
      </c>
      <c r="H76" s="42">
        <f>276.27858146779*Deflactores!$X$5</f>
        <v>323.18824491786415</v>
      </c>
      <c r="I76" s="42">
        <f>532.11797702968*Deflactores!$Y$5</f>
        <v>591.69858426959934</v>
      </c>
      <c r="J76" s="42">
        <f>507.74777238349*Deflactores!$Z$5</f>
        <v>537.19714318173237</v>
      </c>
      <c r="K76" s="42">
        <f>93.19369282808*Deflactores!$AA$5</f>
        <v>93.193692828080003</v>
      </c>
    </row>
    <row r="77" spans="3:11" x14ac:dyDescent="0.2">
      <c r="C77" s="88" t="s">
        <v>141</v>
      </c>
      <c r="D77" s="50">
        <f>0*Deflactores!$T$5</f>
        <v>0</v>
      </c>
      <c r="E77" s="50">
        <f>0*Deflactores!$U$5</f>
        <v>0</v>
      </c>
      <c r="F77" s="50">
        <f>0*Deflactores!$V$5</f>
        <v>0</v>
      </c>
      <c r="G77" s="50">
        <f>0*Deflactores!$W$5</f>
        <v>0</v>
      </c>
      <c r="H77" s="50">
        <f>0*Deflactores!$X$5</f>
        <v>0</v>
      </c>
      <c r="I77" s="50">
        <f>0*Deflactores!$Y$5</f>
        <v>0</v>
      </c>
      <c r="J77" s="50">
        <f>0*Deflactores!$Z$5</f>
        <v>0</v>
      </c>
      <c r="K77" s="50">
        <f>0*Deflactores!$AA$5</f>
        <v>0</v>
      </c>
    </row>
    <row r="78" spans="3:11" x14ac:dyDescent="0.2">
      <c r="C78" s="87" t="s">
        <v>142</v>
      </c>
      <c r="D78" s="42">
        <f>20.8819897721699*Deflactores!$T$5</f>
        <v>32.407304863204693</v>
      </c>
      <c r="E78" s="42">
        <f>22.16671228639*Deflactores!$U$5</f>
        <v>33.856017379296134</v>
      </c>
      <c r="F78" s="42">
        <f>21.82949547329*Deflactores!$V$5</f>
        <v>31.566913468440397</v>
      </c>
      <c r="G78" s="42">
        <f>26.63360513328*Deflactores!$W$5</f>
        <v>34.047010262107712</v>
      </c>
      <c r="H78" s="42">
        <f>21.80015085601*Deflactores!$X$5</f>
        <v>25.501623964722551</v>
      </c>
      <c r="I78" s="42">
        <f>23.51406989715*Deflactores!$Y$5</f>
        <v>26.146911905184549</v>
      </c>
      <c r="J78" s="42">
        <f>17.39345321421*Deflactores!$Z$5</f>
        <v>18.40227350063418</v>
      </c>
      <c r="K78" s="42">
        <f>22.242409082*Deflactores!$AA$5</f>
        <v>22.242409082000002</v>
      </c>
    </row>
    <row r="79" spans="3:11" x14ac:dyDescent="0.2">
      <c r="C79" s="88" t="s">
        <v>143</v>
      </c>
      <c r="D79" s="50">
        <f>39.49830075943*Deflactores!$T$5</f>
        <v>61.298443695022755</v>
      </c>
      <c r="E79" s="50">
        <f>12.6386797227*Deflactores!$U$5</f>
        <v>19.30351036341143</v>
      </c>
      <c r="F79" s="50">
        <f>84.4626530222*Deflactores!$V$5</f>
        <v>122.13865696204554</v>
      </c>
      <c r="G79" s="50">
        <f>76.30782267257*Deflactores!$W$5</f>
        <v>97.547936473898204</v>
      </c>
      <c r="H79" s="50">
        <f>9.25250317*Deflactores!$X$5</f>
        <v>10.823496503864522</v>
      </c>
      <c r="I79" s="50">
        <f>9.98104586236*Deflactores!$Y$5</f>
        <v>11.098611513286549</v>
      </c>
      <c r="J79" s="50">
        <f>4.97713718202*Deflactores!$Z$5</f>
        <v>5.2658111385771598</v>
      </c>
      <c r="K79" s="50">
        <f>4.65979959007999*Deflactores!$AA$5</f>
        <v>4.6597995900799898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45.7857257453399*Deflactores!$T$5</f>
        <v>71.056062607108814</v>
      </c>
      <c r="E81" s="50">
        <f>30.407118087*Deflactores!$U$5</f>
        <v>46.441885702637819</v>
      </c>
      <c r="F81" s="50">
        <f>47.43195129993*Deflactores!$V$5</f>
        <v>68.5897804718484</v>
      </c>
      <c r="G81" s="50">
        <f>60.37814188999*Deflactores!$W$5</f>
        <v>77.184264249934117</v>
      </c>
      <c r="H81" s="50">
        <f>84.49051405357*Deflactores!$X$5</f>
        <v>98.836257244809033</v>
      </c>
      <c r="I81" s="50">
        <f>89.14451205531*Deflactores!$Y$5</f>
        <v>99.1259154087724</v>
      </c>
      <c r="J81" s="50">
        <f>153.2721841476*Deflactores!$Z$5</f>
        <v>162.1619708281608</v>
      </c>
      <c r="K81" s="50">
        <f>81.955988496*Deflactores!$AA$5</f>
        <v>81.955988496000003</v>
      </c>
    </row>
    <row r="82" spans="1:11" x14ac:dyDescent="0.2">
      <c r="C82" s="87" t="s">
        <v>146</v>
      </c>
      <c r="D82" s="42">
        <f>9.09581967061*Deflactores!$T$5</f>
        <v>14.116039911054989</v>
      </c>
      <c r="E82" s="42">
        <f>3.07043943761*Deflactores!$U$5</f>
        <v>4.6895926476938925</v>
      </c>
      <c r="F82" s="42">
        <f>1.166273946*Deflactores!$V$5</f>
        <v>1.6865102896640565</v>
      </c>
      <c r="G82" s="42">
        <f>1.072998397*Deflactores!$W$5</f>
        <v>1.3716651294884266</v>
      </c>
      <c r="H82" s="42">
        <f>20.69546756214*Deflactores!$X$5</f>
        <v>24.209375202479816</v>
      </c>
      <c r="I82" s="42">
        <f>64.11114700902*Deflactores!$Y$5</f>
        <v>71.289594711477704</v>
      </c>
      <c r="J82" s="42">
        <f>146.918010181569*Deflactores!$Z$5</f>
        <v>155.43925477210001</v>
      </c>
      <c r="K82" s="42">
        <f>56.0884333797699*Deflactores!$AA$5</f>
        <v>56.088433379769903</v>
      </c>
    </row>
    <row r="83" spans="1:11" x14ac:dyDescent="0.2">
      <c r="C83" s="88" t="s">
        <v>162</v>
      </c>
      <c r="D83" s="50">
        <f>101.77986335997*Deflactores!$T$5</f>
        <v>157.95482599257679</v>
      </c>
      <c r="E83" s="50">
        <f>110.16219848301*Deflactores!$U$5</f>
        <v>168.25469010450428</v>
      </c>
      <c r="F83" s="50">
        <f>114.34457334362*Deflactores!$V$5</f>
        <v>165.34991643486609</v>
      </c>
      <c r="G83" s="50">
        <f>133.91699893992*Deflactores!$W$5</f>
        <v>171.19249963951887</v>
      </c>
      <c r="H83" s="50">
        <f>147.08032132887*Deflactores!$X$5</f>
        <v>172.05326109499674</v>
      </c>
      <c r="I83" s="50">
        <f>157.10975908258*Deflactores!$Y$5</f>
        <v>174.70114906288026</v>
      </c>
      <c r="J83" s="50">
        <f>144.77329079927*Deflactores!$Z$5</f>
        <v>153.17014166562768</v>
      </c>
      <c r="K83" s="50">
        <f>142.27130669896*Deflactores!$AA$5</f>
        <v>142.27130669895999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1035.62759742803*Deflactores!$T$5</f>
        <v>1607.2174941550547</v>
      </c>
      <c r="E85" s="50">
        <f>1264.78092626601*Deflactores!$U$5</f>
        <v>1931.7454238333466</v>
      </c>
      <c r="F85" s="50">
        <f>1382.95297308313*Deflactores!$V$5</f>
        <v>1999.8426846673276</v>
      </c>
      <c r="G85" s="50">
        <f>1379.46152380394*Deflactores!$W$5</f>
        <v>1763.43159035757</v>
      </c>
      <c r="H85" s="50">
        <f>1466.14749357714*Deflactores!$X$5</f>
        <v>1715.0863911438039</v>
      </c>
      <c r="I85" s="50">
        <f>2286.69324919473*Deflactores!$Y$5</f>
        <v>2542.7315306280352</v>
      </c>
      <c r="J85" s="50">
        <f>1347.15316319945*Deflactores!$Z$5</f>
        <v>1425.2880466650183</v>
      </c>
      <c r="K85" s="50">
        <f>1192.17318446783*Deflactores!$AA$5</f>
        <v>1192.17318446783</v>
      </c>
    </row>
    <row r="86" spans="1:11" x14ac:dyDescent="0.2">
      <c r="C86" s="87" t="s">
        <v>163</v>
      </c>
      <c r="D86" s="42">
        <f>1544.70825739737*Deflactores!$T$5</f>
        <v>2397.2730553149963</v>
      </c>
      <c r="E86" s="42">
        <f>1491.842180145*Deflactores!$U$5</f>
        <v>2278.5442480420129</v>
      </c>
      <c r="F86" s="42">
        <f>1547.26310265894*Deflactores!$V$5</f>
        <v>2237.4461441084404</v>
      </c>
      <c r="G86" s="42">
        <f>1600.86659697166*Deflactores!$W$5</f>
        <v>2046.4642763383631</v>
      </c>
      <c r="H86" s="42">
        <f>2141.24066075306*Deflactores!$X$5</f>
        <v>2504.8044166834156</v>
      </c>
      <c r="I86" s="42">
        <f>2107.66708283078*Deflactores!$Y$5</f>
        <v>2343.6600206293147</v>
      </c>
      <c r="J86" s="42">
        <f>2847.29209029029*Deflactores!$Z$5</f>
        <v>3012.4350315271272</v>
      </c>
      <c r="K86" s="42">
        <f>738.44588150033*Deflactores!$AA$5</f>
        <v>738.44588150032996</v>
      </c>
    </row>
    <row r="87" spans="1:11" x14ac:dyDescent="0.2">
      <c r="C87" s="88" t="s">
        <v>150</v>
      </c>
      <c r="D87" s="50">
        <f>2069.01280252454*Deflactores!$T$5</f>
        <v>3210.954961133421</v>
      </c>
      <c r="E87" s="50">
        <f>2082.40446523776*Deflactores!$U$5</f>
        <v>3180.5312783845043</v>
      </c>
      <c r="F87" s="50">
        <f>2417.2948636805*Deflactores!$V$5</f>
        <v>3495.5703801251134</v>
      </c>
      <c r="G87" s="50">
        <f>2343.1301913885*Deflactores!$W$5</f>
        <v>2995.3353018654584</v>
      </c>
      <c r="H87" s="50">
        <f>1632.25336534166*Deflactores!$X$5</f>
        <v>1909.3955731329465</v>
      </c>
      <c r="I87" s="50">
        <f>2804.82671950188*Deflactores!$Y$5</f>
        <v>3118.8797798467131</v>
      </c>
      <c r="J87" s="50">
        <f>3559.90286389328*Deflactores!$Z$5</f>
        <v>3766.3772299990906</v>
      </c>
      <c r="K87" s="50">
        <f>1526.67018835107*Deflactores!$AA$5</f>
        <v>1526.67018835107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202</v>
      </c>
      <c r="D89" s="44">
        <f t="shared" ref="D89:K89" si="1">+SUM(D58:D88)</f>
        <v>12424.020561709818</v>
      </c>
      <c r="E89" s="44">
        <f t="shared" si="1"/>
        <v>11941.940655580906</v>
      </c>
      <c r="F89" s="44">
        <f t="shared" si="1"/>
        <v>12924.632898074609</v>
      </c>
      <c r="G89" s="44">
        <f t="shared" si="1"/>
        <v>11828.017626172395</v>
      </c>
      <c r="H89" s="44">
        <f t="shared" si="1"/>
        <v>11415.568068415238</v>
      </c>
      <c r="I89" s="44">
        <f t="shared" si="1"/>
        <v>13962.882486338498</v>
      </c>
      <c r="J89" s="44">
        <f t="shared" si="1"/>
        <v>13922.043440142164</v>
      </c>
      <c r="K89" s="44">
        <f t="shared" si="1"/>
        <v>6765.8812171209593</v>
      </c>
    </row>
    <row r="90" spans="1:11" s="31" customFormat="1" x14ac:dyDescent="0.2">
      <c r="A90" s="5"/>
      <c r="B90" s="5"/>
      <c r="C90" s="72" t="str">
        <f>+'C1 Aprop Resumen 2000-2026'!B20</f>
        <v>* Información con corte a 30 de abril</v>
      </c>
      <c r="D90" s="121">
        <f>+D89-'C7 Ejec. Prop 19-26'!D65</f>
        <v>-2.0008883439004421E-11</v>
      </c>
      <c r="E90" s="121">
        <f>+E89-'C7 Ejec. Prop 19-26'!E65</f>
        <v>-3.2741809263825417E-11</v>
      </c>
      <c r="F90" s="121">
        <f>+F89-'C7 Ejec. Prop 19-26'!F65</f>
        <v>0</v>
      </c>
      <c r="G90" s="121">
        <f>+G89-'C7 Ejec. Prop 19-26'!G65</f>
        <v>0</v>
      </c>
      <c r="H90" s="121">
        <f>+H89-'C7 Ejec. Prop 19-26'!H65</f>
        <v>0</v>
      </c>
      <c r="I90" s="121">
        <f>+I89-'C7 Ejec. Prop 19-26'!I65</f>
        <v>3.2741809263825417E-11</v>
      </c>
      <c r="J90" s="121">
        <f>+J89-'C7 Ejec. Prop 19-26'!J65</f>
        <v>3.092281986027956E-11</v>
      </c>
      <c r="K90" s="121">
        <f>+K89-'C7 Ejec. Prop 19-26'!K65</f>
        <v>0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customHeight="1" x14ac:dyDescent="0.2">
      <c r="D95" s="131" t="s">
        <v>220</v>
      </c>
      <c r="E95" s="131"/>
      <c r="F95" s="131"/>
      <c r="G95" s="131"/>
      <c r="H95" s="131"/>
      <c r="I95" s="131"/>
      <c r="J95" s="131"/>
      <c r="K95" s="131"/>
    </row>
    <row r="96" spans="1:11" ht="1.5" customHeight="1" x14ac:dyDescent="0.2">
      <c r="D96" s="28"/>
      <c r="E96" s="28"/>
      <c r="F96" s="28"/>
    </row>
    <row r="97" spans="3:11" x14ac:dyDescent="0.2">
      <c r="E97" s="29"/>
      <c r="F97" s="29"/>
    </row>
    <row r="98" spans="3:11" x14ac:dyDescent="0.2">
      <c r="C98" s="176" t="s">
        <v>120</v>
      </c>
      <c r="D98" s="153">
        <v>2019</v>
      </c>
      <c r="E98" s="153">
        <v>2020</v>
      </c>
      <c r="F98" s="153">
        <v>2021</v>
      </c>
      <c r="G98" s="153">
        <v>2022</v>
      </c>
      <c r="H98" s="153">
        <v>2023</v>
      </c>
      <c r="I98" s="153">
        <v>2024</v>
      </c>
      <c r="J98" s="153">
        <v>2025</v>
      </c>
      <c r="K98" s="153" t="s">
        <v>10</v>
      </c>
    </row>
    <row r="99" spans="3:11" ht="12" customHeight="1" thickBot="1" x14ac:dyDescent="0.25">
      <c r="C99" s="160"/>
      <c r="D99" s="154"/>
      <c r="E99" s="154"/>
      <c r="F99" s="154"/>
      <c r="G99" s="154"/>
      <c r="H99" s="154"/>
      <c r="I99" s="154"/>
      <c r="J99" s="154"/>
      <c r="K99" s="154"/>
    </row>
    <row r="100" spans="3:11" x14ac:dyDescent="0.2">
      <c r="C100" s="87" t="s">
        <v>123</v>
      </c>
      <c r="D100" s="47">
        <f t="shared" ref="D100:K109" si="2">+IFERROR(IF(D58&gt;0,+((D58/D15)*100)," "),"")</f>
        <v>89.228861622892495</v>
      </c>
      <c r="E100" s="47">
        <f t="shared" si="2"/>
        <v>92.646479317258894</v>
      </c>
      <c r="F100" s="47">
        <f t="shared" si="2"/>
        <v>94.804338198785274</v>
      </c>
      <c r="G100" s="47">
        <f t="shared" si="2"/>
        <v>87.859819445377369</v>
      </c>
      <c r="H100" s="47">
        <f t="shared" si="2"/>
        <v>89.481707671399363</v>
      </c>
      <c r="I100" s="47">
        <f t="shared" si="2"/>
        <v>95.058092315595971</v>
      </c>
      <c r="J100" s="47">
        <f t="shared" si="2"/>
        <v>90.989200433816151</v>
      </c>
      <c r="K100" s="47">
        <f t="shared" si="2"/>
        <v>46.793337015240205</v>
      </c>
    </row>
    <row r="101" spans="3:11" x14ac:dyDescent="0.2">
      <c r="C101" s="88" t="s">
        <v>124</v>
      </c>
      <c r="D101" s="116">
        <f t="shared" si="2"/>
        <v>96.252697759781583</v>
      </c>
      <c r="E101" s="116">
        <f t="shared" si="2"/>
        <v>95.236132283467285</v>
      </c>
      <c r="F101" s="116">
        <f t="shared" si="2"/>
        <v>85.86155225470732</v>
      </c>
      <c r="G101" s="116">
        <f t="shared" si="2"/>
        <v>85.035545607123339</v>
      </c>
      <c r="H101" s="116">
        <f t="shared" si="2"/>
        <v>85.296698284342298</v>
      </c>
      <c r="I101" s="116">
        <f t="shared" si="2"/>
        <v>82.923729123003767</v>
      </c>
      <c r="J101" s="116">
        <f t="shared" si="2"/>
        <v>94.551598468291971</v>
      </c>
      <c r="K101" s="116">
        <f t="shared" si="2"/>
        <v>65.347651423194378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96.937886413893594</v>
      </c>
      <c r="E103" s="116">
        <f t="shared" si="2"/>
        <v>93.414628949907424</v>
      </c>
      <c r="F103" s="116">
        <f t="shared" si="2"/>
        <v>88.323346369632588</v>
      </c>
      <c r="G103" s="116">
        <f t="shared" si="2"/>
        <v>92.291134254056146</v>
      </c>
      <c r="H103" s="116">
        <f t="shared" si="2"/>
        <v>94.554843989478883</v>
      </c>
      <c r="I103" s="116">
        <f t="shared" si="2"/>
        <v>91.295231279435782</v>
      </c>
      <c r="J103" s="116">
        <f t="shared" si="2"/>
        <v>94.198946017478306</v>
      </c>
      <c r="K103" s="116">
        <f t="shared" si="2"/>
        <v>69.776193725344839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96.016160817433388</v>
      </c>
      <c r="E105" s="116">
        <f t="shared" si="2"/>
        <v>97.594459427335778</v>
      </c>
      <c r="F105" s="116">
        <f t="shared" si="2"/>
        <v>63.688908979380209</v>
      </c>
      <c r="G105" s="116">
        <f t="shared" si="2"/>
        <v>96.431140804564976</v>
      </c>
      <c r="H105" s="116">
        <f t="shared" si="2"/>
        <v>80.922230729701155</v>
      </c>
      <c r="I105" s="116">
        <f t="shared" si="2"/>
        <v>61.431380182176419</v>
      </c>
      <c r="J105" s="116">
        <f t="shared" si="2"/>
        <v>95.08468537614803</v>
      </c>
      <c r="K105" s="116">
        <f t="shared" si="2"/>
        <v>37.152432985991766</v>
      </c>
    </row>
    <row r="106" spans="3:11" x14ac:dyDescent="0.2">
      <c r="C106" s="87" t="s">
        <v>129</v>
      </c>
      <c r="D106" s="47">
        <f t="shared" si="2"/>
        <v>97.146536508570762</v>
      </c>
      <c r="E106" s="47">
        <f t="shared" si="2"/>
        <v>96.02156312631945</v>
      </c>
      <c r="F106" s="47">
        <f t="shared" si="2"/>
        <v>83.787369555228622</v>
      </c>
      <c r="G106" s="47">
        <f t="shared" si="2"/>
        <v>79.406938202765048</v>
      </c>
      <c r="H106" s="47">
        <f t="shared" si="2"/>
        <v>68.484602043837356</v>
      </c>
      <c r="I106" s="47">
        <f t="shared" si="2"/>
        <v>83.494602097981954</v>
      </c>
      <c r="J106" s="47">
        <f t="shared" si="2"/>
        <v>99.002943228148226</v>
      </c>
      <c r="K106" s="47">
        <f t="shared" si="2"/>
        <v>28.297560814328094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87.113723236318862</v>
      </c>
      <c r="E108" s="47">
        <f t="shared" si="2"/>
        <v>76.352883556179037</v>
      </c>
      <c r="F108" s="47">
        <f t="shared" si="2"/>
        <v>82.31800987864986</v>
      </c>
      <c r="G108" s="47">
        <f t="shared" si="2"/>
        <v>87.253869851229368</v>
      </c>
      <c r="H108" s="47">
        <f t="shared" si="2"/>
        <v>86.183348417483614</v>
      </c>
      <c r="I108" s="47">
        <f t="shared" si="2"/>
        <v>97.902223915911804</v>
      </c>
      <c r="J108" s="47">
        <f t="shared" si="2"/>
        <v>91.963416582156711</v>
      </c>
      <c r="K108" s="47">
        <f t="shared" si="2"/>
        <v>40.438809074547471</v>
      </c>
    </row>
    <row r="109" spans="3:11" x14ac:dyDescent="0.2">
      <c r="C109" s="88" t="s">
        <v>132</v>
      </c>
      <c r="D109" s="116">
        <f t="shared" si="2"/>
        <v>92.469131334045443</v>
      </c>
      <c r="E109" s="116">
        <f t="shared" si="2"/>
        <v>69.907584100247178</v>
      </c>
      <c r="F109" s="116">
        <f t="shared" si="2"/>
        <v>63.077944230405848</v>
      </c>
      <c r="G109" s="116">
        <f t="shared" si="2"/>
        <v>66.807285966725843</v>
      </c>
      <c r="H109" s="116">
        <f t="shared" si="2"/>
        <v>74.792437558294367</v>
      </c>
      <c r="I109" s="116">
        <f t="shared" si="2"/>
        <v>88.271182034666538</v>
      </c>
      <c r="J109" s="116">
        <f t="shared" si="2"/>
        <v>89.176279444107976</v>
      </c>
      <c r="K109" s="116">
        <f t="shared" si="2"/>
        <v>49.928235767537046</v>
      </c>
    </row>
    <row r="110" spans="3:11" x14ac:dyDescent="0.2">
      <c r="C110" s="87" t="s">
        <v>133</v>
      </c>
      <c r="D110" s="47">
        <f t="shared" ref="D110:K119" si="3">+IFERROR(IF(D68&gt;0,+((D68/D25)*100)," "),"")</f>
        <v>99.537400249355727</v>
      </c>
      <c r="E110" s="47">
        <f t="shared" si="3"/>
        <v>97.419092679527282</v>
      </c>
      <c r="F110" s="47">
        <f t="shared" si="3"/>
        <v>93.728233626741385</v>
      </c>
      <c r="G110" s="47">
        <f t="shared" si="3"/>
        <v>97.238228788513609</v>
      </c>
      <c r="H110" s="47">
        <f t="shared" si="3"/>
        <v>79.581415387967596</v>
      </c>
      <c r="I110" s="47">
        <f t="shared" si="3"/>
        <v>85.900914701153184</v>
      </c>
      <c r="J110" s="47">
        <f t="shared" si="3"/>
        <v>99.587101665081235</v>
      </c>
      <c r="K110" s="47">
        <f t="shared" si="3"/>
        <v>12.316565457229036</v>
      </c>
    </row>
    <row r="111" spans="3:11" x14ac:dyDescent="0.2">
      <c r="C111" s="88" t="s">
        <v>134</v>
      </c>
      <c r="D111" s="116">
        <f t="shared" si="3"/>
        <v>91.606586556112262</v>
      </c>
      <c r="E111" s="116">
        <f t="shared" si="3"/>
        <v>94.802158254766482</v>
      </c>
      <c r="F111" s="116">
        <f t="shared" si="3"/>
        <v>64.422998226568382</v>
      </c>
      <c r="G111" s="116">
        <f t="shared" si="3"/>
        <v>93.382698622970906</v>
      </c>
      <c r="H111" s="116">
        <f t="shared" si="3"/>
        <v>85.376383305378042</v>
      </c>
      <c r="I111" s="116">
        <f t="shared" si="3"/>
        <v>94.832688370716738</v>
      </c>
      <c r="J111" s="116">
        <f t="shared" si="3"/>
        <v>94.798843765228526</v>
      </c>
      <c r="K111" s="116">
        <f t="shared" si="3"/>
        <v>51.513622756335877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98.067291859483333</v>
      </c>
      <c r="J112" s="47">
        <f t="shared" si="3"/>
        <v>99.700502053481443</v>
      </c>
      <c r="K112" s="47">
        <f t="shared" si="3"/>
        <v>67.402141701152303</v>
      </c>
    </row>
    <row r="113" spans="3:11" x14ac:dyDescent="0.2">
      <c r="C113" s="88" t="s">
        <v>136</v>
      </c>
      <c r="D113" s="116">
        <f t="shared" si="3"/>
        <v>99.009710364186603</v>
      </c>
      <c r="E113" s="116">
        <f t="shared" si="3"/>
        <v>97.469092843538007</v>
      </c>
      <c r="F113" s="116">
        <f t="shared" si="3"/>
        <v>90.963929979947395</v>
      </c>
      <c r="G113" s="116">
        <f t="shared" si="3"/>
        <v>96.404800903185162</v>
      </c>
      <c r="H113" s="116">
        <f t="shared" si="3"/>
        <v>98.735706305171291</v>
      </c>
      <c r="I113" s="116" t="str">
        <f t="shared" si="3"/>
        <v xml:space="preserve"> </v>
      </c>
      <c r="J113" s="116" t="str">
        <f t="shared" si="3"/>
        <v xml:space="preserve"> </v>
      </c>
      <c r="K113" s="116" t="str">
        <f t="shared" si="3"/>
        <v xml:space="preserve"> </v>
      </c>
    </row>
    <row r="114" spans="3:11" x14ac:dyDescent="0.2">
      <c r="C114" s="87" t="s">
        <v>137</v>
      </c>
      <c r="D114" s="47">
        <f t="shared" si="3"/>
        <v>86.438571259448665</v>
      </c>
      <c r="E114" s="47">
        <f t="shared" si="3"/>
        <v>82.524496427451766</v>
      </c>
      <c r="F114" s="47">
        <f t="shared" si="3"/>
        <v>54.805052373578242</v>
      </c>
      <c r="G114" s="47">
        <f t="shared" si="3"/>
        <v>30.45715026734883</v>
      </c>
      <c r="H114" s="47">
        <f t="shared" si="3"/>
        <v>30.214654118065454</v>
      </c>
      <c r="I114" s="47">
        <f t="shared" si="3"/>
        <v>65.350763878859695</v>
      </c>
      <c r="J114" s="47">
        <f t="shared" si="3"/>
        <v>74.714054705444383</v>
      </c>
      <c r="K114" s="47">
        <f t="shared" si="3"/>
        <v>63.214311287966318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 t="str">
        <f t="shared" si="3"/>
        <v xml:space="preserve"> </v>
      </c>
      <c r="E116" s="47" t="str">
        <f t="shared" si="3"/>
        <v xml:space="preserve"> </v>
      </c>
      <c r="F116" s="47" t="str">
        <f t="shared" si="3"/>
        <v xml:space="preserve"> </v>
      </c>
      <c r="G116" s="47" t="str">
        <f t="shared" si="3"/>
        <v xml:space="preserve"> </v>
      </c>
      <c r="H116" s="47" t="str">
        <f t="shared" si="3"/>
        <v xml:space="preserve"> </v>
      </c>
      <c r="I116" s="47" t="str">
        <f t="shared" si="3"/>
        <v xml:space="preserve"> </v>
      </c>
      <c r="J116" s="47" t="str">
        <f t="shared" si="3"/>
        <v xml:space="preserve"> </v>
      </c>
      <c r="K116" s="47" t="str">
        <f t="shared" si="3"/>
        <v xml:space="preserve"> </v>
      </c>
    </row>
    <row r="117" spans="3:11" x14ac:dyDescent="0.2">
      <c r="C117" s="88" t="s">
        <v>161</v>
      </c>
      <c r="D117" s="116">
        <f t="shared" si="3"/>
        <v>95.790578870547151</v>
      </c>
      <c r="E117" s="116">
        <f t="shared" si="3"/>
        <v>91.669424032448461</v>
      </c>
      <c r="F117" s="116">
        <f t="shared" si="3"/>
        <v>88.123185821462457</v>
      </c>
      <c r="G117" s="116">
        <f t="shared" si="3"/>
        <v>56.153332190361382</v>
      </c>
      <c r="H117" s="116">
        <f t="shared" si="3"/>
        <v>76.159600307630683</v>
      </c>
      <c r="I117" s="116">
        <f t="shared" si="3"/>
        <v>90.751974146925122</v>
      </c>
      <c r="J117" s="116">
        <f t="shared" si="3"/>
        <v>67.525327220255377</v>
      </c>
      <c r="K117" s="116">
        <f t="shared" si="3"/>
        <v>33.433737684098126</v>
      </c>
    </row>
    <row r="118" spans="3:11" x14ac:dyDescent="0.2">
      <c r="C118" s="87" t="s">
        <v>140</v>
      </c>
      <c r="D118" s="47">
        <f t="shared" si="3"/>
        <v>97.33065904694935</v>
      </c>
      <c r="E118" s="47">
        <f t="shared" si="3"/>
        <v>86.675346013468996</v>
      </c>
      <c r="F118" s="47">
        <f t="shared" si="3"/>
        <v>80.599221983551999</v>
      </c>
      <c r="G118" s="47">
        <f t="shared" si="3"/>
        <v>74.983136246367692</v>
      </c>
      <c r="H118" s="47">
        <f t="shared" si="3"/>
        <v>50.87303208364942</v>
      </c>
      <c r="I118" s="47">
        <f t="shared" si="3"/>
        <v>93.711574127228772</v>
      </c>
      <c r="J118" s="47">
        <f t="shared" si="3"/>
        <v>97.104592380400859</v>
      </c>
      <c r="K118" s="47">
        <f t="shared" si="3"/>
        <v>18.19911187140227</v>
      </c>
    </row>
    <row r="119" spans="3:11" x14ac:dyDescent="0.2">
      <c r="C119" s="88" t="s">
        <v>141</v>
      </c>
      <c r="D119" s="116" t="str">
        <f t="shared" si="3"/>
        <v xml:space="preserve"> </v>
      </c>
      <c r="E119" s="116" t="str">
        <f t="shared" si="3"/>
        <v xml:space="preserve"> </v>
      </c>
      <c r="F119" s="116" t="str">
        <f t="shared" si="3"/>
        <v xml:space="preserve"> </v>
      </c>
      <c r="G119" s="116" t="str">
        <f t="shared" si="3"/>
        <v xml:space="preserve"> </v>
      </c>
      <c r="H119" s="116" t="str">
        <f t="shared" si="3"/>
        <v xml:space="preserve"> </v>
      </c>
      <c r="I119" s="116" t="str">
        <f t="shared" si="3"/>
        <v xml:space="preserve"> </v>
      </c>
      <c r="J119" s="116" t="str">
        <f t="shared" si="3"/>
        <v xml:space="preserve"> </v>
      </c>
      <c r="K119" s="116" t="str">
        <f t="shared" si="3"/>
        <v xml:space="preserve"> </v>
      </c>
    </row>
    <row r="120" spans="3:11" x14ac:dyDescent="0.2">
      <c r="C120" s="87" t="s">
        <v>142</v>
      </c>
      <c r="D120" s="47">
        <f t="shared" ref="D120:K129" si="4">+IFERROR(IF(D78&gt;0,+((D78/D35)*100)," "),"")</f>
        <v>92.635698332196327</v>
      </c>
      <c r="E120" s="47">
        <f t="shared" si="4"/>
        <v>97.691377124722209</v>
      </c>
      <c r="F120" s="47">
        <f t="shared" si="4"/>
        <v>92.757268094204122</v>
      </c>
      <c r="G120" s="47">
        <f t="shared" si="4"/>
        <v>91.12689921771549</v>
      </c>
      <c r="H120" s="47">
        <f t="shared" si="4"/>
        <v>72.680494277317507</v>
      </c>
      <c r="I120" s="47">
        <f t="shared" si="4"/>
        <v>71.185728678705502</v>
      </c>
      <c r="J120" s="47">
        <f t="shared" si="4"/>
        <v>45.678484201402377</v>
      </c>
      <c r="K120" s="47">
        <f t="shared" si="4"/>
        <v>67.00421665194996</v>
      </c>
    </row>
    <row r="121" spans="3:11" x14ac:dyDescent="0.2">
      <c r="C121" s="88" t="s">
        <v>143</v>
      </c>
      <c r="D121" s="116">
        <f t="shared" si="4"/>
        <v>60.449510639326412</v>
      </c>
      <c r="E121" s="116">
        <f t="shared" si="4"/>
        <v>33.997097763331396</v>
      </c>
      <c r="F121" s="116">
        <f t="shared" si="4"/>
        <v>60.226191128134573</v>
      </c>
      <c r="G121" s="116">
        <f t="shared" si="4"/>
        <v>58.72806690422108</v>
      </c>
      <c r="H121" s="116">
        <f t="shared" si="4"/>
        <v>10.814690216123084</v>
      </c>
      <c r="I121" s="116">
        <f t="shared" si="4"/>
        <v>17.780774409516674</v>
      </c>
      <c r="J121" s="116">
        <f t="shared" si="4"/>
        <v>55.425190969172434</v>
      </c>
      <c r="K121" s="116">
        <f t="shared" si="4"/>
        <v>8.6290054457746308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91.877419355468888</v>
      </c>
      <c r="E123" s="116">
        <f t="shared" si="4"/>
        <v>98.839611192249905</v>
      </c>
      <c r="F123" s="116">
        <f t="shared" si="4"/>
        <v>86.845540674888255</v>
      </c>
      <c r="G123" s="116">
        <f t="shared" si="4"/>
        <v>96.055826662392235</v>
      </c>
      <c r="H123" s="116">
        <f t="shared" si="4"/>
        <v>91.129267330600811</v>
      </c>
      <c r="I123" s="116">
        <f t="shared" si="4"/>
        <v>72.17792076609615</v>
      </c>
      <c r="J123" s="116">
        <f t="shared" si="4"/>
        <v>93.4222880802932</v>
      </c>
      <c r="K123" s="116">
        <f t="shared" si="4"/>
        <v>48.022225258420228</v>
      </c>
    </row>
    <row r="124" spans="3:11" x14ac:dyDescent="0.2">
      <c r="C124" s="87" t="s">
        <v>146</v>
      </c>
      <c r="D124" s="47">
        <f t="shared" si="4"/>
        <v>99.083002947821356</v>
      </c>
      <c r="E124" s="47">
        <f t="shared" si="4"/>
        <v>98.20589777731054</v>
      </c>
      <c r="F124" s="47">
        <f t="shared" si="4"/>
        <v>100</v>
      </c>
      <c r="G124" s="47">
        <f t="shared" si="4"/>
        <v>24.907112279480042</v>
      </c>
      <c r="H124" s="47">
        <f t="shared" si="4"/>
        <v>67.807684214172937</v>
      </c>
      <c r="I124" s="47">
        <f t="shared" si="4"/>
        <v>95.138221480251516</v>
      </c>
      <c r="J124" s="47">
        <f t="shared" si="4"/>
        <v>86.978554023095853</v>
      </c>
      <c r="K124" s="47">
        <f t="shared" si="4"/>
        <v>29.351386316881271</v>
      </c>
    </row>
    <row r="125" spans="3:11" x14ac:dyDescent="0.2">
      <c r="C125" s="88" t="s">
        <v>162</v>
      </c>
      <c r="D125" s="116">
        <f t="shared" si="4"/>
        <v>83.393224288079026</v>
      </c>
      <c r="E125" s="116">
        <f t="shared" si="4"/>
        <v>91.771949582916349</v>
      </c>
      <c r="F125" s="116">
        <f t="shared" si="4"/>
        <v>87.163164244483681</v>
      </c>
      <c r="G125" s="116">
        <f t="shared" si="4"/>
        <v>84.969900327622852</v>
      </c>
      <c r="H125" s="116">
        <f t="shared" si="4"/>
        <v>81.657207151551233</v>
      </c>
      <c r="I125" s="116">
        <f t="shared" si="4"/>
        <v>85.89134128505161</v>
      </c>
      <c r="J125" s="116">
        <f t="shared" si="4"/>
        <v>97.321742735922285</v>
      </c>
      <c r="K125" s="116">
        <f t="shared" si="4"/>
        <v>35.389811587204441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91.925878186555153</v>
      </c>
      <c r="E127" s="116">
        <f t="shared" si="4"/>
        <v>99.684549182662508</v>
      </c>
      <c r="F127" s="116">
        <f t="shared" si="4"/>
        <v>86.075506998077529</v>
      </c>
      <c r="G127" s="116">
        <f t="shared" si="4"/>
        <v>88.111238138584824</v>
      </c>
      <c r="H127" s="116">
        <f t="shared" si="4"/>
        <v>98.050418789558009</v>
      </c>
      <c r="I127" s="116">
        <f t="shared" si="4"/>
        <v>93.194337218005515</v>
      </c>
      <c r="J127" s="116">
        <f t="shared" si="4"/>
        <v>96.51973959422304</v>
      </c>
      <c r="K127" s="116">
        <f t="shared" si="4"/>
        <v>79.064364504494506</v>
      </c>
    </row>
    <row r="128" spans="3:11" x14ac:dyDescent="0.2">
      <c r="C128" s="87" t="s">
        <v>163</v>
      </c>
      <c r="D128" s="47">
        <f t="shared" si="4"/>
        <v>98.406736585639592</v>
      </c>
      <c r="E128" s="47">
        <f t="shared" si="4"/>
        <v>97.92846873332131</v>
      </c>
      <c r="F128" s="47">
        <f t="shared" si="4"/>
        <v>95.975593173348187</v>
      </c>
      <c r="G128" s="47">
        <f t="shared" si="4"/>
        <v>96.14669847027622</v>
      </c>
      <c r="H128" s="47">
        <f t="shared" si="4"/>
        <v>97.627067653691142</v>
      </c>
      <c r="I128" s="47">
        <f t="shared" si="4"/>
        <v>97.563162283007003</v>
      </c>
      <c r="J128" s="47">
        <f t="shared" si="4"/>
        <v>96.767013539315343</v>
      </c>
      <c r="K128" s="47">
        <f t="shared" si="4"/>
        <v>25.321064991023594</v>
      </c>
    </row>
    <row r="129" spans="1:11" x14ac:dyDescent="0.2">
      <c r="C129" s="88" t="s">
        <v>150</v>
      </c>
      <c r="D129" s="116">
        <f t="shared" si="4"/>
        <v>96.544174297258806</v>
      </c>
      <c r="E129" s="116">
        <f t="shared" si="4"/>
        <v>97.410007447013584</v>
      </c>
      <c r="F129" s="116">
        <f t="shared" si="4"/>
        <v>88.28977299344659</v>
      </c>
      <c r="G129" s="116">
        <f t="shared" si="4"/>
        <v>89.624993204337429</v>
      </c>
      <c r="H129" s="116">
        <f t="shared" si="4"/>
        <v>65.712744932585977</v>
      </c>
      <c r="I129" s="116">
        <f t="shared" si="4"/>
        <v>88.516763700685203</v>
      </c>
      <c r="J129" s="116">
        <f t="shared" si="4"/>
        <v>94.176208166665759</v>
      </c>
      <c r="K129" s="116">
        <f t="shared" si="4"/>
        <v>27.539746396682261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202</v>
      </c>
      <c r="D131" s="64">
        <f t="shared" si="5"/>
        <v>96.121091240924812</v>
      </c>
      <c r="E131" s="64">
        <f t="shared" si="5"/>
        <v>96.161001565725044</v>
      </c>
      <c r="F131" s="64">
        <f t="shared" si="5"/>
        <v>87.674420147974246</v>
      </c>
      <c r="G131" s="64">
        <f t="shared" si="5"/>
        <v>89.043941367008799</v>
      </c>
      <c r="H131" s="64">
        <f t="shared" si="5"/>
        <v>85.71912693279809</v>
      </c>
      <c r="I131" s="64">
        <f t="shared" si="5"/>
        <v>92.89901580747069</v>
      </c>
      <c r="J131" s="64">
        <f t="shared" si="5"/>
        <v>95.466052552910014</v>
      </c>
      <c r="K131" s="64">
        <f t="shared" si="5"/>
        <v>42.281714198733731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abril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55" t="s">
        <v>221</v>
      </c>
      <c r="E138" s="178"/>
      <c r="F138" s="178"/>
      <c r="G138" s="178"/>
      <c r="H138" s="178"/>
      <c r="I138" s="178"/>
      <c r="J138" s="178"/>
      <c r="K138" s="178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76" t="s">
        <v>120</v>
      </c>
      <c r="D140" s="153">
        <v>2019</v>
      </c>
      <c r="E140" s="153">
        <v>2020</v>
      </c>
      <c r="F140" s="153">
        <v>2021</v>
      </c>
      <c r="G140" s="153">
        <v>2022</v>
      </c>
      <c r="H140" s="153">
        <v>2023</v>
      </c>
      <c r="I140" s="153">
        <v>2024</v>
      </c>
      <c r="J140" s="153">
        <v>2025</v>
      </c>
      <c r="K140" s="153" t="s">
        <v>10</v>
      </c>
    </row>
    <row r="141" spans="1:11" ht="12" customHeight="1" thickBot="1" x14ac:dyDescent="0.25">
      <c r="C141" s="160"/>
      <c r="D141" s="154"/>
      <c r="E141" s="154"/>
      <c r="F141" s="154"/>
      <c r="G141" s="154"/>
      <c r="H141" s="154"/>
      <c r="I141" s="154"/>
      <c r="J141" s="154"/>
      <c r="K141" s="154"/>
    </row>
    <row r="142" spans="1:11" x14ac:dyDescent="0.2">
      <c r="C142" s="87" t="s">
        <v>123</v>
      </c>
      <c r="D142" s="42">
        <f>41.96409278742*Deflactores!$T$5</f>
        <v>65.125170690494699</v>
      </c>
      <c r="E142" s="42">
        <f>74.51742666377*Deflactores!$U$5</f>
        <v>113.81314737134109</v>
      </c>
      <c r="F142" s="42">
        <f>74.01519493988*Deflactores!$V$5</f>
        <v>107.03093238575926</v>
      </c>
      <c r="G142" s="42">
        <f>56.764231846*Deflactores!$W$5</f>
        <v>72.564430331907246</v>
      </c>
      <c r="H142" s="42">
        <f>50.56056516597*Deflactores!$X$5</f>
        <v>59.145302655139815</v>
      </c>
      <c r="I142" s="42">
        <f>85.3398991934599*Deflactores!$Y$5</f>
        <v>94.895304639677775</v>
      </c>
      <c r="J142" s="42">
        <f>77.13760286199*Deflactores!$Z$5</f>
        <v>81.611583827985427</v>
      </c>
      <c r="K142" s="42">
        <f>9.42291790927999*Deflactores!$AA$5</f>
        <v>9.42291790927999</v>
      </c>
    </row>
    <row r="143" spans="1:11" x14ac:dyDescent="0.2">
      <c r="C143" s="88" t="s">
        <v>124</v>
      </c>
      <c r="D143" s="50">
        <f>93.01623465735*Deflactores!$T$5</f>
        <v>144.35432191359095</v>
      </c>
      <c r="E143" s="50">
        <f>104.99752546672*Deflactores!$U$5</f>
        <v>160.36649914777615</v>
      </c>
      <c r="F143" s="50">
        <f>117.46250216216*Deflactores!$V$5</f>
        <v>169.85865047024669</v>
      </c>
      <c r="G143" s="50">
        <f>126.96314278802*Deflactores!$W$5</f>
        <v>162.30305299569523</v>
      </c>
      <c r="H143" s="50">
        <f>124.859215757469*Deflactores!$X$5</f>
        <v>146.05920802145823</v>
      </c>
      <c r="I143" s="50">
        <f>132.997247495129*Deflactores!$Y$5</f>
        <v>147.88878867408008</v>
      </c>
      <c r="J143" s="50">
        <f>147.051085313179*Deflactores!$Z$5</f>
        <v>155.58004826134336</v>
      </c>
      <c r="K143" s="50">
        <f>29.93851433301*Deflactores!$AA$5</f>
        <v>29.938514333010001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140.16522040577*Deflactores!$T$5</f>
        <v>217.52606329507159</v>
      </c>
      <c r="E145" s="50">
        <f>161.05927759773*Deflactores!$U$5</f>
        <v>245.99163064851857</v>
      </c>
      <c r="F145" s="50">
        <f>153.05495956203*Deflactores!$V$5</f>
        <v>221.32772927903483</v>
      </c>
      <c r="G145" s="50">
        <f>163.9514972188*Deflactores!$W$5</f>
        <v>209.58703413836199</v>
      </c>
      <c r="H145" s="50">
        <f>168.824329373229*Deflactores!$X$5</f>
        <v>197.48920969442008</v>
      </c>
      <c r="I145" s="50">
        <f>137.52569783*Deflactores!$Y$5</f>
        <v>152.92428412385871</v>
      </c>
      <c r="J145" s="50">
        <f>157.36177427804*Deflactores!$Z$5</f>
        <v>166.48875718616634</v>
      </c>
      <c r="K145" s="50">
        <f>18.89495128965*Deflactores!$AA$5</f>
        <v>18.894951289649999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6.43345982875*Deflactores!$T$5</f>
        <v>9.984254195610454</v>
      </c>
      <c r="E147" s="50">
        <f>7.06908484053999*Deflactores!$U$5</f>
        <v>10.796867669184579</v>
      </c>
      <c r="F147" s="50">
        <f>6.34034872044*Deflactores!$V$5</f>
        <v>9.1685691802982241</v>
      </c>
      <c r="G147" s="50">
        <f>8.65721675975*Deflactores!$W$5</f>
        <v>11.066933912457522</v>
      </c>
      <c r="H147" s="50">
        <f>8.33769585292*Deflactores!$X$5</f>
        <v>9.7533629825673795</v>
      </c>
      <c r="I147" s="50">
        <f>7.87208562*Deflactores!$Y$5</f>
        <v>8.7535135396173001</v>
      </c>
      <c r="J147" s="50">
        <f>13.68878103386*Deflactores!$Z$5</f>
        <v>14.482730333823881</v>
      </c>
      <c r="K147" s="50">
        <f>1.7407887125*Deflactores!$AA$5</f>
        <v>1.7407887124999999</v>
      </c>
    </row>
    <row r="148" spans="3:11" x14ac:dyDescent="0.2">
      <c r="C148" s="87" t="s">
        <v>129</v>
      </c>
      <c r="D148" s="42">
        <f>63.55062831185*Deflactores!$T$5</f>
        <v>98.625878492436499</v>
      </c>
      <c r="E148" s="42">
        <f>47.07621252714*Deflactores!$U$5</f>
        <v>71.901193504860245</v>
      </c>
      <c r="F148" s="42">
        <f>49.97892776228*Deflactores!$V$5</f>
        <v>72.272879134917929</v>
      </c>
      <c r="G148" s="42">
        <f>33.39282977019*Deflactores!$W$5</f>
        <v>42.687650138877743</v>
      </c>
      <c r="H148" s="42">
        <f>24.98206550353*Deflactores!$X$5</f>
        <v>29.223799621434921</v>
      </c>
      <c r="I148" s="42">
        <f>52.1461506156199*Deflactores!$Y$5</f>
        <v>57.984892122241902</v>
      </c>
      <c r="J148" s="42">
        <f>78.91646559043*Deflactores!$Z$5</f>
        <v>83.493620594674937</v>
      </c>
      <c r="K148" s="42">
        <f>4.36003202803*Deflactores!$AA$5</f>
        <v>4.36003202803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6.97506142078*Deflactores!$T$5</f>
        <v>10.824779839900595</v>
      </c>
      <c r="E150" s="42">
        <f>4.10223496773999*Deflactores!$U$5</f>
        <v>6.2654910916597562</v>
      </c>
      <c r="F150" s="42">
        <f>5.91489194552*Deflactores!$V$5</f>
        <v>8.5533301696259709</v>
      </c>
      <c r="G150" s="42">
        <f>7.38269753014*Deflactores!$W$5</f>
        <v>9.4376550719612755</v>
      </c>
      <c r="H150" s="42">
        <f>10.80001355219*Deflactores!$X$5</f>
        <v>12.633760483631146</v>
      </c>
      <c r="I150" s="42">
        <f>14.13271113693*Deflactores!$Y$5</f>
        <v>15.715133734612118</v>
      </c>
      <c r="J150" s="42">
        <f>15.17574406081*Deflactores!$Z$5</f>
        <v>16.055937216336982</v>
      </c>
      <c r="K150" s="42">
        <f>3.1621634425*Deflactores!$AA$5</f>
        <v>3.1621634424999998</v>
      </c>
    </row>
    <row r="151" spans="3:11" x14ac:dyDescent="0.2">
      <c r="C151" s="88" t="s">
        <v>132</v>
      </c>
      <c r="D151" s="50">
        <f>257.78253857751*Deflactores!$T$5</f>
        <v>400.05944870377664</v>
      </c>
      <c r="E151" s="50">
        <f>149.984414030639*Deflactores!$U$5</f>
        <v>229.07659297597294</v>
      </c>
      <c r="F151" s="50">
        <f>185.60806173229*Deflactores!$V$5</f>
        <v>268.40169672804171</v>
      </c>
      <c r="G151" s="50">
        <f>192.06985516198*Deflactores!$W$5</f>
        <v>245.5320748737154</v>
      </c>
      <c r="H151" s="50">
        <f>229.79695981942*Deflactores!$X$5</f>
        <v>268.81445437042618</v>
      </c>
      <c r="I151" s="50">
        <f>300.272933158819*Deflactores!$Y$5</f>
        <v>333.89413083979167</v>
      </c>
      <c r="J151" s="50">
        <f>309.75434429697*Deflactores!$Z$5</f>
        <v>327.72009626619428</v>
      </c>
      <c r="K151" s="50">
        <f>51.25196231967*Deflactores!$AA$5</f>
        <v>51.25196231967</v>
      </c>
    </row>
    <row r="152" spans="3:11" x14ac:dyDescent="0.2">
      <c r="C152" s="87" t="s">
        <v>133</v>
      </c>
      <c r="D152" s="42">
        <f>47.4381466298499*Deflactores!$T$5</f>
        <v>73.620497699305361</v>
      </c>
      <c r="E152" s="42">
        <f>36.82885806522*Deflactores!$U$5</f>
        <v>56.250040267869672</v>
      </c>
      <c r="F152" s="42">
        <f>65.17971098343*Deflactores!$V$5</f>
        <v>94.254230430081151</v>
      </c>
      <c r="G152" s="42">
        <f>20.57370866746*Deflactores!$W$5</f>
        <v>26.300355007341807</v>
      </c>
      <c r="H152" s="42">
        <f>29.56197196587*Deflactores!$X$5</f>
        <v>34.581333758130988</v>
      </c>
      <c r="I152" s="42">
        <f>23.7866736446599*Deflactores!$Y$5</f>
        <v>26.450038765074865</v>
      </c>
      <c r="J152" s="42">
        <f>16.8153209250399*Deflactores!$Z$5</f>
        <v>17.790609538692213</v>
      </c>
      <c r="K152" s="42">
        <f>0.09468752164*Deflactores!$AA$5</f>
        <v>9.4687521639999994E-2</v>
      </c>
    </row>
    <row r="153" spans="3:11" x14ac:dyDescent="0.2">
      <c r="C153" s="88" t="s">
        <v>134</v>
      </c>
      <c r="D153" s="50">
        <f>31.7587157341499*Deflactores!$T$5</f>
        <v>49.28717972231356</v>
      </c>
      <c r="E153" s="50">
        <f>40.6305887834199*Deflactores!$U$5</f>
        <v>62.056560405084909</v>
      </c>
      <c r="F153" s="50">
        <f>44.29888647475*Deflactores!$V$5</f>
        <v>64.05915875645033</v>
      </c>
      <c r="G153" s="50">
        <f>74.98013620281*Deflactores!$W$5</f>
        <v>95.850691409455322</v>
      </c>
      <c r="H153" s="50">
        <f>68.05730207318*Deflactores!$X$5</f>
        <v>79.612830983933108</v>
      </c>
      <c r="I153" s="50">
        <f>69.92424229421*Deflactores!$Y$5</f>
        <v>77.75357525517461</v>
      </c>
      <c r="J153" s="50">
        <f>62.17346713813*Deflactores!$Z$5</f>
        <v>65.779528232141544</v>
      </c>
      <c r="K153" s="50">
        <f>11.47580818749*Deflactores!$AA$5</f>
        <v>11.475808187489999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3101.40622420866*Deflactores!$Y$5</f>
        <v>3448.6669335113093</v>
      </c>
      <c r="J154" s="42">
        <f>3096.04990098183*Deflactores!$Z$5</f>
        <v>3275.6207952387763</v>
      </c>
      <c r="K154" s="42">
        <f>786.0304290143*Deflactores!$AA$5</f>
        <v>786.03042901430001</v>
      </c>
    </row>
    <row r="155" spans="3:11" x14ac:dyDescent="0.2">
      <c r="C155" s="88" t="s">
        <v>136</v>
      </c>
      <c r="D155" s="50">
        <f>1886.99029474324*Deflactores!$T$5</f>
        <v>2928.4694812537577</v>
      </c>
      <c r="E155" s="50">
        <f>1786.79249784525*Deflactores!$U$5</f>
        <v>2729.0324825205075</v>
      </c>
      <c r="F155" s="50">
        <f>1919.03908744725*Deflactores!$V$5</f>
        <v>2775.0591345605762</v>
      </c>
      <c r="G155" s="50">
        <f>2258.97120529057*Deflactores!$W$5</f>
        <v>2887.7508479777503</v>
      </c>
      <c r="H155" s="50">
        <f>2797.75054855696*Deflactores!$X$5</f>
        <v>3272.7838861136324</v>
      </c>
      <c r="I155" s="50">
        <f>0*Deflactores!$Y$5</f>
        <v>0</v>
      </c>
      <c r="J155" s="50">
        <f>0*Deflactores!$Z$5</f>
        <v>0</v>
      </c>
      <c r="K155" s="50">
        <f>0*Deflactores!$AA$5</f>
        <v>0</v>
      </c>
    </row>
    <row r="156" spans="3:11" x14ac:dyDescent="0.2">
      <c r="C156" s="87" t="s">
        <v>137</v>
      </c>
      <c r="D156" s="42">
        <f>24.27991061919*Deflactores!$T$5</f>
        <v>37.68062689773496</v>
      </c>
      <c r="E156" s="42">
        <f>23.34472846097*Deflactores!$U$5</f>
        <v>35.655243875512262</v>
      </c>
      <c r="F156" s="42">
        <f>52.57937800436*Deflactores!$V$5</f>
        <v>76.033304467292893</v>
      </c>
      <c r="G156" s="42">
        <f>25.50644994554*Deflactores!$W$5</f>
        <v>32.60611391886281</v>
      </c>
      <c r="H156" s="42">
        <f>10.18298531601*Deflactores!$X$5</f>
        <v>11.911966301627109</v>
      </c>
      <c r="I156" s="42">
        <f>35.98745374019*Deflactores!$Y$5</f>
        <v>40.016925472808104</v>
      </c>
      <c r="J156" s="42">
        <f>35.75969092246*Deflactores!$Z$5</f>
        <v>37.833752995962683</v>
      </c>
      <c r="K156" s="42">
        <f>11.03281759556*Deflactores!$AA$5</f>
        <v>11.032817595559999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0*Deflactores!$T$5</f>
        <v>0</v>
      </c>
      <c r="E158" s="42">
        <f>0*Deflactores!$U$5</f>
        <v>0</v>
      </c>
      <c r="F158" s="42">
        <f>0*Deflactores!$V$5</f>
        <v>0</v>
      </c>
      <c r="G158" s="42">
        <f>0*Deflactores!$W$5</f>
        <v>0</v>
      </c>
      <c r="H158" s="42">
        <f>0*Deflactores!$X$5</f>
        <v>0</v>
      </c>
      <c r="I158" s="42">
        <f>0*Deflactores!$Y$5</f>
        <v>0</v>
      </c>
      <c r="J158" s="42">
        <f>0*Deflactores!$Z$5</f>
        <v>0</v>
      </c>
      <c r="K158" s="42">
        <f>0*Deflactores!$AA$5</f>
        <v>0</v>
      </c>
    </row>
    <row r="159" spans="3:11" x14ac:dyDescent="0.2">
      <c r="C159" s="88" t="s">
        <v>161</v>
      </c>
      <c r="D159" s="50">
        <f>47.11096594972*Deflactores!$T$5</f>
        <v>73.112737463714609</v>
      </c>
      <c r="E159" s="50">
        <f>31.40012886251*Deflactores!$U$5</f>
        <v>47.958546795141679</v>
      </c>
      <c r="F159" s="50">
        <f>43.2827121*Deflactores!$V$5</f>
        <v>62.589702506495811</v>
      </c>
      <c r="G159" s="50">
        <f>86.3323813789099*Deflactores!$W$5</f>
        <v>110.36280894196588</v>
      </c>
      <c r="H159" s="50">
        <f>91.05007594703*Deflactores!$X$5</f>
        <v>106.50957482344513</v>
      </c>
      <c r="I159" s="50">
        <f>111.12206657677*Deflactores!$Y$5</f>
        <v>123.56427016732715</v>
      </c>
      <c r="J159" s="50">
        <f>154.43816694783*Deflactores!$Z$5</f>
        <v>163.39558063080415</v>
      </c>
      <c r="K159" s="50">
        <f>12.870938414*Deflactores!$AA$5</f>
        <v>12.870938413999999</v>
      </c>
    </row>
    <row r="160" spans="3:11" x14ac:dyDescent="0.2">
      <c r="C160" s="87" t="s">
        <v>140</v>
      </c>
      <c r="D160" s="42">
        <f>252.911817751409*Deflactores!$T$5</f>
        <v>392.50044994756689</v>
      </c>
      <c r="E160" s="42">
        <f>123.47086796256*Deflactores!$U$5</f>
        <v>188.58149993419656</v>
      </c>
      <c r="F160" s="42">
        <f>324.929206469159*Deflactores!$V$5</f>
        <v>469.86940932882106</v>
      </c>
      <c r="G160" s="42">
        <f>336.997520192819*Deflactores!$W$5</f>
        <v>430.80003517709048</v>
      </c>
      <c r="H160" s="42">
        <f>213.09474133983*Deflactores!$X$5</f>
        <v>249.27634668225295</v>
      </c>
      <c r="I160" s="42">
        <f>402.88132446838*Deflactores!$Y$5</f>
        <v>447.99145980235346</v>
      </c>
      <c r="J160" s="42">
        <f>387.752853259039*Deflactores!$Z$5</f>
        <v>410.24251874806328</v>
      </c>
      <c r="K160" s="42">
        <f>10.88720116211*Deflactores!$AA$5</f>
        <v>10.887201162109999</v>
      </c>
    </row>
    <row r="161" spans="1:11" x14ac:dyDescent="0.2">
      <c r="C161" s="88" t="s">
        <v>141</v>
      </c>
      <c r="D161" s="50">
        <f>0*Deflactores!$T$5</f>
        <v>0</v>
      </c>
      <c r="E161" s="50">
        <f>0*Deflactores!$U$5</f>
        <v>0</v>
      </c>
      <c r="F161" s="50">
        <f>0*Deflactores!$V$5</f>
        <v>0</v>
      </c>
      <c r="G161" s="50">
        <f>0*Deflactores!$W$5</f>
        <v>0</v>
      </c>
      <c r="H161" s="50">
        <f>0*Deflactores!$X$5</f>
        <v>0</v>
      </c>
      <c r="I161" s="50">
        <f>0*Deflactores!$Y$5</f>
        <v>0</v>
      </c>
      <c r="J161" s="50">
        <f>0*Deflactores!$Z$5</f>
        <v>0</v>
      </c>
      <c r="K161" s="50">
        <f>0*Deflactores!$AA$5</f>
        <v>0</v>
      </c>
    </row>
    <row r="162" spans="1:11" x14ac:dyDescent="0.2">
      <c r="C162" s="87" t="s">
        <v>142</v>
      </c>
      <c r="D162" s="42">
        <f>19.60636776143*Deflactores!$T$5</f>
        <v>30.427633776143992</v>
      </c>
      <c r="E162" s="42">
        <f>21.66352296682*Deflactores!$U$5</f>
        <v>33.087478223451271</v>
      </c>
      <c r="F162" s="42">
        <f>19.1582703819899*Deflactores!$V$5</f>
        <v>27.704142960758642</v>
      </c>
      <c r="G162" s="42">
        <f>25.93439401915*Deflactores!$W$5</f>
        <v>33.153175279609719</v>
      </c>
      <c r="H162" s="42">
        <f>20.39367335491*Deflactores!$X$5</f>
        <v>23.856339003861528</v>
      </c>
      <c r="I162" s="42">
        <f>23.22626359915*Deflactores!$Y$5</f>
        <v>25.826880283586135</v>
      </c>
      <c r="J162" s="42">
        <f>16.39045546012*Deflactores!$Z$5</f>
        <v>17.34110187680696</v>
      </c>
      <c r="K162" s="42">
        <f>4.37163604793999*Deflactores!$AA$5</f>
        <v>4.3716360479399903</v>
      </c>
    </row>
    <row r="163" spans="1:11" x14ac:dyDescent="0.2">
      <c r="C163" s="88" t="s">
        <v>143</v>
      </c>
      <c r="D163" s="50">
        <f>34.30997968523*Deflactores!$T$5</f>
        <v>53.246552825701755</v>
      </c>
      <c r="E163" s="50">
        <f>9.04283904153*Deflactores!$U$5</f>
        <v>13.811453489031441</v>
      </c>
      <c r="F163" s="50">
        <f>49.19915078136*Deflactores!$V$5</f>
        <v>71.145269359808751</v>
      </c>
      <c r="G163" s="50">
        <f>69.58122759627*Deflactores!$W$5</f>
        <v>88.94900852382294</v>
      </c>
      <c r="H163" s="50">
        <f>6.69139617581*Deflactores!$X$5</f>
        <v>7.8275361579640466</v>
      </c>
      <c r="I163" s="50">
        <f>9.3469045964*Deflactores!$Y$5</f>
        <v>10.393466215640395</v>
      </c>
      <c r="J163" s="50">
        <f>4.44491553261*Deflactores!$Z$5</f>
        <v>4.7027206335013796</v>
      </c>
      <c r="K163" s="50">
        <f>0.7308084886*Deflactores!$AA$5</f>
        <v>0.73080848860000003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45.6700444313399*Deflactores!$T$5</f>
        <v>70.876533757096141</v>
      </c>
      <c r="E165" s="50">
        <f>30.363787967*Deflactores!$U$5</f>
        <v>46.375706051058742</v>
      </c>
      <c r="F165" s="50">
        <f>28.8154713565799*Deflactores!$V$5</f>
        <v>41.669102796189783</v>
      </c>
      <c r="G165" s="50">
        <f>48.76373414399*Deflactores!$W$5</f>
        <v>62.337011775568605</v>
      </c>
      <c r="H165" s="50">
        <f>72.4427048444*Deflactores!$X$5</f>
        <v>84.74283642032546</v>
      </c>
      <c r="I165" s="50">
        <f>55.58991133205*Deflactores!$Y$5</f>
        <v>61.814246567001241</v>
      </c>
      <c r="J165" s="50">
        <f>99.78353205347*Deflactores!$Z$5</f>
        <v>105.57097691257127</v>
      </c>
      <c r="K165" s="50">
        <f>18.247165444*Deflactores!$AA$5</f>
        <v>18.247165444</v>
      </c>
    </row>
    <row r="166" spans="1:11" x14ac:dyDescent="0.2">
      <c r="C166" s="87" t="s">
        <v>146</v>
      </c>
      <c r="D166" s="42">
        <f>9.07949346261*Deflactores!$T$5</f>
        <v>14.090702842811558</v>
      </c>
      <c r="E166" s="42">
        <f>3.07043943761*Deflactores!$U$5</f>
        <v>4.6895926476938925</v>
      </c>
      <c r="F166" s="42">
        <f>1.14634178*Deflactores!$V$5</f>
        <v>1.6576870417731258</v>
      </c>
      <c r="G166" s="42">
        <f>1.072998397*Deflactores!$W$5</f>
        <v>1.3716651294884266</v>
      </c>
      <c r="H166" s="42">
        <f>17.83676064037*Deflactores!$X$5</f>
        <v>20.865285089257959</v>
      </c>
      <c r="I166" s="42">
        <f>52.23924751814*Deflactores!$Y$5</f>
        <v>58.088412972502432</v>
      </c>
      <c r="J166" s="42">
        <f>136.0220349676*Deflactores!$Z$5</f>
        <v>143.91131299572081</v>
      </c>
      <c r="K166" s="42">
        <f>23.0940043266499*Deflactores!$AA$5</f>
        <v>23.094004326649902</v>
      </c>
    </row>
    <row r="167" spans="1:11" x14ac:dyDescent="0.2">
      <c r="C167" s="88" t="s">
        <v>162</v>
      </c>
      <c r="D167" s="50">
        <f>96.6940808097099*Deflactores!$T$5</f>
        <v>150.06206733440038</v>
      </c>
      <c r="E167" s="50">
        <f>104.48842286789*Deflactores!$U$5</f>
        <v>159.58892842771874</v>
      </c>
      <c r="F167" s="50">
        <f>109.73119487096*Deflactores!$V$5</f>
        <v>158.67866197450473</v>
      </c>
      <c r="G167" s="50">
        <f>120.330471537979*Deflactores!$W$5</f>
        <v>153.82419236134734</v>
      </c>
      <c r="H167" s="50">
        <f>134.09033492299*Deflactores!$X$5</f>
        <v>156.85768970571507</v>
      </c>
      <c r="I167" s="50">
        <f>140.23862329668*Deflactores!$Y$5</f>
        <v>155.94097257859582</v>
      </c>
      <c r="J167" s="50">
        <f>134.63957693876*Deflactores!$Z$5</f>
        <v>142.44867240120809</v>
      </c>
      <c r="K167" s="50">
        <f>38.5274639322699*Deflactores!$AA$5</f>
        <v>38.527463932269903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990.050903790369*Deflactores!$T$5</f>
        <v>1536.4858339307484</v>
      </c>
      <c r="E169" s="50">
        <f>1194.63780418195*Deflactores!$U$5</f>
        <v>1824.6133092628834</v>
      </c>
      <c r="F169" s="50">
        <f>1257.11616873044*Deflactores!$V$5</f>
        <v>1817.874231983352</v>
      </c>
      <c r="G169" s="50">
        <f>1234.44921388694*Deflactores!$W$5</f>
        <v>1578.0554244510356</v>
      </c>
      <c r="H169" s="50">
        <f>1328.28218429712*Deflactores!$X$5</f>
        <v>1553.8127697702166</v>
      </c>
      <c r="I169" s="50">
        <f>1965.83308838625*Deflactores!$Y$5</f>
        <v>2185.945045122201</v>
      </c>
      <c r="J169" s="50">
        <f>941.40905160411*Deflactores!$Z$5</f>
        <v>996.01077659714838</v>
      </c>
      <c r="K169" s="50">
        <f>369.351840934289*Deflactores!$AA$5</f>
        <v>369.35184093428899</v>
      </c>
    </row>
    <row r="170" spans="1:11" x14ac:dyDescent="0.2">
      <c r="C170" s="87" t="s">
        <v>163</v>
      </c>
      <c r="D170" s="42">
        <f>1369.79069781851*Deflactores!$T$5</f>
        <v>2125.813929961213</v>
      </c>
      <c r="E170" s="42">
        <f>1387.69065948355*Deflactores!$U$5</f>
        <v>2119.4698824781503</v>
      </c>
      <c r="F170" s="42">
        <f>1436.03947994498*Deflactores!$V$5</f>
        <v>2076.6093314503569</v>
      </c>
      <c r="G170" s="42">
        <f>1553.04516680285*Deflactores!$W$5</f>
        <v>1985.3318567669826</v>
      </c>
      <c r="H170" s="42">
        <f>2021.83341377527*Deflactores!$X$5</f>
        <v>2365.1228735967138</v>
      </c>
      <c r="I170" s="42">
        <f>1962.80050854738*Deflactores!$Y$5</f>
        <v>2182.5729109812719</v>
      </c>
      <c r="J170" s="42">
        <f>2565.12459232146*Deflactores!$Z$5</f>
        <v>2713.901818676105</v>
      </c>
      <c r="K170" s="42">
        <f>424.678751062669*Deflactores!$AA$5</f>
        <v>424.67875106266899</v>
      </c>
    </row>
    <row r="171" spans="1:11" x14ac:dyDescent="0.2">
      <c r="C171" s="88" t="s">
        <v>150</v>
      </c>
      <c r="D171" s="50">
        <f>1493.82307332468*Deflactores!$T$5</f>
        <v>2318.3030102543626</v>
      </c>
      <c r="E171" s="50">
        <f>1387.25391226702*Deflactores!$U$5</f>
        <v>2118.8028227373029</v>
      </c>
      <c r="F171" s="50">
        <f>1655.13366344163*Deflactores!$V$5</f>
        <v>2393.4342044915015</v>
      </c>
      <c r="G171" s="50">
        <f>1216.39529260637*Deflactores!$W$5</f>
        <v>1554.9762340810178</v>
      </c>
      <c r="H171" s="50">
        <f>929.26088947263*Deflactores!$X$5</f>
        <v>1087.0411826494999</v>
      </c>
      <c r="I171" s="50">
        <f>1508.90228064791*Deflactores!$Y$5</f>
        <v>1677.8522466846468</v>
      </c>
      <c r="J171" s="50">
        <f>2099.74257744593*Deflactores!$Z$5</f>
        <v>2221.5276469377936</v>
      </c>
      <c r="K171" s="50">
        <f>346.83455208453*Deflactores!$AA$5</f>
        <v>346.83455208453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202</v>
      </c>
      <c r="D173" s="44">
        <f t="shared" ref="D173:K173" si="6">+SUM(D142:D172)</f>
        <v>10800.477154797754</v>
      </c>
      <c r="E173" s="44">
        <f t="shared" si="6"/>
        <v>10278.184969524917</v>
      </c>
      <c r="F173" s="44">
        <f t="shared" si="6"/>
        <v>10987.251359455886</v>
      </c>
      <c r="G173" s="44">
        <f t="shared" si="6"/>
        <v>9794.8482522643153</v>
      </c>
      <c r="H173" s="44">
        <f t="shared" si="6"/>
        <v>9777.9215488856535</v>
      </c>
      <c r="I173" s="44">
        <f t="shared" si="6"/>
        <v>11334.933432053373</v>
      </c>
      <c r="J173" s="44">
        <f t="shared" si="6"/>
        <v>11161.51058610182</v>
      </c>
      <c r="K173" s="44">
        <f t="shared" si="6"/>
        <v>2176.999434250688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abril</v>
      </c>
      <c r="D174" s="121">
        <f>+D173-'C7 Ejec. Prop 19-26'!D97</f>
        <v>-1.8189894035458565E-11</v>
      </c>
      <c r="E174" s="121">
        <f>+E173-'C7 Ejec. Prop 19-26'!E97</f>
        <v>-3.2741809263825417E-11</v>
      </c>
      <c r="F174" s="121">
        <f>+F173-'C7 Ejec. Prop 19-26'!F97</f>
        <v>-4.7293724492192268E-11</v>
      </c>
      <c r="G174" s="121">
        <f>+G173-'C7 Ejec. Prop 19-26'!G97</f>
        <v>-2.9103830456733704E-11</v>
      </c>
      <c r="H174" s="121">
        <f>+H173-'C7 Ejec. Prop 19-26'!H97</f>
        <v>0</v>
      </c>
      <c r="I174" s="121">
        <f>+I173-'C7 Ejec. Prop 19-26'!I97</f>
        <v>-1.4551915228366852E-11</v>
      </c>
      <c r="J174" s="121">
        <f>+J173-'C7 Ejec. Prop 19-26'!J97</f>
        <v>7.0940586738288403E-11</v>
      </c>
      <c r="K174" s="121">
        <f>+K173-'C7 Ejec. Prop 19-26'!K97</f>
        <v>7.73070496506989E-12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1" t="s">
        <v>222</v>
      </c>
      <c r="E179" s="131"/>
      <c r="F179" s="131"/>
      <c r="G179" s="131"/>
      <c r="H179" s="131"/>
      <c r="I179" s="131"/>
      <c r="J179" s="131"/>
      <c r="K179" s="131"/>
    </row>
    <row r="180" spans="3:11" hidden="1" x14ac:dyDescent="0.2">
      <c r="D180" s="28"/>
      <c r="E180" s="28"/>
      <c r="F180" s="28"/>
    </row>
    <row r="181" spans="3:11" x14ac:dyDescent="0.2">
      <c r="E181" s="29"/>
      <c r="F181" s="29"/>
    </row>
    <row r="182" spans="3:11" ht="12" thickBot="1" x14ac:dyDescent="0.25">
      <c r="C182" s="176" t="s">
        <v>120</v>
      </c>
      <c r="D182" s="153">
        <v>2019</v>
      </c>
      <c r="E182" s="153">
        <v>2020</v>
      </c>
      <c r="F182" s="153">
        <v>2021</v>
      </c>
      <c r="G182" s="153">
        <v>2022</v>
      </c>
      <c r="H182" s="153">
        <v>2023</v>
      </c>
      <c r="I182" s="153">
        <v>2024</v>
      </c>
      <c r="J182" s="153">
        <v>2025</v>
      </c>
      <c r="K182" s="153" t="s">
        <v>10</v>
      </c>
    </row>
    <row r="183" spans="3:11" ht="12" customHeight="1" thickBot="1" x14ac:dyDescent="0.25">
      <c r="C183" s="160"/>
      <c r="D183" s="154"/>
      <c r="E183" s="154"/>
      <c r="F183" s="154"/>
      <c r="G183" s="154"/>
      <c r="H183" s="154"/>
      <c r="I183" s="154"/>
      <c r="J183" s="154"/>
      <c r="K183" s="154"/>
    </row>
    <row r="184" spans="3:11" x14ac:dyDescent="0.2">
      <c r="C184" s="87" t="s">
        <v>123</v>
      </c>
      <c r="D184" s="47">
        <f t="shared" ref="D184:K193" si="7">+IFERROR(IF(D142&gt;0,+((D142/D15)*100)," "),"")</f>
        <v>70.656585335982484</v>
      </c>
      <c r="E184" s="47">
        <f t="shared" si="7"/>
        <v>91.635968780517601</v>
      </c>
      <c r="F184" s="47">
        <f t="shared" si="7"/>
        <v>94.449496692563557</v>
      </c>
      <c r="G184" s="47">
        <f t="shared" si="7"/>
        <v>87.06751588551252</v>
      </c>
      <c r="H184" s="47">
        <f t="shared" si="7"/>
        <v>73.930314055439624</v>
      </c>
      <c r="I184" s="47">
        <f t="shared" si="7"/>
        <v>76.977333253066988</v>
      </c>
      <c r="J184" s="47">
        <f t="shared" si="7"/>
        <v>79.79664526541292</v>
      </c>
      <c r="K184" s="47">
        <f t="shared" si="7"/>
        <v>12.903107742942643</v>
      </c>
    </row>
    <row r="185" spans="3:11" x14ac:dyDescent="0.2">
      <c r="C185" s="88" t="s">
        <v>124</v>
      </c>
      <c r="D185" s="116">
        <f t="shared" si="7"/>
        <v>93.725899269101703</v>
      </c>
      <c r="E185" s="116">
        <f t="shared" si="7"/>
        <v>89.100085646857067</v>
      </c>
      <c r="F185" s="116">
        <f t="shared" si="7"/>
        <v>79.26725058640038</v>
      </c>
      <c r="G185" s="116">
        <f t="shared" si="7"/>
        <v>77.904200736968605</v>
      </c>
      <c r="H185" s="116">
        <f t="shared" si="7"/>
        <v>73.978721437594032</v>
      </c>
      <c r="I185" s="116">
        <f t="shared" si="7"/>
        <v>71.494437596089838</v>
      </c>
      <c r="J185" s="116">
        <f t="shared" si="7"/>
        <v>87.225234458771467</v>
      </c>
      <c r="K185" s="116">
        <f t="shared" si="7"/>
        <v>15.433439679890357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95.84231558088824</v>
      </c>
      <c r="E187" s="116">
        <f t="shared" si="7"/>
        <v>91.703320461872138</v>
      </c>
      <c r="F187" s="116">
        <f t="shared" si="7"/>
        <v>87.592763135858021</v>
      </c>
      <c r="G187" s="116">
        <f t="shared" si="7"/>
        <v>90.044990514331516</v>
      </c>
      <c r="H187" s="116">
        <f t="shared" si="7"/>
        <v>91.813527354376134</v>
      </c>
      <c r="I187" s="116">
        <f t="shared" si="7"/>
        <v>88.43562158157242</v>
      </c>
      <c r="J187" s="116">
        <f t="shared" si="7"/>
        <v>91.979841862579164</v>
      </c>
      <c r="K187" s="116">
        <f t="shared" si="7"/>
        <v>15.130305912922287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90.959806687395144</v>
      </c>
      <c r="E189" s="116">
        <f t="shared" si="7"/>
        <v>91.124245851373132</v>
      </c>
      <c r="F189" s="116">
        <f t="shared" si="7"/>
        <v>57.02652578352977</v>
      </c>
      <c r="G189" s="116">
        <f t="shared" si="7"/>
        <v>46.866218121574832</v>
      </c>
      <c r="H189" s="116">
        <f t="shared" si="7"/>
        <v>69.729244945690382</v>
      </c>
      <c r="I189" s="116">
        <f t="shared" si="7"/>
        <v>52.711098269182123</v>
      </c>
      <c r="J189" s="116">
        <f t="shared" si="7"/>
        <v>87.262276693931341</v>
      </c>
      <c r="K189" s="116">
        <f t="shared" si="7"/>
        <v>8.8972060021161656</v>
      </c>
    </row>
    <row r="190" spans="3:11" x14ac:dyDescent="0.2">
      <c r="C190" s="87" t="s">
        <v>129</v>
      </c>
      <c r="D190" s="47">
        <f t="shared" si="7"/>
        <v>82.789201313902552</v>
      </c>
      <c r="E190" s="47">
        <f t="shared" si="7"/>
        <v>86.435443918028554</v>
      </c>
      <c r="F190" s="47">
        <f t="shared" si="7"/>
        <v>66.138247733254147</v>
      </c>
      <c r="G190" s="47">
        <f t="shared" si="7"/>
        <v>55.66168327100609</v>
      </c>
      <c r="H190" s="47">
        <f t="shared" si="7"/>
        <v>39.925310847551614</v>
      </c>
      <c r="I190" s="47">
        <f t="shared" si="7"/>
        <v>57.69400625732419</v>
      </c>
      <c r="J190" s="47">
        <f t="shared" si="7"/>
        <v>72.206098455085993</v>
      </c>
      <c r="K190" s="47">
        <f t="shared" si="7"/>
        <v>3.4309618646904685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74.68647623659983</v>
      </c>
      <c r="E192" s="47">
        <f t="shared" si="7"/>
        <v>41.489520768483565</v>
      </c>
      <c r="F192" s="47">
        <f t="shared" si="7"/>
        <v>51.626621514011525</v>
      </c>
      <c r="G192" s="47">
        <f t="shared" si="7"/>
        <v>59.052697723297101</v>
      </c>
      <c r="H192" s="47">
        <f t="shared" si="7"/>
        <v>64.673517657873106</v>
      </c>
      <c r="I192" s="47">
        <f t="shared" si="7"/>
        <v>73.839822770949311</v>
      </c>
      <c r="J192" s="47">
        <f t="shared" si="7"/>
        <v>69.14624386111683</v>
      </c>
      <c r="K192" s="47">
        <f t="shared" si="7"/>
        <v>7.5062878349754083</v>
      </c>
    </row>
    <row r="193" spans="3:11" x14ac:dyDescent="0.2">
      <c r="C193" s="88" t="s">
        <v>132</v>
      </c>
      <c r="D193" s="116">
        <f t="shared" si="7"/>
        <v>84.119725095295038</v>
      </c>
      <c r="E193" s="116">
        <f t="shared" si="7"/>
        <v>62.607496491460793</v>
      </c>
      <c r="F193" s="116">
        <f t="shared" si="7"/>
        <v>59.065320954312703</v>
      </c>
      <c r="G193" s="116">
        <f t="shared" si="7"/>
        <v>60.474617103074621</v>
      </c>
      <c r="H193" s="116">
        <f t="shared" si="7"/>
        <v>61.57842108818015</v>
      </c>
      <c r="I193" s="116">
        <f t="shared" si="7"/>
        <v>84.1429887757063</v>
      </c>
      <c r="J193" s="116">
        <f t="shared" si="7"/>
        <v>81.396885235960042</v>
      </c>
      <c r="K193" s="116">
        <f t="shared" si="7"/>
        <v>12.767575484028404</v>
      </c>
    </row>
    <row r="194" spans="3:11" x14ac:dyDescent="0.2">
      <c r="C194" s="87" t="s">
        <v>133</v>
      </c>
      <c r="D194" s="47">
        <f t="shared" ref="D194:K203" si="8">+IFERROR(IF(D152&gt;0,+((D152/D25)*100)," "),"")</f>
        <v>81.500440899305744</v>
      </c>
      <c r="E194" s="47">
        <f t="shared" si="8"/>
        <v>72.153498947276603</v>
      </c>
      <c r="F194" s="47">
        <f t="shared" si="8"/>
        <v>82.962157897500362</v>
      </c>
      <c r="G194" s="47">
        <f t="shared" si="8"/>
        <v>69.208967064179035</v>
      </c>
      <c r="H194" s="47">
        <f t="shared" si="8"/>
        <v>72.426093393822214</v>
      </c>
      <c r="I194" s="47">
        <f t="shared" si="8"/>
        <v>83.56462875671771</v>
      </c>
      <c r="J194" s="47">
        <f t="shared" si="8"/>
        <v>82.143573307868081</v>
      </c>
      <c r="K194" s="47">
        <f t="shared" si="8"/>
        <v>0.57782745323499174</v>
      </c>
    </row>
    <row r="195" spans="3:11" x14ac:dyDescent="0.2">
      <c r="C195" s="88" t="s">
        <v>134</v>
      </c>
      <c r="D195" s="116">
        <f t="shared" si="8"/>
        <v>84.678618141980792</v>
      </c>
      <c r="E195" s="116">
        <f t="shared" si="8"/>
        <v>87.956047701917043</v>
      </c>
      <c r="F195" s="116">
        <f t="shared" si="8"/>
        <v>59.586364030385774</v>
      </c>
      <c r="G195" s="116">
        <f t="shared" si="8"/>
        <v>92.104991840609244</v>
      </c>
      <c r="H195" s="116">
        <f t="shared" si="8"/>
        <v>84.221952500257302</v>
      </c>
      <c r="I195" s="116">
        <f t="shared" si="8"/>
        <v>93.604928215313166</v>
      </c>
      <c r="J195" s="116">
        <f t="shared" si="8"/>
        <v>90.404352007561059</v>
      </c>
      <c r="K195" s="116">
        <f t="shared" si="8"/>
        <v>14.236338239824503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89.443539675235385</v>
      </c>
      <c r="J196" s="47">
        <f t="shared" si="8"/>
        <v>95.31827998620544</v>
      </c>
      <c r="K196" s="47">
        <f t="shared" si="8"/>
        <v>23.430797152156398</v>
      </c>
    </row>
    <row r="197" spans="3:11" x14ac:dyDescent="0.2">
      <c r="C197" s="88" t="s">
        <v>136</v>
      </c>
      <c r="D197" s="116">
        <f t="shared" si="8"/>
        <v>94.023021178118356</v>
      </c>
      <c r="E197" s="116">
        <f t="shared" si="8"/>
        <v>91.776236659224807</v>
      </c>
      <c r="F197" s="116">
        <f t="shared" si="8"/>
        <v>85.524430897411094</v>
      </c>
      <c r="G197" s="116">
        <f t="shared" si="8"/>
        <v>92.111809638491025</v>
      </c>
      <c r="H197" s="116">
        <f t="shared" si="8"/>
        <v>92.080709114219957</v>
      </c>
      <c r="I197" s="116" t="str">
        <f t="shared" si="8"/>
        <v xml:space="preserve"> </v>
      </c>
      <c r="J197" s="116" t="str">
        <f t="shared" si="8"/>
        <v xml:space="preserve"> </v>
      </c>
      <c r="K197" s="116" t="str">
        <f t="shared" si="8"/>
        <v xml:space="preserve"> </v>
      </c>
    </row>
    <row r="198" spans="3:11" x14ac:dyDescent="0.2">
      <c r="C198" s="87" t="s">
        <v>137</v>
      </c>
      <c r="D198" s="47">
        <f t="shared" si="8"/>
        <v>58.919751126242545</v>
      </c>
      <c r="E198" s="47">
        <f t="shared" si="8"/>
        <v>71.504537326206631</v>
      </c>
      <c r="F198" s="47">
        <f t="shared" si="8"/>
        <v>52.424495663100025</v>
      </c>
      <c r="G198" s="47">
        <f t="shared" si="8"/>
        <v>29.477888283531144</v>
      </c>
      <c r="H198" s="47">
        <f t="shared" si="8"/>
        <v>20.493015200958709</v>
      </c>
      <c r="I198" s="47">
        <f t="shared" si="8"/>
        <v>63.065039413668288</v>
      </c>
      <c r="J198" s="47">
        <f t="shared" si="8"/>
        <v>69.792827306132835</v>
      </c>
      <c r="K198" s="47">
        <f t="shared" si="8"/>
        <v>20.900061342135359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 t="str">
        <f t="shared" si="8"/>
        <v xml:space="preserve"> </v>
      </c>
      <c r="E200" s="47" t="str">
        <f t="shared" si="8"/>
        <v xml:space="preserve"> </v>
      </c>
      <c r="F200" s="47" t="str">
        <f t="shared" si="8"/>
        <v xml:space="preserve"> </v>
      </c>
      <c r="G200" s="47" t="str">
        <f t="shared" si="8"/>
        <v xml:space="preserve"> </v>
      </c>
      <c r="H200" s="47" t="str">
        <f t="shared" si="8"/>
        <v xml:space="preserve"> </v>
      </c>
      <c r="I200" s="47" t="str">
        <f t="shared" si="8"/>
        <v xml:space="preserve"> </v>
      </c>
      <c r="J200" s="47" t="str">
        <f t="shared" si="8"/>
        <v xml:space="preserve"> </v>
      </c>
      <c r="K200" s="47" t="str">
        <f t="shared" si="8"/>
        <v xml:space="preserve"> </v>
      </c>
    </row>
    <row r="201" spans="3:11" x14ac:dyDescent="0.2">
      <c r="C201" s="88" t="s">
        <v>161</v>
      </c>
      <c r="D201" s="116">
        <f t="shared" si="8"/>
        <v>75.006365930446606</v>
      </c>
      <c r="E201" s="116">
        <f t="shared" si="8"/>
        <v>60.034915608993302</v>
      </c>
      <c r="F201" s="116">
        <f t="shared" si="8"/>
        <v>62.480457458786844</v>
      </c>
      <c r="G201" s="116">
        <f t="shared" si="8"/>
        <v>43.985034941128646</v>
      </c>
      <c r="H201" s="116">
        <f t="shared" si="8"/>
        <v>58.811985922489285</v>
      </c>
      <c r="I201" s="116">
        <f t="shared" si="8"/>
        <v>78.343888701252283</v>
      </c>
      <c r="J201" s="116">
        <f t="shared" si="8"/>
        <v>59.263194572749796</v>
      </c>
      <c r="K201" s="116">
        <f t="shared" si="8"/>
        <v>7.0116804022976611</v>
      </c>
    </row>
    <row r="202" spans="3:11" x14ac:dyDescent="0.2">
      <c r="C202" s="87" t="s">
        <v>140</v>
      </c>
      <c r="D202" s="47">
        <f t="shared" si="8"/>
        <v>81.820130936045501</v>
      </c>
      <c r="E202" s="47">
        <f t="shared" si="8"/>
        <v>71.933219815110192</v>
      </c>
      <c r="F202" s="47">
        <f t="shared" si="8"/>
        <v>64.111401946815477</v>
      </c>
      <c r="G202" s="47">
        <f t="shared" si="8"/>
        <v>67.815645450021023</v>
      </c>
      <c r="H202" s="47">
        <f t="shared" si="8"/>
        <v>39.238566940094195</v>
      </c>
      <c r="I202" s="47">
        <f t="shared" si="8"/>
        <v>70.951639922304025</v>
      </c>
      <c r="J202" s="47">
        <f t="shared" si="8"/>
        <v>74.156076713652737</v>
      </c>
      <c r="K202" s="47">
        <f t="shared" si="8"/>
        <v>2.1260815609186836</v>
      </c>
    </row>
    <row r="203" spans="3:11" x14ac:dyDescent="0.2">
      <c r="C203" s="88" t="s">
        <v>141</v>
      </c>
      <c r="D203" s="116" t="str">
        <f t="shared" si="8"/>
        <v xml:space="preserve"> </v>
      </c>
      <c r="E203" s="116" t="str">
        <f t="shared" si="8"/>
        <v xml:space="preserve"> </v>
      </c>
      <c r="F203" s="116" t="str">
        <f t="shared" si="8"/>
        <v xml:space="preserve"> </v>
      </c>
      <c r="G203" s="116" t="str">
        <f t="shared" si="8"/>
        <v xml:space="preserve"> </v>
      </c>
      <c r="H203" s="116" t="str">
        <f t="shared" si="8"/>
        <v xml:space="preserve"> </v>
      </c>
      <c r="I203" s="116" t="str">
        <f t="shared" si="8"/>
        <v xml:space="preserve"> </v>
      </c>
      <c r="J203" s="116" t="str">
        <f t="shared" si="8"/>
        <v xml:space="preserve"> </v>
      </c>
      <c r="K203" s="116" t="str">
        <f t="shared" si="8"/>
        <v xml:space="preserve"> </v>
      </c>
    </row>
    <row r="204" spans="3:11" x14ac:dyDescent="0.2">
      <c r="C204" s="87" t="s">
        <v>142</v>
      </c>
      <c r="D204" s="47">
        <f t="shared" ref="D204:K213" si="9">+IFERROR(IF(D162&gt;0,+((D162/D35)*100)," "),"")</f>
        <v>86.976844120405772</v>
      </c>
      <c r="E204" s="47">
        <f t="shared" si="9"/>
        <v>95.473761045795285</v>
      </c>
      <c r="F204" s="47">
        <f t="shared" si="9"/>
        <v>81.40677480237062</v>
      </c>
      <c r="G204" s="47">
        <f t="shared" si="9"/>
        <v>88.73454788523992</v>
      </c>
      <c r="H204" s="47">
        <f t="shared" si="9"/>
        <v>67.9913762686826</v>
      </c>
      <c r="I204" s="47">
        <f t="shared" si="9"/>
        <v>70.314433274249225</v>
      </c>
      <c r="J204" s="47">
        <f t="shared" si="9"/>
        <v>43.044423184305892</v>
      </c>
      <c r="K204" s="47">
        <f t="shared" si="9"/>
        <v>13.169349048466772</v>
      </c>
    </row>
    <row r="205" spans="3:11" x14ac:dyDescent="0.2">
      <c r="C205" s="88" t="s">
        <v>143</v>
      </c>
      <c r="D205" s="116">
        <f t="shared" si="9"/>
        <v>52.509131839607612</v>
      </c>
      <c r="E205" s="116">
        <f t="shared" si="9"/>
        <v>24.32455681274983</v>
      </c>
      <c r="F205" s="116">
        <f t="shared" si="9"/>
        <v>35.081510611811936</v>
      </c>
      <c r="G205" s="116">
        <f t="shared" si="9"/>
        <v>53.551141238635893</v>
      </c>
      <c r="H205" s="116">
        <f t="shared" si="9"/>
        <v>7.8211674641053737</v>
      </c>
      <c r="I205" s="116">
        <f t="shared" si="9"/>
        <v>16.651080893497301</v>
      </c>
      <c r="J205" s="116">
        <f t="shared" si="9"/>
        <v>49.498392997229644</v>
      </c>
      <c r="K205" s="116">
        <f t="shared" si="9"/>
        <v>1.3533093657874407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91.64528367508052</v>
      </c>
      <c r="E207" s="116">
        <f t="shared" si="9"/>
        <v>98.698764821953986</v>
      </c>
      <c r="F207" s="116">
        <f t="shared" si="9"/>
        <v>52.759693016627594</v>
      </c>
      <c r="G207" s="116">
        <f t="shared" si="9"/>
        <v>77.578419072260999</v>
      </c>
      <c r="H207" s="116">
        <f t="shared" si="9"/>
        <v>78.1348141843646</v>
      </c>
      <c r="I207" s="116">
        <f t="shared" si="9"/>
        <v>45.009660415545618</v>
      </c>
      <c r="J207" s="116">
        <f t="shared" si="9"/>
        <v>60.819945438967729</v>
      </c>
      <c r="K207" s="116">
        <f t="shared" si="9"/>
        <v>10.691951928835527</v>
      </c>
    </row>
    <row r="208" spans="3:11" x14ac:dyDescent="0.2">
      <c r="C208" s="87" t="s">
        <v>146</v>
      </c>
      <c r="D208" s="47">
        <f t="shared" si="9"/>
        <v>98.905157544771242</v>
      </c>
      <c r="E208" s="47">
        <f t="shared" si="9"/>
        <v>98.20589777731054</v>
      </c>
      <c r="F208" s="47">
        <f t="shared" si="9"/>
        <v>98.290953333188853</v>
      </c>
      <c r="G208" s="47">
        <f t="shared" si="9"/>
        <v>24.907112279480042</v>
      </c>
      <c r="H208" s="47">
        <f t="shared" si="9"/>
        <v>58.441271223974887</v>
      </c>
      <c r="I208" s="47">
        <f t="shared" si="9"/>
        <v>77.520826442915521</v>
      </c>
      <c r="J208" s="47">
        <f t="shared" si="9"/>
        <v>80.527907382760347</v>
      </c>
      <c r="K208" s="47">
        <f t="shared" si="9"/>
        <v>12.085219745854303</v>
      </c>
    </row>
    <row r="209" spans="1:11" x14ac:dyDescent="0.2">
      <c r="C209" s="88" t="s">
        <v>162</v>
      </c>
      <c r="D209" s="116">
        <f t="shared" si="9"/>
        <v>79.226193689951458</v>
      </c>
      <c r="E209" s="116">
        <f t="shared" si="9"/>
        <v>87.045342299603291</v>
      </c>
      <c r="F209" s="116">
        <f t="shared" si="9"/>
        <v>83.646454585460191</v>
      </c>
      <c r="G209" s="116">
        <f t="shared" si="9"/>
        <v>76.349292874648398</v>
      </c>
      <c r="H209" s="116">
        <f t="shared" si="9"/>
        <v>74.445324547154385</v>
      </c>
      <c r="I209" s="116">
        <f t="shared" si="9"/>
        <v>76.667951916275882</v>
      </c>
      <c r="J209" s="116">
        <f t="shared" si="9"/>
        <v>90.509500727419294</v>
      </c>
      <c r="K209" s="116">
        <f t="shared" si="9"/>
        <v>9.583659004277731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87.880333631845929</v>
      </c>
      <c r="E211" s="116">
        <f t="shared" si="9"/>
        <v>94.156172403723488</v>
      </c>
      <c r="F211" s="116">
        <f t="shared" si="9"/>
        <v>78.243377529836678</v>
      </c>
      <c r="G211" s="116">
        <f t="shared" si="9"/>
        <v>78.848773074036174</v>
      </c>
      <c r="H211" s="116">
        <f t="shared" si="9"/>
        <v>88.830506488322229</v>
      </c>
      <c r="I211" s="116">
        <f t="shared" si="9"/>
        <v>80.117659777015461</v>
      </c>
      <c r="J211" s="116">
        <f t="shared" si="9"/>
        <v>67.449313852830556</v>
      </c>
      <c r="K211" s="116">
        <f t="shared" si="9"/>
        <v>24.495240257454988</v>
      </c>
    </row>
    <row r="212" spans="1:11" x14ac:dyDescent="0.2">
      <c r="C212" s="87" t="s">
        <v>163</v>
      </c>
      <c r="D212" s="47">
        <f t="shared" si="9"/>
        <v>87.263489226632416</v>
      </c>
      <c r="E212" s="47">
        <f t="shared" si="9"/>
        <v>91.091687289300651</v>
      </c>
      <c r="F212" s="47">
        <f t="shared" si="9"/>
        <v>89.076473594708588</v>
      </c>
      <c r="G212" s="47">
        <f t="shared" si="9"/>
        <v>93.27458368222598</v>
      </c>
      <c r="H212" s="47">
        <f t="shared" si="9"/>
        <v>92.182850386239323</v>
      </c>
      <c r="I212" s="47">
        <f t="shared" si="9"/>
        <v>90.857339901792983</v>
      </c>
      <c r="J212" s="47">
        <f t="shared" si="9"/>
        <v>87.177373547894319</v>
      </c>
      <c r="K212" s="47">
        <f t="shared" si="9"/>
        <v>14.562093885765368</v>
      </c>
    </row>
    <row r="213" spans="1:11" x14ac:dyDescent="0.2">
      <c r="C213" s="88" t="s">
        <v>150</v>
      </c>
      <c r="D213" s="116">
        <f t="shared" si="9"/>
        <v>69.704699257709976</v>
      </c>
      <c r="E213" s="116">
        <f t="shared" si="9"/>
        <v>64.892491435087422</v>
      </c>
      <c r="F213" s="116">
        <f t="shared" si="9"/>
        <v>60.452441121137348</v>
      </c>
      <c r="G213" s="116">
        <f t="shared" si="9"/>
        <v>46.527256673275524</v>
      </c>
      <c r="H213" s="116">
        <f t="shared" si="9"/>
        <v>37.411032565376914</v>
      </c>
      <c r="I213" s="116">
        <f t="shared" si="9"/>
        <v>47.619036746503916</v>
      </c>
      <c r="J213" s="116">
        <f t="shared" si="9"/>
        <v>55.548087021030369</v>
      </c>
      <c r="K213" s="116">
        <f t="shared" si="9"/>
        <v>6.2565809425619987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202</v>
      </c>
      <c r="D215" s="64">
        <f t="shared" si="10"/>
        <v>83.560200571574583</v>
      </c>
      <c r="E215" s="64">
        <f t="shared" si="10"/>
        <v>82.763814479801496</v>
      </c>
      <c r="F215" s="64">
        <f t="shared" si="10"/>
        <v>74.532166565739772</v>
      </c>
      <c r="G215" s="64">
        <f t="shared" si="10"/>
        <v>73.737791153056591</v>
      </c>
      <c r="H215" s="64">
        <f t="shared" si="10"/>
        <v>73.422092826627733</v>
      </c>
      <c r="I215" s="64">
        <f t="shared" si="10"/>
        <v>75.414525697772646</v>
      </c>
      <c r="J215" s="64">
        <f t="shared" si="10"/>
        <v>76.536563096069244</v>
      </c>
      <c r="K215" s="64">
        <f t="shared" si="10"/>
        <v>13.604623689944248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abril</v>
      </c>
      <c r="D216" s="47"/>
      <c r="E216" s="47"/>
      <c r="F216" s="47"/>
      <c r="G216" s="47"/>
      <c r="H216" s="47"/>
      <c r="I216" s="47"/>
      <c r="J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55" t="s">
        <v>223</v>
      </c>
      <c r="E221" s="178"/>
      <c r="F221" s="178"/>
      <c r="G221" s="178"/>
      <c r="H221" s="178"/>
      <c r="I221" s="178"/>
      <c r="J221" s="178"/>
      <c r="K221" s="178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76" t="s">
        <v>120</v>
      </c>
      <c r="D223" s="153">
        <v>2019</v>
      </c>
      <c r="E223" s="153">
        <v>2020</v>
      </c>
      <c r="F223" s="153">
        <v>2021</v>
      </c>
      <c r="G223" s="153">
        <v>2022</v>
      </c>
      <c r="H223" s="153">
        <v>2023</v>
      </c>
      <c r="I223" s="153">
        <v>2024</v>
      </c>
      <c r="J223" s="153">
        <v>2025</v>
      </c>
      <c r="K223" s="153" t="s">
        <v>10</v>
      </c>
    </row>
    <row r="224" spans="1:11" ht="12" customHeight="1" thickBot="1" x14ac:dyDescent="0.25">
      <c r="C224" s="160"/>
      <c r="D224" s="154"/>
      <c r="E224" s="154"/>
      <c r="F224" s="154"/>
      <c r="G224" s="154"/>
      <c r="H224" s="154"/>
      <c r="I224" s="154"/>
      <c r="J224" s="154"/>
      <c r="K224" s="154"/>
    </row>
    <row r="225" spans="3:11" x14ac:dyDescent="0.2">
      <c r="C225" s="87" t="s">
        <v>123</v>
      </c>
      <c r="D225" s="42">
        <f>39.39956667542*Deflactores!$T$5</f>
        <v>61.145215693485952</v>
      </c>
      <c r="E225" s="42">
        <f>74.2382047217699*Deflactores!$U$5</f>
        <v>113.38668165107998</v>
      </c>
      <c r="F225" s="42">
        <f>73.2417728361499*Deflactores!$V$5</f>
        <v>105.91251218897092</v>
      </c>
      <c r="G225" s="42">
        <f>55.98159254651*Deflactores!$W$5</f>
        <v>71.563945113029803</v>
      </c>
      <c r="H225" s="42">
        <f>41.54506841056*Deflactores!$X$5</f>
        <v>48.599054162173125</v>
      </c>
      <c r="I225" s="42">
        <f>72.27460350785*Deflactores!$Y$5</f>
        <v>80.367103575333942</v>
      </c>
      <c r="J225" s="42">
        <f>72.22324009489*Deflactores!$Z$5</f>
        <v>76.412188020393629</v>
      </c>
      <c r="K225" s="42">
        <f>6.47732625028*Deflactores!$AA$5</f>
        <v>6.47732625028</v>
      </c>
    </row>
    <row r="226" spans="3:11" x14ac:dyDescent="0.2">
      <c r="C226" s="88" t="s">
        <v>124</v>
      </c>
      <c r="D226" s="50">
        <f>90.28605973814*Deflactores!$T$5</f>
        <v>140.11729220990674</v>
      </c>
      <c r="E226" s="50">
        <f>102.78713362297*Deflactores!$U$5</f>
        <v>156.99048814036112</v>
      </c>
      <c r="F226" s="50">
        <f>114.03426772062*Deflactores!$V$5</f>
        <v>164.90119370730707</v>
      </c>
      <c r="G226" s="50">
        <f>126.09207630802*Deflactores!$W$5</f>
        <v>161.18952708603607</v>
      </c>
      <c r="H226" s="50">
        <f>122.448192265869*Deflactores!$X$5</f>
        <v>143.23881403157236</v>
      </c>
      <c r="I226" s="50">
        <f>128.56640378353*Deflactores!$Y$5</f>
        <v>142.9618287433</v>
      </c>
      <c r="J226" s="50">
        <f>146.22140397215*Deflactores!$Z$5</f>
        <v>154.70224540253471</v>
      </c>
      <c r="K226" s="50">
        <f>29.93666559801*Deflactores!$AA$5</f>
        <v>29.936665598009998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133.48549471671*Deflactores!$T$5</f>
        <v>207.15962268429965</v>
      </c>
      <c r="E228" s="50">
        <f>153.13202393237*Deflactores!$U$5</f>
        <v>233.88405085062038</v>
      </c>
      <c r="F228" s="50">
        <f>149.131139351079*Deflactores!$V$5</f>
        <v>215.65362227933971</v>
      </c>
      <c r="G228" s="50">
        <f>157.94779750798*Deflactores!$W$5</f>
        <v>201.91221788115601</v>
      </c>
      <c r="H228" s="50">
        <f>163.06114303008*Deflactores!$X$5</f>
        <v>190.74748520212864</v>
      </c>
      <c r="I228" s="50">
        <f>116.292618579829*Deflactores!$Y$5</f>
        <v>129.31376263360349</v>
      </c>
      <c r="J228" s="50">
        <f>146.30920537991*Deflactores!$Z$5</f>
        <v>154.79513929194479</v>
      </c>
      <c r="K228" s="50">
        <f>18.75830520825*Deflactores!$AA$5</f>
        <v>18.75830520825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6.42943748775*Deflactores!$T$5</f>
        <v>9.9780118196456637</v>
      </c>
      <c r="E230" s="50">
        <f>6.88070290043*Deflactores!$U$5</f>
        <v>10.509145152831747</v>
      </c>
      <c r="F230" s="50">
        <f>6.15438454497*Deflactores!$V$5</f>
        <v>8.8996525192386908</v>
      </c>
      <c r="G230" s="50">
        <f>8.43880989837*Deflactores!$W$5</f>
        <v>10.78773398388954</v>
      </c>
      <c r="H230" s="50">
        <f>7.73608470925*Deflactores!$X$5</f>
        <v>9.0496035792406175</v>
      </c>
      <c r="I230" s="50">
        <f>7.18737162679999*Deflactores!$Y$5</f>
        <v>7.9921329475396288</v>
      </c>
      <c r="J230" s="50">
        <f>13.18610025686*Deflactores!$Z$5</f>
        <v>13.95089407175788</v>
      </c>
      <c r="K230" s="50">
        <f>1.7372538669*Deflactores!$AA$5</f>
        <v>1.7372538668999999</v>
      </c>
    </row>
    <row r="231" spans="3:11" x14ac:dyDescent="0.2">
      <c r="C231" s="87" t="s">
        <v>129</v>
      </c>
      <c r="D231" s="42">
        <f>53.65452843397*Deflactores!$T$5</f>
        <v>83.267862843631093</v>
      </c>
      <c r="E231" s="42">
        <f>39.8574814817099*Deflactores!$U$5</f>
        <v>60.875765801691003</v>
      </c>
      <c r="F231" s="42">
        <f>42.50830713322*Deflactores!$V$5</f>
        <v>61.469861023865782</v>
      </c>
      <c r="G231" s="42">
        <f>31.71038436632*Deflactores!$W$5</f>
        <v>40.536899775029291</v>
      </c>
      <c r="H231" s="42">
        <f>20.71995748317*Deflactores!$X$5</f>
        <v>24.238023295842005</v>
      </c>
      <c r="I231" s="42">
        <f>48.54157659424*Deflactores!$Y$5</f>
        <v>53.976718300994548</v>
      </c>
      <c r="J231" s="42">
        <f>66.31776860997*Deflactores!$Z$5</f>
        <v>70.164199189348267</v>
      </c>
      <c r="K231" s="42">
        <f>3.07614333503*Deflactores!$AA$5</f>
        <v>3.0761433350299998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6.97506142078*Deflactores!$T$5</f>
        <v>10.824779839900595</v>
      </c>
      <c r="E233" s="42">
        <f>3.86266872273999*Deflactores!$U$5</f>
        <v>5.8995929445000357</v>
      </c>
      <c r="F233" s="42">
        <f>5.00114107966*Deflactores!$V$5</f>
        <v>7.2319851779559512</v>
      </c>
      <c r="G233" s="42">
        <f>7.36126253014*Deflactores!$W$5</f>
        <v>9.4102536870824274</v>
      </c>
      <c r="H233" s="42">
        <f>10.66551894836*Deflactores!$X$5</f>
        <v>12.476429883727917</v>
      </c>
      <c r="I233" s="42">
        <f>14.13271113693*Deflactores!$Y$5</f>
        <v>15.715133734612118</v>
      </c>
      <c r="J233" s="42">
        <f>15.17574406081*Deflactores!$Z$5</f>
        <v>16.055937216336982</v>
      </c>
      <c r="K233" s="42">
        <f>3.1317463435*Deflactores!$AA$5</f>
        <v>3.1317463435000001</v>
      </c>
    </row>
    <row r="234" spans="3:11" x14ac:dyDescent="0.2">
      <c r="C234" s="88" t="s">
        <v>132</v>
      </c>
      <c r="D234" s="50">
        <f>246.029072656319*Deflactores!$T$5</f>
        <v>381.81893822258866</v>
      </c>
      <c r="E234" s="50">
        <f>136.84670496924*Deflactores!$U$5</f>
        <v>209.01089714520444</v>
      </c>
      <c r="F234" s="50">
        <f>178.73488341591*Deflactores!$V$5</f>
        <v>258.46262024174354</v>
      </c>
      <c r="G234" s="50">
        <f>188.25335053521*Deflactores!$W$5</f>
        <v>240.65325461852385</v>
      </c>
      <c r="H234" s="50">
        <f>222.14392265288*Deflactores!$X$5</f>
        <v>259.86199907329484</v>
      </c>
      <c r="I234" s="50">
        <f>286.209498038649*Deflactores!$Y$5</f>
        <v>318.25602987387026</v>
      </c>
      <c r="J234" s="50">
        <f>300.07592100604*Deflactores!$Z$5</f>
        <v>317.48032442439035</v>
      </c>
      <c r="K234" s="50">
        <f>50.97923059867*Deflactores!$AA$5</f>
        <v>50.97923059867</v>
      </c>
    </row>
    <row r="235" spans="3:11" x14ac:dyDescent="0.2">
      <c r="C235" s="87" t="s">
        <v>133</v>
      </c>
      <c r="D235" s="42">
        <f>30.89154833285*Deflactores!$T$5</f>
        <v>47.941400002661943</v>
      </c>
      <c r="E235" s="42">
        <f>29.25859269543*Deflactores!$U$5</f>
        <v>44.687701540585458</v>
      </c>
      <c r="F235" s="42">
        <f>65.15056328543*Deflactores!$V$5</f>
        <v>94.212080905292723</v>
      </c>
      <c r="G235" s="42">
        <f>19.22415498211*Deflactores!$W$5</f>
        <v>24.575156036175784</v>
      </c>
      <c r="H235" s="42">
        <f>29.46814694125*Deflactores!$X$5</f>
        <v>34.471578072854136</v>
      </c>
      <c r="I235" s="42">
        <f>23.56577634647*Deflactores!$Y$5</f>
        <v>26.204407863188134</v>
      </c>
      <c r="J235" s="42">
        <f>16.8153209250399*Deflactores!$Z$5</f>
        <v>17.790609538692213</v>
      </c>
      <c r="K235" s="42">
        <f>0.09468752164*Deflactores!$AA$5</f>
        <v>9.4687521639999994E-2</v>
      </c>
    </row>
    <row r="236" spans="3:11" x14ac:dyDescent="0.2">
      <c r="C236" s="88" t="s">
        <v>134</v>
      </c>
      <c r="D236" s="50">
        <f>28.0424568890399*Deflactores!$T$5</f>
        <v>43.519820641208803</v>
      </c>
      <c r="E236" s="50">
        <f>38.96189761191*Deflactores!$U$5</f>
        <v>59.50790832833988</v>
      </c>
      <c r="F236" s="50">
        <f>40.01252946556*Deflactores!$V$5</f>
        <v>57.860799249264197</v>
      </c>
      <c r="G236" s="50">
        <f>69.73294333421*Deflactores!$W$5</f>
        <v>89.142954002128178</v>
      </c>
      <c r="H236" s="50">
        <f>65.23622351477*Deflactores!$X$5</f>
        <v>76.312758197891824</v>
      </c>
      <c r="I236" s="50">
        <f>58.5449317138099*Deflactores!$Y$5</f>
        <v>65.100137012077511</v>
      </c>
      <c r="J236" s="50">
        <f>51.5516343030799*Deflactores!$Z$5</f>
        <v>54.541629092658539</v>
      </c>
      <c r="K236" s="50">
        <f>11.47580818749*Deflactores!$AA$5</f>
        <v>11.475808187489999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2897.21976471714*Deflactores!$Y$5</f>
        <v>3221.617962750046</v>
      </c>
      <c r="J237" s="42">
        <f>3081.49690213936*Deflactores!$Z$5</f>
        <v>3260.2237224634428</v>
      </c>
      <c r="K237" s="42">
        <f>785.9009844263*Deflactores!$AA$5</f>
        <v>785.90098442630006</v>
      </c>
    </row>
    <row r="238" spans="3:11" x14ac:dyDescent="0.2">
      <c r="C238" s="88" t="s">
        <v>136</v>
      </c>
      <c r="D238" s="50">
        <f>1831.48425930101*Deflactores!$T$5</f>
        <v>2842.328216367137</v>
      </c>
      <c r="E238" s="50">
        <f>1756.82046291225*Deflactores!$U$5</f>
        <v>2683.2551149761312</v>
      </c>
      <c r="F238" s="50">
        <f>1884.38219725178*Deflactores!$V$5</f>
        <v>2724.9429486311196</v>
      </c>
      <c r="G238" s="50">
        <f>2231.59453050636*Deflactores!$W$5</f>
        <v>2852.7539362695529</v>
      </c>
      <c r="H238" s="50">
        <f>2730.43142064751*Deflactores!$X$5</f>
        <v>3194.0345647479703</v>
      </c>
      <c r="I238" s="50">
        <f>0*Deflactores!$Y$5</f>
        <v>0</v>
      </c>
      <c r="J238" s="50">
        <f>0*Deflactores!$Z$5</f>
        <v>0</v>
      </c>
      <c r="K238" s="50">
        <f>0*Deflactores!$AA$5</f>
        <v>0</v>
      </c>
    </row>
    <row r="239" spans="3:11" x14ac:dyDescent="0.2">
      <c r="C239" s="87" t="s">
        <v>137</v>
      </c>
      <c r="D239" s="42">
        <f>24.07308287447*Deflactores!$T$5</f>
        <v>37.359645523333413</v>
      </c>
      <c r="E239" s="42">
        <f>22.98650997709*Deflactores!$U$5</f>
        <v>35.10812389402215</v>
      </c>
      <c r="F239" s="42">
        <f>49.66607687747*Deflactores!$V$5</f>
        <v>71.820475788198067</v>
      </c>
      <c r="G239" s="42">
        <f>25.39025852466*Deflactores!$W$5</f>
        <v>32.457580872762833</v>
      </c>
      <c r="H239" s="42">
        <f>9.78689317942*Deflactores!$X$5</f>
        <v>11.448621217943112</v>
      </c>
      <c r="I239" s="42">
        <f>35.687169316*Deflactores!$Y$5</f>
        <v>39.683018564300248</v>
      </c>
      <c r="J239" s="42">
        <f>35.64436773064*Deflactores!$Z$5</f>
        <v>37.711741059017122</v>
      </c>
      <c r="K239" s="42">
        <f>11.03281759556*Deflactores!$AA$5</f>
        <v>11.032817595559999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0*Deflactores!$T$5</f>
        <v>0</v>
      </c>
      <c r="E241" s="42">
        <f>0*Deflactores!$U$5</f>
        <v>0</v>
      </c>
      <c r="F241" s="42">
        <f>0*Deflactores!$V$5</f>
        <v>0</v>
      </c>
      <c r="G241" s="42">
        <f>0*Deflactores!$W$5</f>
        <v>0</v>
      </c>
      <c r="H241" s="42">
        <f>0*Deflactores!$X$5</f>
        <v>0</v>
      </c>
      <c r="I241" s="42">
        <f>0*Deflactores!$Y$5</f>
        <v>0</v>
      </c>
      <c r="J241" s="42">
        <f>0*Deflactores!$Z$5</f>
        <v>0</v>
      </c>
      <c r="K241" s="42">
        <f>0*Deflactores!$AA$5</f>
        <v>0</v>
      </c>
    </row>
    <row r="242" spans="3:11" x14ac:dyDescent="0.2">
      <c r="C242" s="88" t="s">
        <v>161</v>
      </c>
      <c r="D242" s="50">
        <f>40.0510102192299*Deflactores!$T$5</f>
        <v>62.156207929175579</v>
      </c>
      <c r="E242" s="50">
        <f>31.36421886251*Deflactores!$U$5</f>
        <v>47.903700159863384</v>
      </c>
      <c r="F242" s="50">
        <f>38.24547411875*Deflactores!$V$5</f>
        <v>55.305518789624273</v>
      </c>
      <c r="G242" s="50">
        <f>78.6051075426799*Deflactores!$W$5</f>
        <v>100.48466551062491</v>
      </c>
      <c r="H242" s="50">
        <f>90.30493018081*Deflactores!$X$5</f>
        <v>105.63790988614456</v>
      </c>
      <c r="I242" s="50">
        <f>92.52852709385*Deflactores!$Y$5</f>
        <v>102.88883452424417</v>
      </c>
      <c r="J242" s="50">
        <f>145.45981500413*Deflactores!$Z$5</f>
        <v>153.89648427436956</v>
      </c>
      <c r="K242" s="50">
        <f>12.387782387*Deflactores!$AA$5</f>
        <v>12.387782387</v>
      </c>
    </row>
    <row r="243" spans="3:11" x14ac:dyDescent="0.2">
      <c r="C243" s="87" t="s">
        <v>140</v>
      </c>
      <c r="D243" s="42">
        <f>241.17571338528*Deflactores!$T$5</f>
        <v>374.28688331674635</v>
      </c>
      <c r="E243" s="42">
        <f>118.113061994129*Deflactores!$U$5</f>
        <v>180.39833006946793</v>
      </c>
      <c r="F243" s="42">
        <f>311.27096187729*Deflactores!$V$5</f>
        <v>450.11867227262735</v>
      </c>
      <c r="G243" s="42">
        <f>323.84606070404*Deflactores!$W$5</f>
        <v>413.9878960042135</v>
      </c>
      <c r="H243" s="42">
        <f>129.92802379721*Deflactores!$X$5</f>
        <v>151.98865490614349</v>
      </c>
      <c r="I243" s="42">
        <f>318.62848516984*Deflactores!$Y$5</f>
        <v>354.3049318411687</v>
      </c>
      <c r="J243" s="42">
        <f>382.84314915078*Deflactores!$Z$5</f>
        <v>405.04805180152528</v>
      </c>
      <c r="K243" s="42">
        <f>10.11846194163*Deflactores!$AA$5</f>
        <v>10.118461941630001</v>
      </c>
    </row>
    <row r="244" spans="3:11" x14ac:dyDescent="0.2">
      <c r="C244" s="88" t="s">
        <v>141</v>
      </c>
      <c r="D244" s="50">
        <f>0*Deflactores!$T$5</f>
        <v>0</v>
      </c>
      <c r="E244" s="50">
        <f>0*Deflactores!$U$5</f>
        <v>0</v>
      </c>
      <c r="F244" s="50">
        <f>0*Deflactores!$V$5</f>
        <v>0</v>
      </c>
      <c r="G244" s="50">
        <f>0*Deflactores!$W$5</f>
        <v>0</v>
      </c>
      <c r="H244" s="50">
        <f>0*Deflactores!$X$5</f>
        <v>0</v>
      </c>
      <c r="I244" s="50">
        <f>0*Deflactores!$Y$5</f>
        <v>0</v>
      </c>
      <c r="J244" s="50">
        <f>0*Deflactores!$Z$5</f>
        <v>0</v>
      </c>
      <c r="K244" s="50">
        <f>0*Deflactores!$AA$5</f>
        <v>0</v>
      </c>
    </row>
    <row r="245" spans="3:11" x14ac:dyDescent="0.2">
      <c r="C245" s="87" t="s">
        <v>142</v>
      </c>
      <c r="D245" s="42">
        <f>18.29044376351*Deflactores!$T$5</f>
        <v>28.385416983459049</v>
      </c>
      <c r="E245" s="42">
        <f>20.87862824586*Deflactores!$U$5</f>
        <v>31.888680270447878</v>
      </c>
      <c r="F245" s="42">
        <f>18.815348402*Deflactores!$V$5</f>
        <v>27.208254795042095</v>
      </c>
      <c r="G245" s="42">
        <f>23.77207277016*Deflactores!$W$5</f>
        <v>30.388976689673296</v>
      </c>
      <c r="H245" s="42">
        <f>17.78744134881*Deflactores!$X$5</f>
        <v>20.80759181750599</v>
      </c>
      <c r="I245" s="42">
        <f>22.4827617319*Deflactores!$Y$5</f>
        <v>25.00012941020023</v>
      </c>
      <c r="J245" s="42">
        <f>11.15902667012*Deflactores!$Z$5</f>
        <v>11.80625021698696</v>
      </c>
      <c r="K245" s="42">
        <f>4.25810711093999*Deflactores!$AA$5</f>
        <v>4.2581071109399904</v>
      </c>
    </row>
    <row r="246" spans="3:11" x14ac:dyDescent="0.2">
      <c r="C246" s="88" t="s">
        <v>143</v>
      </c>
      <c r="D246" s="50">
        <f>28.51178707623*Deflactores!$T$5</f>
        <v>44.248186406335506</v>
      </c>
      <c r="E246" s="50">
        <f>9.04283904153*Deflactores!$U$5</f>
        <v>13.811453489031441</v>
      </c>
      <c r="F246" s="50">
        <f>49.19915078136*Deflactores!$V$5</f>
        <v>71.145269359808751</v>
      </c>
      <c r="G246" s="50">
        <f>69.58122759627*Deflactores!$W$5</f>
        <v>88.94900852382294</v>
      </c>
      <c r="H246" s="50">
        <f>6.69139617581*Deflactores!$X$5</f>
        <v>7.8275361579640466</v>
      </c>
      <c r="I246" s="50">
        <f>9.34254185839999*Deflactores!$Y$5</f>
        <v>10.388614987135478</v>
      </c>
      <c r="J246" s="50">
        <f>4.44491553261*Deflactores!$Z$5</f>
        <v>4.7027206335013796</v>
      </c>
      <c r="K246" s="50">
        <f>0.7308084886*Deflactores!$AA$5</f>
        <v>0.73080848860000003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41.02808181999*Deflactores!$T$5</f>
        <v>63.672550844026155</v>
      </c>
      <c r="E248" s="50">
        <f>27.490047027*Deflactores!$U$5</f>
        <v>41.986538097271954</v>
      </c>
      <c r="F248" s="50">
        <f>28.76240754608*Deflactores!$V$5</f>
        <v>41.592368969867245</v>
      </c>
      <c r="G248" s="50">
        <f>46.53722811699*Deflactores!$W$5</f>
        <v>59.490762716510865</v>
      </c>
      <c r="H248" s="50">
        <f>70.8988014552*Deflactores!$X$5</f>
        <v>82.936791869106926</v>
      </c>
      <c r="I248" s="50">
        <f>40.04599349643*Deflactores!$Y$5</f>
        <v>44.529895023985567</v>
      </c>
      <c r="J248" s="50">
        <f>99.64628614253*Deflactores!$Z$5</f>
        <v>105.42577073879674</v>
      </c>
      <c r="K248" s="50">
        <f>18.247165444*Deflactores!$AA$5</f>
        <v>18.247165444</v>
      </c>
    </row>
    <row r="249" spans="3:11" x14ac:dyDescent="0.2">
      <c r="C249" s="87" t="s">
        <v>146</v>
      </c>
      <c r="D249" s="42">
        <f>8.9348978775*Deflactores!$T$5</f>
        <v>13.866301180917327</v>
      </c>
      <c r="E249" s="42">
        <f>2.98871410261*Deflactores!$U$5</f>
        <v>4.5647706025326151</v>
      </c>
      <c r="F249" s="42">
        <f>1.14634178*Deflactores!$V$5</f>
        <v>1.6576870417731258</v>
      </c>
      <c r="G249" s="42">
        <f>1.072998397*Deflactores!$W$5</f>
        <v>1.3716651294884266</v>
      </c>
      <c r="H249" s="42">
        <f>17.80076064037*Deflactores!$X$5</f>
        <v>20.823172607156629</v>
      </c>
      <c r="I249" s="42">
        <f>50.13435654348*Deflactores!$Y$5</f>
        <v>55.747839897523036</v>
      </c>
      <c r="J249" s="42">
        <f>128.68067849358*Deflactores!$Z$5</f>
        <v>136.14415784620763</v>
      </c>
      <c r="K249" s="42">
        <f>22.5143839821499*Deflactores!$AA$5</f>
        <v>22.514383982149901</v>
      </c>
    </row>
    <row r="250" spans="3:11" x14ac:dyDescent="0.2">
      <c r="C250" s="88" t="s">
        <v>162</v>
      </c>
      <c r="D250" s="50">
        <f>88.99743611313*Deflactores!$T$5</f>
        <v>138.11744357837054</v>
      </c>
      <c r="E250" s="50">
        <f>92.10482807768*Deflactores!$U$5</f>
        <v>140.6750184613351</v>
      </c>
      <c r="F250" s="50">
        <f>104.6805926783*Deflactores!$V$5</f>
        <v>151.37515271226411</v>
      </c>
      <c r="G250" s="50">
        <f>108.941106294699*Deflactores!$W$5</f>
        <v>139.26462247299213</v>
      </c>
      <c r="H250" s="50">
        <f>120.05849712368*Deflactores!$X$5</f>
        <v>140.44336975648713</v>
      </c>
      <c r="I250" s="50">
        <f>121.18878561864*Deflactores!$Y$5</f>
        <v>134.75814758256445</v>
      </c>
      <c r="J250" s="50">
        <f>110.44850214388*Deflactores!$Z$5</f>
        <v>116.85451526822506</v>
      </c>
      <c r="K250" s="50">
        <f>37.84054023577*Deflactores!$AA$5</f>
        <v>37.84054023577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887.104038574589*Deflactores!$T$5</f>
        <v>1376.7199073040949</v>
      </c>
      <c r="E252" s="50">
        <f>938.82415410774*Deflactores!$U$5</f>
        <v>1433.8999156446857</v>
      </c>
      <c r="F252" s="50">
        <f>1186.41208293331*Deflactores!$V$5</f>
        <v>1715.6313853287377</v>
      </c>
      <c r="G252" s="50">
        <f>1119.63767808898*Deflactores!$W$5</f>
        <v>1431.2863513961445</v>
      </c>
      <c r="H252" s="50">
        <f>1214.31160980754*Deflactores!$X$5</f>
        <v>1420.4909981515855</v>
      </c>
      <c r="I252" s="50">
        <f>1679.1170389762*Deflactores!$Y$5</f>
        <v>1867.125745931645</v>
      </c>
      <c r="J252" s="50">
        <f>903.247777179439*Deflactores!$Z$5</f>
        <v>955.63614825584659</v>
      </c>
      <c r="K252" s="50">
        <f>338.557052807409*Deflactores!$AA$5</f>
        <v>338.55705280740898</v>
      </c>
    </row>
    <row r="253" spans="3:11" x14ac:dyDescent="0.2">
      <c r="C253" s="87" t="s">
        <v>163</v>
      </c>
      <c r="D253" s="42">
        <f>1357.03740397934*Deflactores!$T$5</f>
        <v>2106.0217604426343</v>
      </c>
      <c r="E253" s="42">
        <f>1385.53100447926*Deflactores!$U$5</f>
        <v>2116.1713636714881</v>
      </c>
      <c r="F253" s="42">
        <f>1432.61352807683*Deflactores!$V$5</f>
        <v>2071.6551754415173</v>
      </c>
      <c r="G253" s="42">
        <f>1549.55421742184*Deflactores!$W$5</f>
        <v>1980.8692093407342</v>
      </c>
      <c r="H253" s="42">
        <f>2004.76146361069*Deflactores!$X$5</f>
        <v>2345.1522570483621</v>
      </c>
      <c r="I253" s="42">
        <f>1937.93899084035*Deflactores!$Y$5</f>
        <v>2154.927679162271</v>
      </c>
      <c r="J253" s="42">
        <f>2526.70100486194*Deflactores!$Z$5</f>
        <v>2673.2496631439326</v>
      </c>
      <c r="K253" s="42">
        <f>424.256646735669*Deflactores!$AA$5</f>
        <v>424.25664673566899</v>
      </c>
    </row>
    <row r="254" spans="3:11" x14ac:dyDescent="0.2">
      <c r="C254" s="88" t="s">
        <v>150</v>
      </c>
      <c r="D254" s="50">
        <f>1331.05121543515*Deflactores!$T$5</f>
        <v>2065.6931163061149</v>
      </c>
      <c r="E254" s="50">
        <f>1241.89668228314*Deflactores!$U$5</f>
        <v>1896.7934944725007</v>
      </c>
      <c r="F254" s="50">
        <f>1536.50333025369*Deflactores!$V$5</f>
        <v>2221.8867920898733</v>
      </c>
      <c r="G254" s="50">
        <f>1078.58341552447*Deflactores!$W$5</f>
        <v>1378.8047255763433</v>
      </c>
      <c r="H254" s="50">
        <f>812.49827776128*Deflactores!$X$5</f>
        <v>950.45331054397877</v>
      </c>
      <c r="I254" s="50">
        <f>1432.25631537507*Deflactores!$Y$5</f>
        <v>1592.6243252468664</v>
      </c>
      <c r="J254" s="50">
        <f>1949.44944260926*Deflactores!$Z$5</f>
        <v>2062.517510280597</v>
      </c>
      <c r="K254" s="50">
        <f>337.19610418176*Deflactores!$AA$5</f>
        <v>337.19610418176001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202</v>
      </c>
      <c r="D256" s="44">
        <f t="shared" ref="D256:K256" si="11">+SUM(D225:D255)</f>
        <v>10138.628580139675</v>
      </c>
      <c r="E256" s="44">
        <f t="shared" si="11"/>
        <v>9521.2087353639927</v>
      </c>
      <c r="F256" s="44">
        <f t="shared" si="11"/>
        <v>10578.944028513431</v>
      </c>
      <c r="G256" s="44">
        <f t="shared" si="11"/>
        <v>9359.881342685916</v>
      </c>
      <c r="H256" s="44">
        <f t="shared" si="11"/>
        <v>9251.0405242090765</v>
      </c>
      <c r="I256" s="44">
        <f t="shared" si="11"/>
        <v>10443.484379606469</v>
      </c>
      <c r="J256" s="44">
        <f t="shared" si="11"/>
        <v>10799.109902230508</v>
      </c>
      <c r="K256" s="44">
        <f t="shared" si="11"/>
        <v>2128.7080222465579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abril</v>
      </c>
      <c r="D257" s="121">
        <f>+D256-'C7 Ejec. Prop 19-26'!D130</f>
        <v>-1.8189894035458565E-11</v>
      </c>
      <c r="E257" s="121">
        <f>+E256-'C7 Ejec. Prop 19-26'!E130</f>
        <v>0</v>
      </c>
      <c r="F257" s="121">
        <f>+F256-'C7 Ejec. Prop 19-26'!F130</f>
        <v>-4.5474735088646412E-11</v>
      </c>
      <c r="G257" s="121">
        <f>+G256-'C7 Ejec. Prop 19-26'!G130</f>
        <v>-2.5465851649641991E-11</v>
      </c>
      <c r="H257" s="121">
        <f>+H256-'C7 Ejec. Prop 19-26'!H130</f>
        <v>0</v>
      </c>
      <c r="I257" s="121">
        <f>+I256-'C7 Ejec. Prop 19-26'!I130</f>
        <v>0</v>
      </c>
      <c r="J257" s="121">
        <f>+J256-'C7 Ejec. Prop 19-26'!J130</f>
        <v>2.1827872842550278E-11</v>
      </c>
      <c r="K257" s="121">
        <f>+K256-'C7 Ejec. Prop 19-26'!K130</f>
        <v>7.73070496506989E-12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224</v>
      </c>
      <c r="E262" s="131"/>
      <c r="F262" s="131"/>
      <c r="G262" s="131"/>
      <c r="H262" s="131"/>
      <c r="I262" s="131"/>
      <c r="J262" s="131"/>
      <c r="K262" s="131"/>
    </row>
    <row r="263" spans="1:11" hidden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76" t="s">
        <v>120</v>
      </c>
      <c r="D265" s="153">
        <v>2019</v>
      </c>
      <c r="E265" s="153">
        <v>2020</v>
      </c>
      <c r="F265" s="153">
        <v>2021</v>
      </c>
      <c r="G265" s="153">
        <v>2022</v>
      </c>
      <c r="H265" s="153">
        <v>2023</v>
      </c>
      <c r="I265" s="153">
        <v>2024</v>
      </c>
      <c r="J265" s="153">
        <v>2025</v>
      </c>
      <c r="K265" s="153" t="s">
        <v>10</v>
      </c>
    </row>
    <row r="266" spans="1:11" ht="12" customHeight="1" thickBot="1" x14ac:dyDescent="0.25">
      <c r="C266" s="160"/>
      <c r="D266" s="154"/>
      <c r="E266" s="154"/>
      <c r="F266" s="154"/>
      <c r="G266" s="154"/>
      <c r="H266" s="154"/>
      <c r="I266" s="154"/>
      <c r="J266" s="154"/>
      <c r="K266" s="154"/>
    </row>
    <row r="267" spans="1:11" x14ac:dyDescent="0.2">
      <c r="C267" s="87" t="s">
        <v>123</v>
      </c>
      <c r="D267" s="47">
        <f t="shared" ref="D267:K276" si="12">+IFERROR(IF(D225&gt;0,+((D225/D15)*100)," "),"")</f>
        <v>66.338592355726661</v>
      </c>
      <c r="E267" s="47">
        <f t="shared" si="12"/>
        <v>91.292602479431991</v>
      </c>
      <c r="F267" s="47">
        <f t="shared" si="12"/>
        <v>93.462546263161244</v>
      </c>
      <c r="G267" s="47">
        <f t="shared" si="12"/>
        <v>85.867068747852997</v>
      </c>
      <c r="H267" s="47">
        <f t="shared" si="12"/>
        <v>60.74773778665493</v>
      </c>
      <c r="I267" s="47">
        <f t="shared" si="12"/>
        <v>65.192322612720147</v>
      </c>
      <c r="J267" s="47">
        <f t="shared" si="12"/>
        <v>74.71287745461585</v>
      </c>
      <c r="K267" s="47">
        <f t="shared" si="12"/>
        <v>8.8696133510028332</v>
      </c>
    </row>
    <row r="268" spans="1:11" x14ac:dyDescent="0.2">
      <c r="C268" s="88" t="s">
        <v>124</v>
      </c>
      <c r="D268" s="116">
        <f t="shared" si="12"/>
        <v>90.974894561079111</v>
      </c>
      <c r="E268" s="116">
        <f t="shared" si="12"/>
        <v>87.224364274226588</v>
      </c>
      <c r="F268" s="116">
        <f t="shared" si="12"/>
        <v>76.953774255278731</v>
      </c>
      <c r="G268" s="116">
        <f t="shared" si="12"/>
        <v>77.369716977170171</v>
      </c>
      <c r="H268" s="116">
        <f t="shared" si="12"/>
        <v>72.550197045681813</v>
      </c>
      <c r="I268" s="116">
        <f t="shared" si="12"/>
        <v>69.112578683945486</v>
      </c>
      <c r="J268" s="116">
        <f t="shared" si="12"/>
        <v>86.733098346051236</v>
      </c>
      <c r="K268" s="116">
        <f t="shared" si="12"/>
        <v>15.432486648628041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91.274846021526017</v>
      </c>
      <c r="E270" s="116">
        <f t="shared" si="12"/>
        <v>87.18973084381399</v>
      </c>
      <c r="F270" s="116">
        <f t="shared" si="12"/>
        <v>85.347175960447146</v>
      </c>
      <c r="G270" s="116">
        <f t="shared" si="12"/>
        <v>86.747655066456801</v>
      </c>
      <c r="H270" s="116">
        <f t="shared" si="12"/>
        <v>88.679272540928693</v>
      </c>
      <c r="I270" s="116">
        <f t="shared" si="12"/>
        <v>74.781732954147884</v>
      </c>
      <c r="J270" s="116">
        <f t="shared" si="12"/>
        <v>85.519482959730126</v>
      </c>
      <c r="K270" s="116">
        <f t="shared" si="12"/>
        <v>15.020885307296458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90.902936609780639</v>
      </c>
      <c r="E272" s="116">
        <f t="shared" si="12"/>
        <v>88.695902917066221</v>
      </c>
      <c r="F272" s="116">
        <f t="shared" si="12"/>
        <v>55.353922064894434</v>
      </c>
      <c r="G272" s="116">
        <f t="shared" si="12"/>
        <v>45.683863112021015</v>
      </c>
      <c r="H272" s="116">
        <f t="shared" si="12"/>
        <v>64.697891974913603</v>
      </c>
      <c r="I272" s="116">
        <f t="shared" si="12"/>
        <v>48.126287035656709</v>
      </c>
      <c r="J272" s="116">
        <f t="shared" si="12"/>
        <v>84.057822700344047</v>
      </c>
      <c r="K272" s="116">
        <f t="shared" si="12"/>
        <v>8.8791393354017956</v>
      </c>
    </row>
    <row r="273" spans="3:11" x14ac:dyDescent="0.2">
      <c r="C273" s="87" t="s">
        <v>129</v>
      </c>
      <c r="D273" s="47">
        <f t="shared" si="12"/>
        <v>69.897272047807093</v>
      </c>
      <c r="E273" s="47">
        <f t="shared" si="12"/>
        <v>73.18131430688176</v>
      </c>
      <c r="F273" s="47">
        <f t="shared" si="12"/>
        <v>56.252206155170704</v>
      </c>
      <c r="G273" s="47">
        <f t="shared" si="12"/>
        <v>52.857256577148235</v>
      </c>
      <c r="H273" s="47">
        <f t="shared" si="12"/>
        <v>33.113784892875401</v>
      </c>
      <c r="I273" s="47">
        <f t="shared" si="12"/>
        <v>53.705939761727741</v>
      </c>
      <c r="J273" s="47">
        <f t="shared" si="12"/>
        <v>60.678684654040062</v>
      </c>
      <c r="K273" s="47">
        <f t="shared" si="12"/>
        <v>2.4206543449586477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74.68647623659983</v>
      </c>
      <c r="E275" s="47">
        <f t="shared" si="12"/>
        <v>39.06657601385119</v>
      </c>
      <c r="F275" s="47">
        <f t="shared" si="12"/>
        <v>43.6511807884063</v>
      </c>
      <c r="G275" s="47">
        <f t="shared" si="12"/>
        <v>58.881243512890777</v>
      </c>
      <c r="H275" s="47">
        <f t="shared" si="12"/>
        <v>63.86812615594075</v>
      </c>
      <c r="I275" s="47">
        <f t="shared" si="12"/>
        <v>73.839822770949311</v>
      </c>
      <c r="J275" s="47">
        <f t="shared" si="12"/>
        <v>69.14624386111683</v>
      </c>
      <c r="K275" s="47">
        <f t="shared" si="12"/>
        <v>7.4340842615831262</v>
      </c>
    </row>
    <row r="276" spans="3:11" x14ac:dyDescent="0.2">
      <c r="C276" s="88" t="s">
        <v>132</v>
      </c>
      <c r="D276" s="116">
        <f t="shared" si="12"/>
        <v>80.284328300526383</v>
      </c>
      <c r="E276" s="116">
        <f t="shared" si="12"/>
        <v>57.123466172154778</v>
      </c>
      <c r="F276" s="116">
        <f t="shared" si="12"/>
        <v>56.878096544746107</v>
      </c>
      <c r="G276" s="116">
        <f t="shared" si="12"/>
        <v>59.27296234167865</v>
      </c>
      <c r="H276" s="116">
        <f t="shared" si="12"/>
        <v>59.527645718414504</v>
      </c>
      <c r="I276" s="116">
        <f t="shared" si="12"/>
        <v>80.202109219844175</v>
      </c>
      <c r="J276" s="116">
        <f t="shared" si="12"/>
        <v>78.853600454386196</v>
      </c>
      <c r="K276" s="116">
        <f t="shared" si="12"/>
        <v>12.699634225252055</v>
      </c>
    </row>
    <row r="277" spans="3:11" x14ac:dyDescent="0.2">
      <c r="C277" s="87" t="s">
        <v>133</v>
      </c>
      <c r="D277" s="47">
        <f t="shared" ref="D277:K286" si="13">+IFERROR(IF(D235&gt;0,+((D235/D25)*100)," "),"")</f>
        <v>53.072790318609762</v>
      </c>
      <c r="E277" s="47">
        <f t="shared" si="13"/>
        <v>57.322163872416354</v>
      </c>
      <c r="F277" s="47">
        <f t="shared" si="13"/>
        <v>82.925058071690458</v>
      </c>
      <c r="G277" s="47">
        <f t="shared" si="13"/>
        <v>64.66913333413035</v>
      </c>
      <c r="H277" s="47">
        <f t="shared" si="13"/>
        <v>72.196224425552742</v>
      </c>
      <c r="I277" s="47">
        <f t="shared" si="13"/>
        <v>82.788597564111456</v>
      </c>
      <c r="J277" s="47">
        <f t="shared" si="13"/>
        <v>82.143573307868081</v>
      </c>
      <c r="K277" s="47">
        <f t="shared" si="13"/>
        <v>0.57782745323499174</v>
      </c>
    </row>
    <row r="278" spans="3:11" x14ac:dyDescent="0.2">
      <c r="C278" s="88" t="s">
        <v>134</v>
      </c>
      <c r="D278" s="116">
        <f t="shared" si="13"/>
        <v>74.769915715344354</v>
      </c>
      <c r="E278" s="116">
        <f t="shared" si="13"/>
        <v>84.343708213964902</v>
      </c>
      <c r="F278" s="116">
        <f t="shared" si="13"/>
        <v>53.820791813138925</v>
      </c>
      <c r="G278" s="116">
        <f t="shared" si="13"/>
        <v>85.659382632308123</v>
      </c>
      <c r="H278" s="116">
        <f t="shared" si="13"/>
        <v>80.730824625537551</v>
      </c>
      <c r="I278" s="116">
        <f t="shared" si="13"/>
        <v>78.37187720081107</v>
      </c>
      <c r="J278" s="116">
        <f t="shared" si="13"/>
        <v>74.959501353632731</v>
      </c>
      <c r="K278" s="116">
        <f t="shared" si="13"/>
        <v>14.236338239824503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83.554869062492429</v>
      </c>
      <c r="J279" s="47">
        <f t="shared" si="13"/>
        <v>94.870235909827471</v>
      </c>
      <c r="K279" s="47">
        <f t="shared" si="13"/>
        <v>23.42693853578238</v>
      </c>
    </row>
    <row r="280" spans="3:11" x14ac:dyDescent="0.2">
      <c r="C280" s="88" t="s">
        <v>136</v>
      </c>
      <c r="D280" s="116">
        <f t="shared" si="13"/>
        <v>91.257323251405765</v>
      </c>
      <c r="E280" s="116">
        <f t="shared" si="13"/>
        <v>90.236762671905765</v>
      </c>
      <c r="F280" s="116">
        <f t="shared" si="13"/>
        <v>83.979902268458346</v>
      </c>
      <c r="G280" s="116">
        <f t="shared" si="13"/>
        <v>90.995498350258515</v>
      </c>
      <c r="H280" s="116">
        <f t="shared" si="13"/>
        <v>89.865074472292989</v>
      </c>
      <c r="I280" s="116" t="str">
        <f t="shared" si="13"/>
        <v xml:space="preserve"> </v>
      </c>
      <c r="J280" s="116" t="str">
        <f t="shared" si="13"/>
        <v xml:space="preserve"> </v>
      </c>
      <c r="K280" s="116" t="str">
        <f t="shared" si="13"/>
        <v xml:space="preserve"> </v>
      </c>
    </row>
    <row r="281" spans="3:11" x14ac:dyDescent="0.2">
      <c r="C281" s="87" t="s">
        <v>137</v>
      </c>
      <c r="D281" s="47">
        <f t="shared" si="13"/>
        <v>58.417844861592926</v>
      </c>
      <c r="E281" s="47">
        <f t="shared" si="13"/>
        <v>70.407319725481102</v>
      </c>
      <c r="F281" s="47">
        <f t="shared" si="13"/>
        <v>49.519776206751857</v>
      </c>
      <c r="G281" s="47">
        <f t="shared" si="13"/>
        <v>29.343605475397581</v>
      </c>
      <c r="H281" s="47">
        <f t="shared" si="13"/>
        <v>19.695889218329913</v>
      </c>
      <c r="I281" s="47">
        <f t="shared" si="13"/>
        <v>62.538815769629139</v>
      </c>
      <c r="J281" s="47">
        <f t="shared" si="13"/>
        <v>69.567748973421899</v>
      </c>
      <c r="K281" s="47">
        <f t="shared" si="13"/>
        <v>20.900061342135359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 t="str">
        <f t="shared" si="13"/>
        <v xml:space="preserve"> </v>
      </c>
      <c r="E283" s="47" t="str">
        <f t="shared" si="13"/>
        <v xml:space="preserve"> </v>
      </c>
      <c r="F283" s="47" t="str">
        <f t="shared" si="13"/>
        <v xml:space="preserve"> </v>
      </c>
      <c r="G283" s="47" t="str">
        <f t="shared" si="13"/>
        <v xml:space="preserve"> </v>
      </c>
      <c r="H283" s="47" t="str">
        <f t="shared" si="13"/>
        <v xml:space="preserve"> </v>
      </c>
      <c r="I283" s="47" t="str">
        <f t="shared" si="13"/>
        <v xml:space="preserve"> </v>
      </c>
      <c r="J283" s="47" t="str">
        <f t="shared" si="13"/>
        <v xml:space="preserve"> </v>
      </c>
      <c r="K283" s="47" t="str">
        <f t="shared" si="13"/>
        <v xml:space="preserve"> </v>
      </c>
    </row>
    <row r="284" spans="3:11" x14ac:dyDescent="0.2">
      <c r="C284" s="88" t="s">
        <v>161</v>
      </c>
      <c r="D284" s="116">
        <f t="shared" si="13"/>
        <v>63.76606099721608</v>
      </c>
      <c r="E284" s="116">
        <f t="shared" si="13"/>
        <v>59.966258125804018</v>
      </c>
      <c r="F284" s="116">
        <f t="shared" si="13"/>
        <v>55.208987670338082</v>
      </c>
      <c r="G284" s="116">
        <f t="shared" si="13"/>
        <v>40.048106476309584</v>
      </c>
      <c r="H284" s="116">
        <f t="shared" si="13"/>
        <v>58.330673832880187</v>
      </c>
      <c r="I284" s="116">
        <f t="shared" si="13"/>
        <v>65.234969539765558</v>
      </c>
      <c r="J284" s="116">
        <f t="shared" si="13"/>
        <v>55.817894562410643</v>
      </c>
      <c r="K284" s="116">
        <f t="shared" si="13"/>
        <v>6.748472271173128</v>
      </c>
    </row>
    <row r="285" spans="3:11" x14ac:dyDescent="0.2">
      <c r="C285" s="87" t="s">
        <v>140</v>
      </c>
      <c r="D285" s="47">
        <f t="shared" si="13"/>
        <v>78.023354634909538</v>
      </c>
      <c r="E285" s="47">
        <f t="shared" si="13"/>
        <v>68.811801452920321</v>
      </c>
      <c r="F285" s="47">
        <f t="shared" si="13"/>
        <v>61.416509670333276</v>
      </c>
      <c r="G285" s="47">
        <f t="shared" si="13"/>
        <v>65.169113471592652</v>
      </c>
      <c r="H285" s="47">
        <f t="shared" si="13"/>
        <v>23.924520272561331</v>
      </c>
      <c r="I285" s="47">
        <f t="shared" si="13"/>
        <v>56.113828504190181</v>
      </c>
      <c r="J285" s="47">
        <f t="shared" si="13"/>
        <v>73.21711677710222</v>
      </c>
      <c r="K285" s="47">
        <f t="shared" si="13"/>
        <v>1.9759601240607307</v>
      </c>
    </row>
    <row r="286" spans="3:11" x14ac:dyDescent="0.2">
      <c r="C286" s="88" t="s">
        <v>141</v>
      </c>
      <c r="D286" s="116" t="str">
        <f t="shared" si="13"/>
        <v xml:space="preserve"> </v>
      </c>
      <c r="E286" s="116" t="str">
        <f t="shared" si="13"/>
        <v xml:space="preserve"> </v>
      </c>
      <c r="F286" s="116" t="str">
        <f t="shared" si="13"/>
        <v xml:space="preserve"> </v>
      </c>
      <c r="G286" s="116" t="str">
        <f t="shared" si="13"/>
        <v xml:space="preserve"> </v>
      </c>
      <c r="H286" s="116" t="str">
        <f t="shared" si="13"/>
        <v xml:space="preserve"> </v>
      </c>
      <c r="I286" s="116" t="str">
        <f t="shared" si="13"/>
        <v xml:space="preserve"> </v>
      </c>
      <c r="J286" s="116" t="str">
        <f t="shared" si="13"/>
        <v xml:space="preserve"> </v>
      </c>
      <c r="K286" s="116" t="str">
        <f t="shared" si="13"/>
        <v xml:space="preserve"> </v>
      </c>
    </row>
    <row r="287" spans="3:11" x14ac:dyDescent="0.2">
      <c r="C287" s="87" t="s">
        <v>142</v>
      </c>
      <c r="D287" s="47">
        <f t="shared" ref="D287:K296" si="14">+IFERROR(IF(D245&gt;0,+((D245/D35)*100)," "),"")</f>
        <v>81.139204133536452</v>
      </c>
      <c r="E287" s="47">
        <f t="shared" si="14"/>
        <v>92.014635254029344</v>
      </c>
      <c r="F287" s="47">
        <f t="shared" si="14"/>
        <v>79.949640528596916</v>
      </c>
      <c r="G287" s="47">
        <f t="shared" si="14"/>
        <v>81.336164168616506</v>
      </c>
      <c r="H287" s="47">
        <f t="shared" si="14"/>
        <v>59.302343258964143</v>
      </c>
      <c r="I287" s="47">
        <f t="shared" si="14"/>
        <v>68.063579958525068</v>
      </c>
      <c r="J287" s="47">
        <f t="shared" si="14"/>
        <v>29.30570584095803</v>
      </c>
      <c r="K287" s="47">
        <f t="shared" si="14"/>
        <v>12.827348437697969</v>
      </c>
    </row>
    <row r="288" spans="3:11" x14ac:dyDescent="0.2">
      <c r="C288" s="88" t="s">
        <v>143</v>
      </c>
      <c r="D288" s="116">
        <f t="shared" si="14"/>
        <v>43.635385398175458</v>
      </c>
      <c r="E288" s="116">
        <f t="shared" si="14"/>
        <v>24.32455681274983</v>
      </c>
      <c r="F288" s="116">
        <f t="shared" si="14"/>
        <v>35.081510611811936</v>
      </c>
      <c r="G288" s="116">
        <f t="shared" si="14"/>
        <v>53.551141238635893</v>
      </c>
      <c r="H288" s="116">
        <f t="shared" si="14"/>
        <v>7.8211674641053737</v>
      </c>
      <c r="I288" s="116">
        <f t="shared" si="14"/>
        <v>16.643308876290313</v>
      </c>
      <c r="J288" s="116">
        <f t="shared" si="14"/>
        <v>49.498392997229644</v>
      </c>
      <c r="K288" s="116">
        <f t="shared" si="14"/>
        <v>1.3533093657874407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82.330338055400972</v>
      </c>
      <c r="E290" s="116">
        <f t="shared" si="14"/>
        <v>89.357549506376728</v>
      </c>
      <c r="F290" s="116">
        <f t="shared" si="14"/>
        <v>52.662535822229387</v>
      </c>
      <c r="G290" s="116">
        <f t="shared" si="14"/>
        <v>74.036261756755067</v>
      </c>
      <c r="H290" s="116">
        <f t="shared" si="14"/>
        <v>76.469600210192041</v>
      </c>
      <c r="I290" s="116">
        <f t="shared" si="14"/>
        <v>32.42416699517684</v>
      </c>
      <c r="J290" s="116">
        <f t="shared" si="14"/>
        <v>60.736291466781012</v>
      </c>
      <c r="K290" s="116">
        <f t="shared" si="14"/>
        <v>10.691951928835527</v>
      </c>
    </row>
    <row r="291" spans="1:11" x14ac:dyDescent="0.2">
      <c r="C291" s="87" t="s">
        <v>146</v>
      </c>
      <c r="D291" s="47">
        <f t="shared" si="14"/>
        <v>97.330042238562086</v>
      </c>
      <c r="E291" s="47">
        <f t="shared" si="14"/>
        <v>95.591969035868303</v>
      </c>
      <c r="F291" s="47">
        <f t="shared" si="14"/>
        <v>98.290953333188853</v>
      </c>
      <c r="G291" s="47">
        <f t="shared" si="14"/>
        <v>24.907112279480042</v>
      </c>
      <c r="H291" s="47">
        <f t="shared" si="14"/>
        <v>58.323318990019281</v>
      </c>
      <c r="I291" s="47">
        <f t="shared" si="14"/>
        <v>74.397257561659814</v>
      </c>
      <c r="J291" s="47">
        <f t="shared" si="14"/>
        <v>76.181669845992644</v>
      </c>
      <c r="K291" s="47">
        <f t="shared" si="14"/>
        <v>11.781901225022171</v>
      </c>
    </row>
    <row r="292" spans="1:11" x14ac:dyDescent="0.2">
      <c r="C292" s="88" t="s">
        <v>162</v>
      </c>
      <c r="D292" s="116">
        <f t="shared" si="14"/>
        <v>72.919955930744749</v>
      </c>
      <c r="E292" s="116">
        <f t="shared" si="14"/>
        <v>76.729039135794423</v>
      </c>
      <c r="F292" s="116">
        <f t="shared" si="14"/>
        <v>79.796455800389424</v>
      </c>
      <c r="G292" s="116">
        <f t="shared" si="14"/>
        <v>69.122777666145552</v>
      </c>
      <c r="H292" s="116">
        <f t="shared" si="14"/>
        <v>66.65501870920869</v>
      </c>
      <c r="I292" s="116">
        <f t="shared" si="14"/>
        <v>66.253474044348508</v>
      </c>
      <c r="J292" s="116">
        <f t="shared" si="14"/>
        <v>74.247401933539862</v>
      </c>
      <c r="K292" s="116">
        <f t="shared" si="14"/>
        <v>9.4127875843268569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78.742414736080732</v>
      </c>
      <c r="E294" s="116">
        <f t="shared" si="14"/>
        <v>73.994049578465393</v>
      </c>
      <c r="F294" s="116">
        <f t="shared" si="14"/>
        <v>73.842728953728013</v>
      </c>
      <c r="G294" s="116">
        <f t="shared" si="14"/>
        <v>71.515341588499126</v>
      </c>
      <c r="H294" s="116">
        <f t="shared" si="14"/>
        <v>81.208583995977918</v>
      </c>
      <c r="I294" s="116">
        <f t="shared" si="14"/>
        <v>68.43252789325966</v>
      </c>
      <c r="J294" s="116">
        <f t="shared" si="14"/>
        <v>64.715165746534211</v>
      </c>
      <c r="K294" s="116">
        <f t="shared" si="14"/>
        <v>22.452944402269175</v>
      </c>
    </row>
    <row r="295" spans="1:11" x14ac:dyDescent="0.2">
      <c r="C295" s="87" t="s">
        <v>163</v>
      </c>
      <c r="D295" s="47">
        <f t="shared" si="14"/>
        <v>86.451031585249055</v>
      </c>
      <c r="E295" s="47">
        <f t="shared" si="14"/>
        <v>90.949921819482768</v>
      </c>
      <c r="F295" s="47">
        <f t="shared" si="14"/>
        <v>88.863964318061321</v>
      </c>
      <c r="G295" s="47">
        <f t="shared" si="14"/>
        <v>93.064920204865714</v>
      </c>
      <c r="H295" s="47">
        <f t="shared" si="14"/>
        <v>91.404477144853331</v>
      </c>
      <c r="I295" s="47">
        <f t="shared" si="14"/>
        <v>89.706509058339719</v>
      </c>
      <c r="J295" s="47">
        <f t="shared" si="14"/>
        <v>85.871523747445721</v>
      </c>
      <c r="K295" s="47">
        <f t="shared" si="14"/>
        <v>14.547620068029063</v>
      </c>
    </row>
    <row r="296" spans="1:11" x14ac:dyDescent="0.2">
      <c r="C296" s="88" t="s">
        <v>150</v>
      </c>
      <c r="D296" s="116">
        <f t="shared" si="14"/>
        <v>62.109446778072872</v>
      </c>
      <c r="E296" s="116">
        <f t="shared" si="14"/>
        <v>58.093020394964398</v>
      </c>
      <c r="F296" s="116">
        <f t="shared" si="14"/>
        <v>56.119562520074581</v>
      </c>
      <c r="G296" s="116">
        <f t="shared" si="14"/>
        <v>41.255936883903068</v>
      </c>
      <c r="H296" s="116">
        <f t="shared" si="14"/>
        <v>32.710296831593041</v>
      </c>
      <c r="I296" s="116">
        <f t="shared" si="14"/>
        <v>45.200187571439102</v>
      </c>
      <c r="J296" s="116">
        <f t="shared" si="14"/>
        <v>51.572125290175883</v>
      </c>
      <c r="K296" s="116">
        <f t="shared" si="14"/>
        <v>6.0827120788576403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202</v>
      </c>
      <c r="D298" s="64">
        <f t="shared" si="15"/>
        <v>78.439667575319618</v>
      </c>
      <c r="E298" s="64">
        <f t="shared" si="15"/>
        <v>76.668356887291438</v>
      </c>
      <c r="F298" s="64">
        <f t="shared" si="15"/>
        <v>71.762408324646543</v>
      </c>
      <c r="G298" s="64">
        <f t="shared" si="15"/>
        <v>70.463263737119561</v>
      </c>
      <c r="H298" s="64">
        <f t="shared" si="15"/>
        <v>69.465760459980643</v>
      </c>
      <c r="I298" s="64">
        <f t="shared" si="15"/>
        <v>69.483462416544938</v>
      </c>
      <c r="J298" s="64">
        <f t="shared" si="15"/>
        <v>74.051513909114846</v>
      </c>
      <c r="K298" s="64">
        <f t="shared" si="15"/>
        <v>13.30283836219639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abril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A9:C9"/>
    <mergeCell ref="K13:K14"/>
    <mergeCell ref="D221:K221"/>
    <mergeCell ref="C13:C14"/>
    <mergeCell ref="C223:C224"/>
    <mergeCell ref="J13:J14"/>
    <mergeCell ref="I13:I14"/>
    <mergeCell ref="I223:I224"/>
    <mergeCell ref="C56:C57"/>
    <mergeCell ref="C140:C141"/>
    <mergeCell ref="C182:C183"/>
    <mergeCell ref="G182:G183"/>
    <mergeCell ref="I182:I183"/>
    <mergeCell ref="H265:H266"/>
    <mergeCell ref="E98:E99"/>
    <mergeCell ref="G98:G99"/>
    <mergeCell ref="H98:H99"/>
    <mergeCell ref="E182:E183"/>
    <mergeCell ref="F265:F266"/>
    <mergeCell ref="D138:K138"/>
    <mergeCell ref="D11:K11"/>
    <mergeCell ref="F140:F141"/>
    <mergeCell ref="K98:K99"/>
    <mergeCell ref="I8:I9"/>
    <mergeCell ref="K8:K9"/>
    <mergeCell ref="D13:D14"/>
    <mergeCell ref="D53:K53"/>
    <mergeCell ref="J56:J57"/>
    <mergeCell ref="H140:H141"/>
    <mergeCell ref="F56:F57"/>
    <mergeCell ref="H56:H57"/>
    <mergeCell ref="D265:D266"/>
    <mergeCell ref="J223:J224"/>
    <mergeCell ref="E56:E57"/>
    <mergeCell ref="G56:G57"/>
    <mergeCell ref="K265:K266"/>
    <mergeCell ref="I98:I99"/>
    <mergeCell ref="D182:D183"/>
    <mergeCell ref="F182:F183"/>
    <mergeCell ref="G140:G141"/>
    <mergeCell ref="I140:I141"/>
    <mergeCell ref="D56:D57"/>
    <mergeCell ref="F223:F224"/>
    <mergeCell ref="H223:H224"/>
    <mergeCell ref="K140:K141"/>
    <mergeCell ref="G265:G266"/>
    <mergeCell ref="I265:I266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E265:E266"/>
    <mergeCell ref="D140:D141"/>
    <mergeCell ref="E13:E14"/>
    <mergeCell ref="G13:G14"/>
    <mergeCell ref="D2:K4"/>
    <mergeCell ref="K182:K183"/>
    <mergeCell ref="K223:K224"/>
    <mergeCell ref="I56:I57"/>
    <mergeCell ref="K56:K57"/>
    <mergeCell ref="D223:D224"/>
    <mergeCell ref="E223:E224"/>
    <mergeCell ref="G223:G224"/>
    <mergeCell ref="E8:E9"/>
    <mergeCell ref="G8:G9"/>
    <mergeCell ref="E140:E141"/>
    <mergeCell ref="H182:H183"/>
    <mergeCell ref="J182:J183"/>
    <mergeCell ref="J98:J99"/>
    <mergeCell ref="D6:K6"/>
    <mergeCell ref="F8:F9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D55"/>
  <sheetViews>
    <sheetView showGridLines="0" zoomScaleNormal="100" workbookViewId="0">
      <pane xSplit="3" ySplit="7" topLeftCell="D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C8" sqref="C8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ht="16.5" customHeight="1" x14ac:dyDescent="0.2">
      <c r="E1" s="129"/>
      <c r="F1" s="129"/>
      <c r="G1" s="129"/>
    </row>
    <row r="2" spans="1:30" ht="16.5" customHeight="1" x14ac:dyDescent="0.2"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</row>
    <row r="3" spans="1:30" s="98" customFormat="1" ht="16.5" customHeight="1" x14ac:dyDescent="0.25"/>
    <row r="4" spans="1:30" s="98" customFormat="1" ht="16.5" customHeight="1" x14ac:dyDescent="0.25">
      <c r="A4" s="120"/>
      <c r="C4" s="13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</row>
    <row r="5" spans="1:30" s="98" customFormat="1" ht="16.5" customHeight="1" x14ac:dyDescent="0.25">
      <c r="A5" s="164" t="s">
        <v>12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</row>
    <row r="6" spans="1:30" s="98" customFormat="1" ht="16.5" customHeight="1" x14ac:dyDescent="0.25">
      <c r="A6" s="152"/>
      <c r="B6" s="152"/>
      <c r="C6" s="152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  <c r="W6" s="151">
        <v>2019</v>
      </c>
      <c r="X6" s="151">
        <v>2020</v>
      </c>
      <c r="Y6" s="151">
        <v>2021</v>
      </c>
      <c r="Z6" s="151">
        <v>2022</v>
      </c>
      <c r="AA6" s="151">
        <v>2023</v>
      </c>
      <c r="AB6" s="151">
        <v>2024</v>
      </c>
      <c r="AC6" s="151">
        <v>2025</v>
      </c>
      <c r="AD6" s="151" t="s">
        <v>10</v>
      </c>
    </row>
    <row r="7" spans="1:3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1:30" s="98" customFormat="1" ht="12.7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s="98" customFormat="1" ht="18" customHeight="1" x14ac:dyDescent="0.25">
      <c r="D9" s="155" t="s">
        <v>37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</row>
    <row r="10" spans="1:30" x14ac:dyDescent="0.2">
      <c r="C10" s="157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x14ac:dyDescent="0.2">
      <c r="B11" s="158"/>
      <c r="C11" s="159" t="s">
        <v>38</v>
      </c>
      <c r="D11" s="153" t="s">
        <v>1</v>
      </c>
      <c r="E11" s="153" t="s">
        <v>2</v>
      </c>
      <c r="F11" s="153" t="s">
        <v>3</v>
      </c>
      <c r="G11" s="153" t="s">
        <v>4</v>
      </c>
      <c r="H11" s="153">
        <v>2004</v>
      </c>
      <c r="I11" s="153" t="s">
        <v>5</v>
      </c>
      <c r="J11" s="153" t="s">
        <v>6</v>
      </c>
      <c r="K11" s="153" t="s">
        <v>7</v>
      </c>
      <c r="L11" s="153" t="s">
        <v>8</v>
      </c>
      <c r="M11" s="153" t="s">
        <v>9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  <c r="W11" s="153">
        <v>2019</v>
      </c>
      <c r="X11" s="153">
        <v>2020</v>
      </c>
      <c r="Y11" s="153">
        <v>2021</v>
      </c>
      <c r="Z11" s="153">
        <v>2022</v>
      </c>
      <c r="AA11" s="153">
        <v>2023</v>
      </c>
      <c r="AB11" s="153">
        <v>2024</v>
      </c>
      <c r="AC11" s="153">
        <v>2025</v>
      </c>
      <c r="AD11" s="153" t="s">
        <v>10</v>
      </c>
    </row>
    <row r="12" spans="1:30" ht="12" customHeight="1" thickBot="1" x14ac:dyDescent="0.25">
      <c r="B12" s="154"/>
      <c r="C12" s="16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</row>
    <row r="13" spans="1:30" x14ac:dyDescent="0.2">
      <c r="B13" s="34" t="s">
        <v>39</v>
      </c>
      <c r="C13" s="76" t="s">
        <v>40</v>
      </c>
      <c r="D13" s="35">
        <f t="shared" ref="D13:AC13" si="0">+D27+D46</f>
        <v>98404.748735855348</v>
      </c>
      <c r="E13" s="35">
        <f t="shared" si="0"/>
        <v>103368.61778232059</v>
      </c>
      <c r="F13" s="35">
        <f t="shared" si="0"/>
        <v>107212.49859806066</v>
      </c>
      <c r="G13" s="35">
        <f t="shared" si="0"/>
        <v>107597.37483343523</v>
      </c>
      <c r="H13" s="35">
        <f t="shared" si="0"/>
        <v>125598.12503825528</v>
      </c>
      <c r="I13" s="35">
        <f t="shared" si="0"/>
        <v>135358.48450533065</v>
      </c>
      <c r="J13" s="35">
        <f t="shared" si="0"/>
        <v>136630.19152592303</v>
      </c>
      <c r="K13" s="35">
        <f t="shared" si="0"/>
        <v>141337.89420302492</v>
      </c>
      <c r="L13" s="35">
        <f t="shared" si="0"/>
        <v>148459.70351556459</v>
      </c>
      <c r="M13" s="35">
        <f t="shared" si="0"/>
        <v>167054.5247032746</v>
      </c>
      <c r="N13" s="35">
        <f t="shared" si="0"/>
        <v>184648.46191057848</v>
      </c>
      <c r="O13" s="35">
        <f t="shared" si="0"/>
        <v>176070.76124809808</v>
      </c>
      <c r="P13" s="35">
        <f t="shared" si="0"/>
        <v>188108.97310998201</v>
      </c>
      <c r="Q13" s="35">
        <f t="shared" si="0"/>
        <v>204062.28196857747</v>
      </c>
      <c r="R13" s="35">
        <f t="shared" si="0"/>
        <v>217857.16653225711</v>
      </c>
      <c r="S13" s="35">
        <f t="shared" si="0"/>
        <v>209541.38850212671</v>
      </c>
      <c r="T13" s="35">
        <f t="shared" si="0"/>
        <v>212074.56150957753</v>
      </c>
      <c r="U13" s="35">
        <f t="shared" si="0"/>
        <v>230853.66163600452</v>
      </c>
      <c r="V13" s="35">
        <f t="shared" si="0"/>
        <v>236332.66734794131</v>
      </c>
      <c r="W13" s="35">
        <f t="shared" si="0"/>
        <v>243153.57496942178</v>
      </c>
      <c r="X13" s="35">
        <f t="shared" si="0"/>
        <v>323554.96302927699</v>
      </c>
      <c r="Y13" s="35">
        <f t="shared" si="0"/>
        <v>309291.50940853072</v>
      </c>
      <c r="Z13" s="35">
        <f t="shared" si="0"/>
        <v>270130.00192357175</v>
      </c>
      <c r="AA13" s="35">
        <f t="shared" si="0"/>
        <v>305708.33701950713</v>
      </c>
      <c r="AB13" s="35">
        <f t="shared" si="0"/>
        <v>322649.82756335742</v>
      </c>
      <c r="AC13" s="35">
        <f t="shared" si="0"/>
        <v>338299.91145059839</v>
      </c>
      <c r="AD13" s="35">
        <f>365791.225948686*Deflactores!$AA$5</f>
        <v>365791.22594868601</v>
      </c>
    </row>
    <row r="14" spans="1:30" x14ac:dyDescent="0.2">
      <c r="B14" s="34" t="s">
        <v>41</v>
      </c>
      <c r="C14" s="76" t="s">
        <v>42</v>
      </c>
      <c r="D14" s="35">
        <f t="shared" ref="D14:AD14" si="1">+D15+D16</f>
        <v>61616.510941313412</v>
      </c>
      <c r="E14" s="35">
        <f t="shared" si="1"/>
        <v>74036.286212066363</v>
      </c>
      <c r="F14" s="35">
        <f t="shared" si="1"/>
        <v>74246.091237124332</v>
      </c>
      <c r="G14" s="35">
        <f t="shared" si="1"/>
        <v>83007.448450033291</v>
      </c>
      <c r="H14" s="35">
        <f t="shared" si="1"/>
        <v>77379.155410013555</v>
      </c>
      <c r="I14" s="35">
        <f t="shared" si="1"/>
        <v>86613.216808790807</v>
      </c>
      <c r="J14" s="35">
        <f t="shared" si="1"/>
        <v>102266.50392108042</v>
      </c>
      <c r="K14" s="35">
        <f t="shared" si="1"/>
        <v>97725.625397108277</v>
      </c>
      <c r="L14" s="35">
        <f t="shared" si="1"/>
        <v>89755.202456726067</v>
      </c>
      <c r="M14" s="35">
        <f t="shared" si="1"/>
        <v>83807.1910003144</v>
      </c>
      <c r="N14" s="35">
        <f t="shared" si="1"/>
        <v>87497.308442973022</v>
      </c>
      <c r="O14" s="35">
        <f t="shared" si="1"/>
        <v>74405.735441850498</v>
      </c>
      <c r="P14" s="35">
        <f t="shared" si="1"/>
        <v>75160.794289475438</v>
      </c>
      <c r="Q14" s="35">
        <f t="shared" si="1"/>
        <v>90192.811820408882</v>
      </c>
      <c r="R14" s="35">
        <f t="shared" si="1"/>
        <v>79998.195895861849</v>
      </c>
      <c r="S14" s="35">
        <f t="shared" si="1"/>
        <v>85948.555474776949</v>
      </c>
      <c r="T14" s="35">
        <f t="shared" si="1"/>
        <v>80806.722861677437</v>
      </c>
      <c r="U14" s="35">
        <f t="shared" si="1"/>
        <v>83117.870541557291</v>
      </c>
      <c r="V14" s="35">
        <f t="shared" si="1"/>
        <v>77210.383871732789</v>
      </c>
      <c r="W14" s="35">
        <f t="shared" si="1"/>
        <v>80598.992610523244</v>
      </c>
      <c r="X14" s="35">
        <f t="shared" si="1"/>
        <v>81886.134815511614</v>
      </c>
      <c r="Y14" s="35">
        <f t="shared" si="1"/>
        <v>101976.2347219428</v>
      </c>
      <c r="Z14" s="35">
        <f t="shared" si="1"/>
        <v>91612.25695062273</v>
      </c>
      <c r="AA14" s="35">
        <f t="shared" si="1"/>
        <v>91826.265975298622</v>
      </c>
      <c r="AB14" s="35">
        <f t="shared" si="1"/>
        <v>105006.37916586775</v>
      </c>
      <c r="AC14" s="35">
        <f t="shared" si="1"/>
        <v>119136.28720488798</v>
      </c>
      <c r="AD14" s="35">
        <f t="shared" si="1"/>
        <v>100449.70846832701</v>
      </c>
    </row>
    <row r="15" spans="1:30" x14ac:dyDescent="0.2">
      <c r="B15" s="32"/>
      <c r="C15" s="77" t="s">
        <v>43</v>
      </c>
      <c r="D15" s="33">
        <f t="shared" ref="D15:AC15" si="2">+D29+D48</f>
        <v>19084.580612248945</v>
      </c>
      <c r="E15" s="33">
        <f t="shared" si="2"/>
        <v>27446.532671212648</v>
      </c>
      <c r="F15" s="33">
        <f t="shared" si="2"/>
        <v>31023.710496316176</v>
      </c>
      <c r="G15" s="33">
        <f t="shared" si="2"/>
        <v>40528.953705158798</v>
      </c>
      <c r="H15" s="33">
        <f t="shared" si="2"/>
        <v>27070.468976348908</v>
      </c>
      <c r="I15" s="33">
        <f t="shared" si="2"/>
        <v>35959.938634818209</v>
      </c>
      <c r="J15" s="33">
        <f t="shared" si="2"/>
        <v>27896.230723623234</v>
      </c>
      <c r="K15" s="33">
        <f t="shared" si="2"/>
        <v>19177.796782665882</v>
      </c>
      <c r="L15" s="33">
        <f t="shared" si="2"/>
        <v>18910.461334534983</v>
      </c>
      <c r="M15" s="33">
        <f t="shared" si="2"/>
        <v>18713.643608694707</v>
      </c>
      <c r="N15" s="33">
        <f t="shared" si="2"/>
        <v>18910.943601903011</v>
      </c>
      <c r="O15" s="33">
        <f t="shared" si="2"/>
        <v>14867.436049524509</v>
      </c>
      <c r="P15" s="33">
        <f t="shared" si="2"/>
        <v>13544.742155127058</v>
      </c>
      <c r="Q15" s="33">
        <f t="shared" si="2"/>
        <v>14295.796246074404</v>
      </c>
      <c r="R15" s="33">
        <f t="shared" si="2"/>
        <v>17605.378130938218</v>
      </c>
      <c r="S15" s="33">
        <f t="shared" si="2"/>
        <v>20377.962295144673</v>
      </c>
      <c r="T15" s="33">
        <f t="shared" si="2"/>
        <v>16743.378588063679</v>
      </c>
      <c r="U15" s="33">
        <f t="shared" si="2"/>
        <v>23944.827609127315</v>
      </c>
      <c r="V15" s="33">
        <f t="shared" si="2"/>
        <v>18000.987747909374</v>
      </c>
      <c r="W15" s="33">
        <f t="shared" si="2"/>
        <v>22344.058827314228</v>
      </c>
      <c r="X15" s="33">
        <f t="shared" si="2"/>
        <v>22900.075349512208</v>
      </c>
      <c r="Y15" s="33">
        <f t="shared" si="2"/>
        <v>36451.212466632918</v>
      </c>
      <c r="Z15" s="33">
        <f t="shared" si="2"/>
        <v>21458.791874031358</v>
      </c>
      <c r="AA15" s="33">
        <f t="shared" si="2"/>
        <v>31051.50793158785</v>
      </c>
      <c r="AB15" s="33">
        <f t="shared" si="2"/>
        <v>41431.776383357683</v>
      </c>
      <c r="AC15" s="33">
        <f t="shared" si="2"/>
        <v>56939.879895999999</v>
      </c>
      <c r="AD15" s="33">
        <f>38406.044999037*Deflactores!$AA$5</f>
        <v>38406.044999037003</v>
      </c>
    </row>
    <row r="16" spans="1:30" x14ac:dyDescent="0.2">
      <c r="B16" s="32"/>
      <c r="C16" s="77" t="s">
        <v>44</v>
      </c>
      <c r="D16" s="33">
        <f t="shared" ref="D16:AC16" si="3">+D30+D49</f>
        <v>42531.930329064468</v>
      </c>
      <c r="E16" s="33">
        <f t="shared" si="3"/>
        <v>46589.753540853715</v>
      </c>
      <c r="F16" s="33">
        <f t="shared" si="3"/>
        <v>43222.380740808156</v>
      </c>
      <c r="G16" s="33">
        <f t="shared" si="3"/>
        <v>42478.494744874501</v>
      </c>
      <c r="H16" s="33">
        <f t="shared" si="3"/>
        <v>50308.686433664647</v>
      </c>
      <c r="I16" s="33">
        <f t="shared" si="3"/>
        <v>50653.278173972605</v>
      </c>
      <c r="J16" s="33">
        <f t="shared" si="3"/>
        <v>74370.273197457194</v>
      </c>
      <c r="K16" s="33">
        <f t="shared" si="3"/>
        <v>78547.828614442391</v>
      </c>
      <c r="L16" s="33">
        <f t="shared" si="3"/>
        <v>70844.741122191088</v>
      </c>
      <c r="M16" s="33">
        <f t="shared" si="3"/>
        <v>65093.547391619701</v>
      </c>
      <c r="N16" s="33">
        <f t="shared" si="3"/>
        <v>68586.364841070012</v>
      </c>
      <c r="O16" s="33">
        <f t="shared" si="3"/>
        <v>59538.299392325993</v>
      </c>
      <c r="P16" s="33">
        <f t="shared" si="3"/>
        <v>61616.052134348378</v>
      </c>
      <c r="Q16" s="33">
        <f t="shared" si="3"/>
        <v>75897.01557433448</v>
      </c>
      <c r="R16" s="33">
        <f t="shared" si="3"/>
        <v>62392.817764923631</v>
      </c>
      <c r="S16" s="33">
        <f t="shared" si="3"/>
        <v>65570.593179632284</v>
      </c>
      <c r="T16" s="33">
        <f t="shared" si="3"/>
        <v>64063.344273613759</v>
      </c>
      <c r="U16" s="33">
        <f t="shared" si="3"/>
        <v>59173.042932429977</v>
      </c>
      <c r="V16" s="33">
        <f t="shared" si="3"/>
        <v>59209.396123823411</v>
      </c>
      <c r="W16" s="33">
        <f t="shared" si="3"/>
        <v>58254.933783209024</v>
      </c>
      <c r="X16" s="33">
        <f t="shared" si="3"/>
        <v>58986.059465999409</v>
      </c>
      <c r="Y16" s="33">
        <f t="shared" si="3"/>
        <v>65525.022255309894</v>
      </c>
      <c r="Z16" s="33">
        <f t="shared" si="3"/>
        <v>70153.465076591368</v>
      </c>
      <c r="AA16" s="33">
        <f t="shared" si="3"/>
        <v>60774.758043710775</v>
      </c>
      <c r="AB16" s="33">
        <f t="shared" si="3"/>
        <v>63574.602782510061</v>
      </c>
      <c r="AC16" s="33">
        <f t="shared" si="3"/>
        <v>62196.407308887974</v>
      </c>
      <c r="AD16" s="33">
        <f>62043.66346929*Deflactores!$AA$5</f>
        <v>62043.663469289997</v>
      </c>
    </row>
    <row r="17" spans="2:30" x14ac:dyDescent="0.2">
      <c r="B17" s="34" t="s">
        <v>45</v>
      </c>
      <c r="C17" s="76" t="s">
        <v>46</v>
      </c>
      <c r="D17" s="35">
        <f t="shared" ref="D17:AC17" si="4">+D31+D50</f>
        <v>28377.794028031447</v>
      </c>
      <c r="E17" s="35">
        <f t="shared" si="4"/>
        <v>39663.981972526562</v>
      </c>
      <c r="F17" s="35">
        <f t="shared" si="4"/>
        <v>34376.392333457057</v>
      </c>
      <c r="G17" s="35">
        <f t="shared" si="4"/>
        <v>27211.364608027725</v>
      </c>
      <c r="H17" s="35">
        <f t="shared" si="4"/>
        <v>32161.314354257876</v>
      </c>
      <c r="I17" s="35">
        <f t="shared" si="4"/>
        <v>34577.314334637907</v>
      </c>
      <c r="J17" s="35">
        <f t="shared" si="4"/>
        <v>39356.25860274116</v>
      </c>
      <c r="K17" s="35">
        <f t="shared" si="4"/>
        <v>52174.173626052427</v>
      </c>
      <c r="L17" s="35">
        <f t="shared" si="4"/>
        <v>50989.825734696846</v>
      </c>
      <c r="M17" s="35">
        <f t="shared" si="4"/>
        <v>70581.59499800716</v>
      </c>
      <c r="N17" s="35">
        <f t="shared" si="4"/>
        <v>56336.704299607409</v>
      </c>
      <c r="O17" s="35">
        <f t="shared" si="4"/>
        <v>69487.242952379369</v>
      </c>
      <c r="P17" s="35">
        <f t="shared" si="4"/>
        <v>78606.624979491302</v>
      </c>
      <c r="Q17" s="35">
        <f t="shared" si="4"/>
        <v>88379.997726966118</v>
      </c>
      <c r="R17" s="35">
        <f t="shared" si="4"/>
        <v>86898.855489989859</v>
      </c>
      <c r="S17" s="35">
        <f t="shared" si="4"/>
        <v>84323.293279730948</v>
      </c>
      <c r="T17" s="35">
        <f t="shared" si="4"/>
        <v>71178.415066911126</v>
      </c>
      <c r="U17" s="35">
        <f t="shared" si="4"/>
        <v>67180.664233558113</v>
      </c>
      <c r="V17" s="35">
        <f t="shared" si="4"/>
        <v>62215.67145785653</v>
      </c>
      <c r="W17" s="35">
        <f t="shared" si="4"/>
        <v>64867.144815503532</v>
      </c>
      <c r="X17" s="35">
        <f t="shared" si="4"/>
        <v>66842.39211722149</v>
      </c>
      <c r="Y17" s="35">
        <f t="shared" si="4"/>
        <v>86144.792642506844</v>
      </c>
      <c r="Z17" s="35">
        <f t="shared" si="4"/>
        <v>89078.177203454208</v>
      </c>
      <c r="AA17" s="35">
        <f t="shared" si="4"/>
        <v>97489.050631925144</v>
      </c>
      <c r="AB17" s="35">
        <f t="shared" si="4"/>
        <v>100747.03837231899</v>
      </c>
      <c r="AC17" s="35">
        <f t="shared" si="4"/>
        <v>82650.501773804717</v>
      </c>
      <c r="AD17" s="35">
        <f>89458.217092419*Deflactores!$AA$5</f>
        <v>89458.217092419</v>
      </c>
    </row>
    <row r="18" spans="2:30" ht="14.25" customHeight="1" x14ac:dyDescent="0.2">
      <c r="B18" s="36" t="s">
        <v>47</v>
      </c>
      <c r="C18" s="78" t="s">
        <v>48</v>
      </c>
      <c r="D18" s="37">
        <f t="shared" ref="D18:M19" si="5">+D13+D17</f>
        <v>126782.5427638868</v>
      </c>
      <c r="E18" s="37">
        <f t="shared" si="5"/>
        <v>143032.59975484715</v>
      </c>
      <c r="F18" s="37">
        <f t="shared" si="5"/>
        <v>141588.8909315177</v>
      </c>
      <c r="G18" s="37">
        <f t="shared" si="5"/>
        <v>134808.73944146297</v>
      </c>
      <c r="H18" s="37">
        <f t="shared" si="5"/>
        <v>157759.43939251316</v>
      </c>
      <c r="I18" s="37">
        <f t="shared" si="5"/>
        <v>169935.79883996857</v>
      </c>
      <c r="J18" s="37">
        <f t="shared" si="5"/>
        <v>175986.4501286642</v>
      </c>
      <c r="K18" s="37">
        <f t="shared" si="5"/>
        <v>193512.06782907734</v>
      </c>
      <c r="L18" s="37">
        <f t="shared" si="5"/>
        <v>199449.52925026143</v>
      </c>
      <c r="M18" s="37">
        <f t="shared" si="5"/>
        <v>237636.11970128177</v>
      </c>
      <c r="N18" s="37">
        <f t="shared" ref="N18:W19" si="6">+N13+N17</f>
        <v>240985.16621018588</v>
      </c>
      <c r="O18" s="37">
        <f t="shared" si="6"/>
        <v>245558.00420047744</v>
      </c>
      <c r="P18" s="37">
        <f t="shared" si="6"/>
        <v>266715.59808947332</v>
      </c>
      <c r="Q18" s="37">
        <f t="shared" si="6"/>
        <v>292442.27969554358</v>
      </c>
      <c r="R18" s="37">
        <f t="shared" si="6"/>
        <v>304756.02202224697</v>
      </c>
      <c r="S18" s="37">
        <f t="shared" si="6"/>
        <v>293864.68178185762</v>
      </c>
      <c r="T18" s="37">
        <f t="shared" si="6"/>
        <v>283252.97657648864</v>
      </c>
      <c r="U18" s="37">
        <f t="shared" si="6"/>
        <v>298034.32586956263</v>
      </c>
      <c r="V18" s="37">
        <f t="shared" si="6"/>
        <v>298548.33880579786</v>
      </c>
      <c r="W18" s="37">
        <f t="shared" si="6"/>
        <v>308020.71978492534</v>
      </c>
      <c r="X18" s="37">
        <f t="shared" ref="X18:AD19" si="7">+X13+X17</f>
        <v>390397.35514649848</v>
      </c>
      <c r="Y18" s="37">
        <f t="shared" si="7"/>
        <v>395436.30205103755</v>
      </c>
      <c r="Z18" s="37">
        <f t="shared" si="7"/>
        <v>359208.17912702594</v>
      </c>
      <c r="AA18" s="37">
        <f t="shared" si="7"/>
        <v>403197.38765143231</v>
      </c>
      <c r="AB18" s="37">
        <f t="shared" si="7"/>
        <v>423396.86593567638</v>
      </c>
      <c r="AC18" s="37">
        <f t="shared" si="7"/>
        <v>420950.41322440311</v>
      </c>
      <c r="AD18" s="37">
        <f t="shared" si="7"/>
        <v>455249.443041105</v>
      </c>
    </row>
    <row r="19" spans="2:30" ht="14.25" customHeight="1" x14ac:dyDescent="0.2">
      <c r="B19" s="38" t="s">
        <v>49</v>
      </c>
      <c r="C19" s="78" t="s">
        <v>50</v>
      </c>
      <c r="D19" s="39">
        <f t="shared" si="5"/>
        <v>188399.0537052002</v>
      </c>
      <c r="E19" s="39">
        <f t="shared" si="5"/>
        <v>217068.88596691351</v>
      </c>
      <c r="F19" s="39">
        <f t="shared" si="5"/>
        <v>215834.98216864205</v>
      </c>
      <c r="G19" s="39">
        <f t="shared" si="5"/>
        <v>217816.18789149626</v>
      </c>
      <c r="H19" s="39">
        <f t="shared" si="5"/>
        <v>235138.5948025267</v>
      </c>
      <c r="I19" s="39">
        <f t="shared" si="5"/>
        <v>256549.01564875938</v>
      </c>
      <c r="J19" s="39">
        <f t="shared" si="5"/>
        <v>278252.95404974464</v>
      </c>
      <c r="K19" s="39">
        <f t="shared" si="5"/>
        <v>291237.69322618563</v>
      </c>
      <c r="L19" s="39">
        <f t="shared" si="5"/>
        <v>289204.73170698748</v>
      </c>
      <c r="M19" s="39">
        <f t="shared" si="5"/>
        <v>321443.3107015962</v>
      </c>
      <c r="N19" s="39">
        <f t="shared" si="6"/>
        <v>328482.47465315892</v>
      </c>
      <c r="O19" s="39">
        <f t="shared" si="6"/>
        <v>319963.73964232794</v>
      </c>
      <c r="P19" s="39">
        <f t="shared" si="6"/>
        <v>341876.39237894875</v>
      </c>
      <c r="Q19" s="39">
        <f t="shared" si="6"/>
        <v>382635.09151595249</v>
      </c>
      <c r="R19" s="39">
        <f t="shared" si="6"/>
        <v>384754.2179181088</v>
      </c>
      <c r="S19" s="39">
        <f t="shared" si="6"/>
        <v>379813.23725663457</v>
      </c>
      <c r="T19" s="39">
        <f t="shared" si="6"/>
        <v>364059.69943816611</v>
      </c>
      <c r="U19" s="39">
        <f t="shared" si="6"/>
        <v>381152.19641111989</v>
      </c>
      <c r="V19" s="39">
        <f t="shared" si="6"/>
        <v>375758.72267753066</v>
      </c>
      <c r="W19" s="39">
        <f t="shared" si="6"/>
        <v>388619.71239544859</v>
      </c>
      <c r="X19" s="39">
        <f t="shared" si="7"/>
        <v>472283.48996201006</v>
      </c>
      <c r="Y19" s="39">
        <f t="shared" si="7"/>
        <v>497412.53677298035</v>
      </c>
      <c r="Z19" s="39">
        <f t="shared" si="7"/>
        <v>450820.43607764866</v>
      </c>
      <c r="AA19" s="39">
        <f t="shared" si="7"/>
        <v>495023.6536267309</v>
      </c>
      <c r="AB19" s="39">
        <f t="shared" si="7"/>
        <v>528403.24510154407</v>
      </c>
      <c r="AC19" s="39">
        <f t="shared" si="7"/>
        <v>540086.70042929112</v>
      </c>
      <c r="AD19" s="39">
        <f t="shared" si="7"/>
        <v>555699.15150943201</v>
      </c>
    </row>
    <row r="20" spans="2:30" x14ac:dyDescent="0.2">
      <c r="B20" s="72" t="s">
        <v>51</v>
      </c>
      <c r="R20" s="8"/>
    </row>
    <row r="21" spans="2:30" x14ac:dyDescent="0.2">
      <c r="B21" s="1" t="s">
        <v>52</v>
      </c>
      <c r="R21" s="8"/>
    </row>
    <row r="22" spans="2:30" x14ac:dyDescent="0.2">
      <c r="B22" s="1"/>
      <c r="R22" s="8"/>
    </row>
    <row r="23" spans="2:30" ht="18" customHeight="1" x14ac:dyDescent="0.2">
      <c r="C23" s="131"/>
      <c r="D23" s="155" t="s">
        <v>53</v>
      </c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</row>
    <row r="24" spans="2:30" x14ac:dyDescent="0.2">
      <c r="B24" s="157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</row>
    <row r="25" spans="2:30" x14ac:dyDescent="0.2">
      <c r="B25" s="158"/>
      <c r="C25" s="159" t="s">
        <v>38</v>
      </c>
      <c r="D25" s="153" t="s">
        <v>1</v>
      </c>
      <c r="E25" s="153" t="s">
        <v>2</v>
      </c>
      <c r="F25" s="153" t="s">
        <v>3</v>
      </c>
      <c r="G25" s="153" t="s">
        <v>4</v>
      </c>
      <c r="H25" s="153">
        <v>2004</v>
      </c>
      <c r="I25" s="153" t="s">
        <v>5</v>
      </c>
      <c r="J25" s="153" t="s">
        <v>6</v>
      </c>
      <c r="K25" s="153" t="s">
        <v>7</v>
      </c>
      <c r="L25" s="153" t="s">
        <v>8</v>
      </c>
      <c r="M25" s="153" t="s">
        <v>9</v>
      </c>
      <c r="N25" s="153">
        <v>2010</v>
      </c>
      <c r="O25" s="153">
        <v>2011</v>
      </c>
      <c r="P25" s="153">
        <v>2012</v>
      </c>
      <c r="Q25" s="153">
        <v>2013</v>
      </c>
      <c r="R25" s="153">
        <v>2014</v>
      </c>
      <c r="S25" s="153">
        <v>2015</v>
      </c>
      <c r="T25" s="153">
        <v>2016</v>
      </c>
      <c r="U25" s="153">
        <v>2017</v>
      </c>
      <c r="V25" s="153">
        <v>2018</v>
      </c>
      <c r="W25" s="153">
        <v>2019</v>
      </c>
      <c r="X25" s="153">
        <v>2020</v>
      </c>
      <c r="Y25" s="153">
        <v>2021</v>
      </c>
      <c r="Z25" s="153">
        <v>2022</v>
      </c>
      <c r="AA25" s="153">
        <v>2023</v>
      </c>
      <c r="AB25" s="153">
        <v>2024</v>
      </c>
      <c r="AC25" s="153">
        <v>2025</v>
      </c>
      <c r="AD25" s="153" t="s">
        <v>10</v>
      </c>
    </row>
    <row r="26" spans="2:30" ht="12" customHeight="1" thickBot="1" x14ac:dyDescent="0.25">
      <c r="B26" s="154"/>
      <c r="C26" s="160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2:30" x14ac:dyDescent="0.2">
      <c r="B27" s="34" t="s">
        <v>39</v>
      </c>
      <c r="C27" s="76" t="s">
        <v>40</v>
      </c>
      <c r="D27" s="35">
        <f>24624.058214003*Deflactores!$A$5</f>
        <v>91692.925051008235</v>
      </c>
      <c r="E27" s="35">
        <f>27903.5422457542*Deflactores!$B$5</f>
        <v>96522.451742088597</v>
      </c>
      <c r="F27" s="35">
        <f>31051.6495802533*Deflactores!$C$5</f>
        <v>100392.90573021893</v>
      </c>
      <c r="G27" s="35">
        <f>33240.8601535007*Deflactores!$D$5</f>
        <v>100919.76264939866</v>
      </c>
      <c r="H27" s="35">
        <f>39137.8888526023*Deflactores!$E$5</f>
        <v>112631.87750937758</v>
      </c>
      <c r="I27" s="35">
        <f>44992.0890386328*Deflactores!$F$5</f>
        <v>123483.87709188963</v>
      </c>
      <c r="J27" s="35">
        <f>49274.0349259904*Deflactores!$G$5</f>
        <v>129439.72739310644</v>
      </c>
      <c r="K27" s="35">
        <f>54094.0402412814*Deflactores!$H$5</f>
        <v>134445.61840210424</v>
      </c>
      <c r="L27" s="35">
        <f>61379.630372517*Deflactores!$I$5</f>
        <v>141680.19865955177</v>
      </c>
      <c r="M27" s="35">
        <f>70099.835293442*Deflactores!$J$5</f>
        <v>158633.17482370167</v>
      </c>
      <c r="N27" s="35">
        <f>79059.3018448911*Deflactores!$K$5</f>
        <v>173408.91383257744</v>
      </c>
      <c r="O27" s="35">
        <f>78195.918324145*Deflactores!$L$5</f>
        <v>165352.98075183135</v>
      </c>
      <c r="P27" s="35">
        <f>86113.9407639059*Deflactores!$M$5</f>
        <v>177759.09806051396</v>
      </c>
      <c r="Q27" s="35">
        <f>95291.720963454*Deflactores!$N$5</f>
        <v>192960.72186624419</v>
      </c>
      <c r="R27" s="35">
        <f>106016.736742201*Deflactores!$O$5</f>
        <v>207098.50916367437</v>
      </c>
      <c r="S27" s="35">
        <f>108631.880046319*Deflactores!$P$5</f>
        <v>198751.58160745533</v>
      </c>
      <c r="T27" s="35">
        <f>116955.517493496*Deflactores!$Q$5</f>
        <v>202345.5400494854</v>
      </c>
      <c r="U27" s="35">
        <f>132991.642817151*Deflactores!$R$5</f>
        <v>221048.85201012052</v>
      </c>
      <c r="V27" s="35">
        <f>140635.922359453*Deflactores!$S$5</f>
        <v>226550.30714215219</v>
      </c>
      <c r="W27" s="35">
        <f>150153.646139681*Deflactores!$T$5</f>
        <v>233027.36184918429</v>
      </c>
      <c r="X27" s="35">
        <f>205166.440089547*Deflactores!$U$5</f>
        <v>313358.08718845627</v>
      </c>
      <c r="Y27" s="35">
        <f>205343.450850703*Deflactores!$V$5</f>
        <v>296940.39206019964</v>
      </c>
      <c r="Z27" s="35">
        <f>202823.239448963*Deflactores!$W$5</f>
        <v>259278.63991210039</v>
      </c>
      <c r="AA27" s="35">
        <f>250994.411505787*Deflactores!$X$5</f>
        <v>293611.04616864654</v>
      </c>
      <c r="AB27" s="35">
        <f>276692.862798945*Deflactores!$Y$5</f>
        <v>307673.82847978181</v>
      </c>
      <c r="AC27" s="35">
        <f>307210.35149333*Deflactores!$Z$5</f>
        <v>325028.55187994312</v>
      </c>
      <c r="AD27" s="35">
        <f>352135.700352473*Deflactores!$AA$5</f>
        <v>352135.70035247301</v>
      </c>
    </row>
    <row r="28" spans="2:30" x14ac:dyDescent="0.2">
      <c r="B28" s="34" t="s">
        <v>41</v>
      </c>
      <c r="C28" s="76" t="s">
        <v>42</v>
      </c>
      <c r="D28" s="35">
        <f t="shared" ref="D28:AD28" si="8">+D29+D30</f>
        <v>61470.524326270926</v>
      </c>
      <c r="E28" s="35">
        <f t="shared" si="8"/>
        <v>74022.663035903359</v>
      </c>
      <c r="F28" s="35">
        <f t="shared" si="8"/>
        <v>74231.017894555494</v>
      </c>
      <c r="G28" s="35">
        <f t="shared" si="8"/>
        <v>82993.106962678605</v>
      </c>
      <c r="H28" s="35">
        <f t="shared" si="8"/>
        <v>77367.602105818936</v>
      </c>
      <c r="I28" s="35">
        <f t="shared" si="8"/>
        <v>86601.702628314757</v>
      </c>
      <c r="J28" s="35">
        <f t="shared" si="8"/>
        <v>102258.62626594036</v>
      </c>
      <c r="K28" s="35">
        <f t="shared" si="8"/>
        <v>97718.529236687507</v>
      </c>
      <c r="L28" s="35">
        <f t="shared" si="8"/>
        <v>89749.806435303399</v>
      </c>
      <c r="M28" s="35">
        <f t="shared" si="8"/>
        <v>83798.1511510649</v>
      </c>
      <c r="N28" s="35">
        <f t="shared" si="8"/>
        <v>87492.330514750036</v>
      </c>
      <c r="O28" s="35">
        <f t="shared" si="8"/>
        <v>74401.737581704991</v>
      </c>
      <c r="P28" s="35">
        <f t="shared" si="8"/>
        <v>75158.275514355759</v>
      </c>
      <c r="Q28" s="35">
        <f t="shared" si="8"/>
        <v>90190.021442902391</v>
      </c>
      <c r="R28" s="35">
        <f t="shared" si="8"/>
        <v>79996.138130491425</v>
      </c>
      <c r="S28" s="35">
        <f t="shared" si="8"/>
        <v>85945.681130152458</v>
      </c>
      <c r="T28" s="35">
        <f t="shared" si="8"/>
        <v>80804.49482815068</v>
      </c>
      <c r="U28" s="35">
        <f t="shared" si="8"/>
        <v>83115.302390852434</v>
      </c>
      <c r="V28" s="35">
        <f t="shared" si="8"/>
        <v>77208.310977224231</v>
      </c>
      <c r="W28" s="35">
        <f t="shared" si="8"/>
        <v>80596.950275780953</v>
      </c>
      <c r="X28" s="35">
        <f t="shared" si="8"/>
        <v>81884.355469087241</v>
      </c>
      <c r="Y28" s="35">
        <f t="shared" si="8"/>
        <v>101974.37797188906</v>
      </c>
      <c r="Z28" s="35">
        <f t="shared" si="8"/>
        <v>91590.245108422503</v>
      </c>
      <c r="AA28" s="35">
        <f t="shared" si="8"/>
        <v>91764.723406816353</v>
      </c>
      <c r="AB28" s="35">
        <f t="shared" si="8"/>
        <v>105006.37916586775</v>
      </c>
      <c r="AC28" s="35">
        <f t="shared" si="8"/>
        <v>119136.28720488798</v>
      </c>
      <c r="AD28" s="35">
        <f t="shared" si="8"/>
        <v>100449.70846832701</v>
      </c>
    </row>
    <row r="29" spans="2:30" x14ac:dyDescent="0.2">
      <c r="B29" s="32"/>
      <c r="C29" s="77" t="s">
        <v>43</v>
      </c>
      <c r="D29" s="33">
        <f>5118.685043496*Deflactores!$A$5</f>
        <v>19060.513907739674</v>
      </c>
      <c r="E29" s="33">
        <f>7930.94681748399*Deflactores!$B$5</f>
        <v>27434.310121545594</v>
      </c>
      <c r="F29" s="33">
        <f>9592.132325261*Deflactores!$C$5</f>
        <v>31012.266636362641</v>
      </c>
      <c r="G29" s="33">
        <f>13345.9083405457*Deflactores!$D$5</f>
        <v>40518.382973512176</v>
      </c>
      <c r="H29" s="33">
        <f>9403.76372765699*Deflactores!$E$5</f>
        <v>27062.358122828729</v>
      </c>
      <c r="I29" s="33">
        <f>13099.977408416*Deflactores!$F$5</f>
        <v>35953.787316218564</v>
      </c>
      <c r="J29" s="33">
        <f>10617.952448106*Deflactores!$G$5</f>
        <v>27892.679631780382</v>
      </c>
      <c r="K29" s="33">
        <f>7714.89399035686*Deflactores!$H$5</f>
        <v>19174.638995603247</v>
      </c>
      <c r="L29" s="33">
        <f>8191.355017661*Deflactores!$I$5</f>
        <v>18907.784213584466</v>
      </c>
      <c r="M29" s="33">
        <f>8268.53668593*Deflactores!$J$5</f>
        <v>18711.37385907715</v>
      </c>
      <c r="N29" s="33">
        <f>8620.58365653199*Deflactores!$K$5</f>
        <v>18908.414488847175</v>
      </c>
      <c r="O29" s="33">
        <f>7029.92120042*Deflactores!$L$5</f>
        <v>14865.461648795714</v>
      </c>
      <c r="P29" s="33">
        <f>6561.469324138*Deflactores!$M$5</f>
        <v>13544.390822947606</v>
      </c>
      <c r="Q29" s="33">
        <f>7059.316775695*Deflactores!$N$5</f>
        <v>14294.745095883096</v>
      </c>
      <c r="R29" s="33">
        <f>9012.280235977*Deflactores!$O$5</f>
        <v>17605.048583740583</v>
      </c>
      <c r="S29" s="33">
        <f>11137.815655388*Deflactores!$P$5</f>
        <v>20377.613608608917</v>
      </c>
      <c r="T29" s="33">
        <f>9677.42432937875*Deflactores!$Q$5</f>
        <v>16742.977964464724</v>
      </c>
      <c r="U29" s="33">
        <f>14405.848663066*Deflactores!$R$5</f>
        <v>23944.33395773948</v>
      </c>
      <c r="V29" s="33">
        <f>11174.35506334*Deflactores!$S$5</f>
        <v>18000.760611109821</v>
      </c>
      <c r="W29" s="33">
        <f>14397.630715367*Deflactores!$T$5</f>
        <v>22344.058827314228</v>
      </c>
      <c r="X29" s="33">
        <f>14993.475928439*Deflactores!$U$5</f>
        <v>22900.075349512208</v>
      </c>
      <c r="Y29" s="33">
        <f>25207.139061341*Deflactores!$V$5</f>
        <v>36451.212466632918</v>
      </c>
      <c r="Z29" s="33">
        <f>16786.348786879*Deflactores!$W$5</f>
        <v>21458.791874031358</v>
      </c>
      <c r="AA29" s="33">
        <f>26544.48823148*Deflactores!$X$5</f>
        <v>31051.50793158785</v>
      </c>
      <c r="AB29" s="33">
        <f>37259.837390135*Deflactores!$Y$5</f>
        <v>41431.776383357683</v>
      </c>
      <c r="AC29" s="33">
        <f>53818.412*Deflactores!$Z$5</f>
        <v>56939.879895999999</v>
      </c>
      <c r="AD29" s="33">
        <f>38406.044999037*Deflactores!$AA$5</f>
        <v>38406.044999037003</v>
      </c>
    </row>
    <row r="30" spans="2:30" x14ac:dyDescent="0.2">
      <c r="B30" s="32"/>
      <c r="C30" s="77" t="s">
        <v>44</v>
      </c>
      <c r="D30" s="33">
        <f>11389.172772288*Deflactores!$A$5</f>
        <v>42410.010418531252</v>
      </c>
      <c r="E30" s="33">
        <f>13468.162590601*Deflactores!$B$5</f>
        <v>46588.352914357769</v>
      </c>
      <c r="F30" s="33">
        <f>13367.6130758867*Deflactores!$C$5</f>
        <v>43218.751258192846</v>
      </c>
      <c r="G30" s="33">
        <f>13990.2861750422*Deflactores!$D$5</f>
        <v>42474.723989166421</v>
      </c>
      <c r="H30" s="33">
        <f>17480.318105728*Deflactores!$E$5</f>
        <v>50305.243982990207</v>
      </c>
      <c r="I30" s="33">
        <f>18453.870813007*Deflactores!$F$5</f>
        <v>50647.9153120962</v>
      </c>
      <c r="J30" s="33">
        <f>28309.007795014*Deflactores!$G$5</f>
        <v>74365.946634159976</v>
      </c>
      <c r="K30" s="33">
        <f>31602.0440822451*Deflactores!$H$5</f>
        <v>78543.890241084257</v>
      </c>
      <c r="L30" s="33">
        <f>30690.648234192*Deflactores!$I$5</f>
        <v>70842.022221718929</v>
      </c>
      <c r="M30" s="33">
        <f>28761.7793252889*Deflactores!$J$5</f>
        <v>65086.777291987746</v>
      </c>
      <c r="N30" s="33">
        <f>31268.268735202*Deflactores!$K$5</f>
        <v>68583.916025902858</v>
      </c>
      <c r="O30" s="33">
        <f>28154.882657729*Deflactores!$L$5</f>
        <v>59536.275932909281</v>
      </c>
      <c r="P30" s="33">
        <f>29848.342360197*Deflactores!$M$5</f>
        <v>61613.884691408151</v>
      </c>
      <c r="Q30" s="33">
        <f>37480.122514869*Deflactores!$N$5</f>
        <v>75895.276347019288</v>
      </c>
      <c r="R30" s="33">
        <f>31938.905510466*Deflactores!$O$5</f>
        <v>62391.089546750845</v>
      </c>
      <c r="S30" s="33">
        <f>35837.613911104*Deflactores!$P$5</f>
        <v>65568.067521543548</v>
      </c>
      <c r="T30" s="33">
        <f>37027.4919544972*Deflactores!$Q$5</f>
        <v>64061.51686368596</v>
      </c>
      <c r="U30" s="33">
        <f>35599.570988232*Deflactores!$R$5</f>
        <v>59170.968433112954</v>
      </c>
      <c r="V30" s="33">
        <f>36754.346358743*Deflactores!$S$5</f>
        <v>59207.550366114418</v>
      </c>
      <c r="W30" s="33">
        <f>37535.866946077*Deflactores!$T$5</f>
        <v>58252.891448466726</v>
      </c>
      <c r="X30" s="33">
        <f>38619.060008813*Deflactores!$U$5</f>
        <v>58984.280119575036</v>
      </c>
      <c r="Y30" s="33">
        <f>45311.292351171*Deflactores!$V$5</f>
        <v>65523.16550525614</v>
      </c>
      <c r="Z30" s="33">
        <f>54861.011833003*Deflactores!$W$5</f>
        <v>70131.453234391141</v>
      </c>
      <c r="AA30" s="33">
        <f>51900.900826722*Deflactores!$X$5</f>
        <v>60713.215475228506</v>
      </c>
      <c r="AB30" s="33">
        <f>57173.009911548*Deflactores!$Y$5</f>
        <v>63574.602782510061</v>
      </c>
      <c r="AC30" s="33">
        <f>58786.774394034*Deflactores!$Z$5</f>
        <v>62196.407308887974</v>
      </c>
      <c r="AD30" s="33">
        <f>62043.66346929*Deflactores!$AA$5</f>
        <v>62043.663469289997</v>
      </c>
    </row>
    <row r="31" spans="2:30" x14ac:dyDescent="0.2">
      <c r="B31" s="34" t="s">
        <v>45</v>
      </c>
      <c r="C31" s="76" t="s">
        <v>46</v>
      </c>
      <c r="D31" s="35">
        <f>5282.46193920199*Deflactores!$A$5</f>
        <v>19670.372059168036</v>
      </c>
      <c r="E31" s="35">
        <f>8682.710599852*Deflactores!$B$5</f>
        <v>30034.771481110336</v>
      </c>
      <c r="F31" s="35">
        <f>7691.33760007117*Deflactores!$C$5</f>
        <v>24866.818383596306</v>
      </c>
      <c r="G31" s="35">
        <f>6270.8732041031*Deflactores!$D$5</f>
        <v>19038.467489714192</v>
      </c>
      <c r="H31" s="35">
        <f>7963.9756075135*Deflactores!$E$5</f>
        <v>22918.904197702774</v>
      </c>
      <c r="I31" s="35">
        <f>9163.73950241747*Deflactores!$F$5</f>
        <v>25150.512158859259</v>
      </c>
      <c r="J31" s="35">
        <f>10749.1531497432*Deflactores!$G$5</f>
        <v>28237.335454653654</v>
      </c>
      <c r="K31" s="35">
        <f>16125.835038255*Deflactores!$H$5</f>
        <v>40079.237089670867</v>
      </c>
      <c r="L31" s="35">
        <f>16219.0159494324*Deflactores!$I$5</f>
        <v>37437.719774978017</v>
      </c>
      <c r="M31" s="35">
        <f>23698.743583883*Deflactores!$J$5</f>
        <v>53629.326207502389</v>
      </c>
      <c r="N31" s="35">
        <f>18202.9908133394*Deflactores!$K$5</f>
        <v>39926.49557718743</v>
      </c>
      <c r="O31" s="35">
        <f>25037.590831207*Deflactores!$L$5</f>
        <v>52944.454947419632</v>
      </c>
      <c r="P31" s="35">
        <f>29848.254958601*Deflactores!$M$5</f>
        <v>61613.704274291762</v>
      </c>
      <c r="Q31" s="35">
        <f>34723.8330709731*Deflactores!$N$5</f>
        <v>70313.935225365742</v>
      </c>
      <c r="R31" s="35">
        <f>38578.938422624*Deflactores!$O$5</f>
        <v>75362.069027562058</v>
      </c>
      <c r="S31" s="35">
        <f>39728.7584789163*Deflactores!$P$5</f>
        <v>72687.258837998714</v>
      </c>
      <c r="T31" s="35">
        <f>33408.0358796063*Deflactores!$Q$5</f>
        <v>57799.471174392864</v>
      </c>
      <c r="U31" s="35">
        <f>31702.147465306*Deflactores!$R$5</f>
        <v>52692.959910994541</v>
      </c>
      <c r="V31" s="35">
        <f>30951.1046466839*Deflactores!$S$5</f>
        <v>49859.112426291227</v>
      </c>
      <c r="W31" s="35">
        <f>33469.222870768*Deflactores!$T$5</f>
        <v>51941.76038497375</v>
      </c>
      <c r="X31" s="35">
        <f>35633.088244153*Deflactores!$U$5</f>
        <v>54423.697988480832</v>
      </c>
      <c r="Y31" s="35">
        <f>49377.4964657*Deflactores!$V$5</f>
        <v>71403.169172102585</v>
      </c>
      <c r="Z31" s="35">
        <f>59291.241905104*Deflactores!$W$5</f>
        <v>75794.828056294005</v>
      </c>
      <c r="AA31" s="35">
        <f>71954.415677339*Deflactores!$X$5</f>
        <v>84171.640064544088</v>
      </c>
      <c r="AB31" s="35">
        <f>77085.675691022*Deflactores!$Y$5</f>
        <v>85716.86570044054</v>
      </c>
      <c r="AC31" s="35">
        <f>64335.7862965803*Deflactores!$Z$5</f>
        <v>68067.261901781967</v>
      </c>
      <c r="AD31" s="35">
        <f>73456.308595238*Deflactores!$AA$5</f>
        <v>73456.308595238006</v>
      </c>
    </row>
    <row r="32" spans="2:30" x14ac:dyDescent="0.2">
      <c r="B32" s="36" t="s">
        <v>47</v>
      </c>
      <c r="C32" s="78" t="s">
        <v>48</v>
      </c>
      <c r="D32" s="37">
        <f t="shared" ref="D32:M33" si="9">+D27+D31</f>
        <v>111363.29711017627</v>
      </c>
      <c r="E32" s="37">
        <f t="shared" si="9"/>
        <v>126557.22322319893</v>
      </c>
      <c r="F32" s="37">
        <f t="shared" si="9"/>
        <v>125259.72411381523</v>
      </c>
      <c r="G32" s="37">
        <f t="shared" si="9"/>
        <v>119958.23013911286</v>
      </c>
      <c r="H32" s="37">
        <f t="shared" si="9"/>
        <v>135550.78170708034</v>
      </c>
      <c r="I32" s="37">
        <f t="shared" si="9"/>
        <v>148634.38925074891</v>
      </c>
      <c r="J32" s="37">
        <f t="shared" si="9"/>
        <v>157677.0628477601</v>
      </c>
      <c r="K32" s="37">
        <f t="shared" si="9"/>
        <v>174524.85549177512</v>
      </c>
      <c r="L32" s="37">
        <f t="shared" si="9"/>
        <v>179117.9184345298</v>
      </c>
      <c r="M32" s="37">
        <f t="shared" si="9"/>
        <v>212262.50103120407</v>
      </c>
      <c r="N32" s="37">
        <f t="shared" ref="N32:W33" si="10">+N27+N31</f>
        <v>213335.40940976486</v>
      </c>
      <c r="O32" s="37">
        <f t="shared" si="10"/>
        <v>218297.43569925099</v>
      </c>
      <c r="P32" s="37">
        <f t="shared" si="10"/>
        <v>239372.80233480572</v>
      </c>
      <c r="Q32" s="37">
        <f t="shared" si="10"/>
        <v>263274.6570916099</v>
      </c>
      <c r="R32" s="37">
        <f t="shared" si="10"/>
        <v>282460.57819123642</v>
      </c>
      <c r="S32" s="37">
        <f t="shared" si="10"/>
        <v>271438.84044545406</v>
      </c>
      <c r="T32" s="37">
        <f t="shared" si="10"/>
        <v>260145.01122387825</v>
      </c>
      <c r="U32" s="37">
        <f t="shared" si="10"/>
        <v>273741.81192111503</v>
      </c>
      <c r="V32" s="37">
        <f t="shared" si="10"/>
        <v>276409.41956844344</v>
      </c>
      <c r="W32" s="37">
        <f t="shared" si="10"/>
        <v>284969.12223415804</v>
      </c>
      <c r="X32" s="37">
        <f t="shared" ref="X32:AD33" si="11">+X27+X31</f>
        <v>367781.78517693712</v>
      </c>
      <c r="Y32" s="37">
        <f t="shared" si="11"/>
        <v>368343.56123230222</v>
      </c>
      <c r="Z32" s="37">
        <f t="shared" si="11"/>
        <v>335073.4679683944</v>
      </c>
      <c r="AA32" s="37">
        <f t="shared" si="11"/>
        <v>377782.68623319064</v>
      </c>
      <c r="AB32" s="37">
        <f t="shared" si="11"/>
        <v>393390.69418022234</v>
      </c>
      <c r="AC32" s="37">
        <f t="shared" si="11"/>
        <v>393095.81378172507</v>
      </c>
      <c r="AD32" s="37">
        <f t="shared" si="11"/>
        <v>425592.00894771103</v>
      </c>
    </row>
    <row r="33" spans="2:30" x14ac:dyDescent="0.2">
      <c r="B33" s="38" t="s">
        <v>49</v>
      </c>
      <c r="C33" s="78" t="s">
        <v>50</v>
      </c>
      <c r="D33" s="39">
        <f t="shared" si="9"/>
        <v>172833.82143644721</v>
      </c>
      <c r="E33" s="39">
        <f t="shared" si="9"/>
        <v>200579.88625910229</v>
      </c>
      <c r="F33" s="39">
        <f t="shared" si="9"/>
        <v>199490.74200837073</v>
      </c>
      <c r="G33" s="39">
        <f t="shared" si="9"/>
        <v>202951.33710179146</v>
      </c>
      <c r="H33" s="39">
        <f t="shared" si="9"/>
        <v>212918.38381289929</v>
      </c>
      <c r="I33" s="39">
        <f t="shared" si="9"/>
        <v>235236.09187906366</v>
      </c>
      <c r="J33" s="39">
        <f t="shared" si="9"/>
        <v>259935.68911370047</v>
      </c>
      <c r="K33" s="39">
        <f t="shared" si="9"/>
        <v>272243.38472846261</v>
      </c>
      <c r="L33" s="39">
        <f t="shared" si="9"/>
        <v>268867.72486983321</v>
      </c>
      <c r="M33" s="39">
        <f t="shared" si="9"/>
        <v>296060.65218226897</v>
      </c>
      <c r="N33" s="39">
        <f t="shared" si="10"/>
        <v>300827.7399245149</v>
      </c>
      <c r="O33" s="39">
        <f t="shared" si="10"/>
        <v>292699.17328095599</v>
      </c>
      <c r="P33" s="39">
        <f t="shared" si="10"/>
        <v>314531.07784916146</v>
      </c>
      <c r="Q33" s="39">
        <f t="shared" si="10"/>
        <v>353464.67853451229</v>
      </c>
      <c r="R33" s="39">
        <f t="shared" si="10"/>
        <v>362456.71632172784</v>
      </c>
      <c r="S33" s="39">
        <f t="shared" si="10"/>
        <v>357384.52157560654</v>
      </c>
      <c r="T33" s="39">
        <f t="shared" si="10"/>
        <v>340949.50605202891</v>
      </c>
      <c r="U33" s="39">
        <f t="shared" si="10"/>
        <v>356857.11431196745</v>
      </c>
      <c r="V33" s="39">
        <f t="shared" si="10"/>
        <v>353617.7305456677</v>
      </c>
      <c r="W33" s="39">
        <f t="shared" si="10"/>
        <v>365566.07250993897</v>
      </c>
      <c r="X33" s="39">
        <f t="shared" si="11"/>
        <v>449666.14064602437</v>
      </c>
      <c r="Y33" s="39">
        <f t="shared" si="11"/>
        <v>470317.93920419127</v>
      </c>
      <c r="Z33" s="39">
        <f t="shared" si="11"/>
        <v>426663.71307681687</v>
      </c>
      <c r="AA33" s="39">
        <f t="shared" si="11"/>
        <v>469547.40964000701</v>
      </c>
      <c r="AB33" s="39">
        <f t="shared" si="11"/>
        <v>498397.0733460901</v>
      </c>
      <c r="AC33" s="39">
        <f t="shared" si="11"/>
        <v>512232.10098661308</v>
      </c>
      <c r="AD33" s="39">
        <f t="shared" si="11"/>
        <v>526041.71741603804</v>
      </c>
    </row>
    <row r="34" spans="2:30" x14ac:dyDescent="0.2">
      <c r="B34" s="72" t="str">
        <f>+B20</f>
        <v>* Información con corte a 30 de abril</v>
      </c>
    </row>
    <row r="35" spans="2:30" x14ac:dyDescent="0.2">
      <c r="B35" s="1" t="s">
        <v>52</v>
      </c>
      <c r="AB35" s="8"/>
    </row>
    <row r="37" spans="2:30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0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0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0" ht="18" customHeight="1" x14ac:dyDescent="0.2">
      <c r="C42" s="131"/>
      <c r="D42" s="155" t="s">
        <v>54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</row>
    <row r="43" spans="2:30" x14ac:dyDescent="0.2">
      <c r="B43" s="157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</row>
    <row r="44" spans="2:30" x14ac:dyDescent="0.2">
      <c r="B44" s="158"/>
      <c r="C44" s="159" t="s">
        <v>38</v>
      </c>
      <c r="D44" s="153" t="s">
        <v>1</v>
      </c>
      <c r="E44" s="153" t="s">
        <v>2</v>
      </c>
      <c r="F44" s="153" t="s">
        <v>3</v>
      </c>
      <c r="G44" s="153" t="s">
        <v>4</v>
      </c>
      <c r="H44" s="153">
        <v>2004</v>
      </c>
      <c r="I44" s="153" t="s">
        <v>5</v>
      </c>
      <c r="J44" s="153" t="s">
        <v>6</v>
      </c>
      <c r="K44" s="153" t="s">
        <v>7</v>
      </c>
      <c r="L44" s="153" t="s">
        <v>8</v>
      </c>
      <c r="M44" s="153" t="s">
        <v>9</v>
      </c>
      <c r="N44" s="153">
        <v>2010</v>
      </c>
      <c r="O44" s="153">
        <v>2011</v>
      </c>
      <c r="P44" s="153">
        <v>2012</v>
      </c>
      <c r="Q44" s="153">
        <v>2013</v>
      </c>
      <c r="R44" s="153">
        <v>2014</v>
      </c>
      <c r="S44" s="153">
        <v>2015</v>
      </c>
      <c r="T44" s="153">
        <v>2016</v>
      </c>
      <c r="U44" s="153">
        <v>2017</v>
      </c>
      <c r="V44" s="153">
        <v>2018</v>
      </c>
      <c r="W44" s="153">
        <v>2019</v>
      </c>
      <c r="X44" s="153">
        <v>2020</v>
      </c>
      <c r="Y44" s="153">
        <v>2021</v>
      </c>
      <c r="Z44" s="153">
        <v>2022</v>
      </c>
      <c r="AA44" s="153">
        <v>2023</v>
      </c>
      <c r="AB44" s="153">
        <v>2024</v>
      </c>
      <c r="AC44" s="153">
        <v>2025</v>
      </c>
      <c r="AD44" s="153" t="s">
        <v>10</v>
      </c>
    </row>
    <row r="45" spans="2:30" ht="12" customHeight="1" thickBot="1" x14ac:dyDescent="0.25">
      <c r="B45" s="154"/>
      <c r="C45" s="160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</row>
    <row r="46" spans="2:30" x14ac:dyDescent="0.2">
      <c r="B46" s="34" t="s">
        <v>39</v>
      </c>
      <c r="C46" s="76" t="s">
        <v>40</v>
      </c>
      <c r="D46" s="35">
        <f>1802.45462826995*Deflactores!$A$5</f>
        <v>6711.8236848471133</v>
      </c>
      <c r="E46" s="35">
        <f>1979.1486838265*Deflactores!$B$5</f>
        <v>6846.1660402320049</v>
      </c>
      <c r="F46" s="35">
        <f>2109.30848621184*Deflactores!$C$5</f>
        <v>6819.5928678417304</v>
      </c>
      <c r="G46" s="35">
        <f>2199.46586220191*Deflactores!$D$5</f>
        <v>6677.6121840365631</v>
      </c>
      <c r="H46" s="35">
        <f>4505.57662574961*Deflactores!$E$5</f>
        <v>12966.247528877702</v>
      </c>
      <c r="I46" s="35">
        <f>4326.58421995269*Deflactores!$F$5</f>
        <v>11874.60741344101</v>
      </c>
      <c r="J46" s="35">
        <f>2737.20586368722*Deflactores!$G$5</f>
        <v>7190.4641328165944</v>
      </c>
      <c r="K46" s="35">
        <f>2773.0992572323*Deflactores!$H$5</f>
        <v>6892.2758009206664</v>
      </c>
      <c r="L46" s="35">
        <f>2937.06182026656*Deflactores!$I$5</f>
        <v>6779.5048560128189</v>
      </c>
      <c r="M46" s="35">
        <f>3721.38577042655*Deflactores!$J$5</f>
        <v>8421.3498795729392</v>
      </c>
      <c r="N46" s="35">
        <f>5124.25113830518*Deflactores!$K$5</f>
        <v>11239.548078001038</v>
      </c>
      <c r="O46" s="35">
        <f>5068.47039884949*Deflactores!$L$5</f>
        <v>10717.780496266721</v>
      </c>
      <c r="P46" s="35">
        <f>5013.912292806*Deflactores!$M$5</f>
        <v>10349.875049468035</v>
      </c>
      <c r="Q46" s="35">
        <f>5482.39433030241*Deflactores!$N$5</f>
        <v>11101.560102333286</v>
      </c>
      <c r="R46" s="35">
        <f>5507.51306974952*Deflactores!$O$5</f>
        <v>10758.657368582741</v>
      </c>
      <c r="S46" s="35">
        <f>5897.397136793*Deflactores!$P$5</f>
        <v>10789.806894671383</v>
      </c>
      <c r="T46" s="35">
        <f>5623.364563865*Deflactores!$Q$5</f>
        <v>9729.0214600921245</v>
      </c>
      <c r="U46" s="35">
        <f>5898.9573019634*Deflactores!$R$5</f>
        <v>9804.8096258839887</v>
      </c>
      <c r="V46" s="35">
        <f>6072.60818909562*Deflactores!$S$5</f>
        <v>9782.3602057891203</v>
      </c>
      <c r="W46" s="35">
        <f>6524.9325638214*Deflactores!$T$5</f>
        <v>10126.213120237491</v>
      </c>
      <c r="X46" s="35">
        <f>6676.249319323*Deflactores!$U$5</f>
        <v>10196.875840820696</v>
      </c>
      <c r="Y46" s="35">
        <f>8541.179058099*Deflactores!$V$5</f>
        <v>12351.117348331058</v>
      </c>
      <c r="Z46" s="35">
        <f>8488.583542193*Deflactores!$W$5</f>
        <v>10851.362011471381</v>
      </c>
      <c r="AA46" s="35">
        <f>10341.410643597*Deflactores!$X$5</f>
        <v>12097.290850860578</v>
      </c>
      <c r="AB46" s="35">
        <f>13468.0030478485*Deflactores!$Y$5</f>
        <v>14975.999083575631</v>
      </c>
      <c r="AC46" s="35">
        <f>12543.818119712*Deflactores!$Z$5</f>
        <v>13271.359570655295</v>
      </c>
      <c r="AD46" s="35">
        <f>13655.525596213*Deflactores!$AA$5</f>
        <v>13655.525596213</v>
      </c>
    </row>
    <row r="47" spans="2:30" x14ac:dyDescent="0.2">
      <c r="B47" s="34" t="s">
        <v>41</v>
      </c>
      <c r="C47" s="76" t="s">
        <v>42</v>
      </c>
      <c r="D47" s="35">
        <f t="shared" ref="D47:AD47" si="12">+D48+D49</f>
        <v>145.98661504248722</v>
      </c>
      <c r="E47" s="35">
        <f t="shared" si="12"/>
        <v>13.623176163000823</v>
      </c>
      <c r="F47" s="35">
        <f t="shared" si="12"/>
        <v>15.07334256884698</v>
      </c>
      <c r="G47" s="35">
        <f t="shared" si="12"/>
        <v>14.341487354698131</v>
      </c>
      <c r="H47" s="35">
        <f t="shared" si="12"/>
        <v>11.553304194615034</v>
      </c>
      <c r="I47" s="35">
        <f t="shared" si="12"/>
        <v>11.514180476049315</v>
      </c>
      <c r="J47" s="35">
        <f t="shared" si="12"/>
        <v>7.8776551400645314</v>
      </c>
      <c r="K47" s="35">
        <f t="shared" si="12"/>
        <v>7.096160420768447</v>
      </c>
      <c r="L47" s="35">
        <f t="shared" si="12"/>
        <v>5.396021422682483</v>
      </c>
      <c r="M47" s="35">
        <f t="shared" si="12"/>
        <v>9.0398492495106382</v>
      </c>
      <c r="N47" s="35">
        <f t="shared" si="12"/>
        <v>4.9779282229832198</v>
      </c>
      <c r="O47" s="35">
        <f t="shared" si="12"/>
        <v>3.9978601455069045</v>
      </c>
      <c r="P47" s="35">
        <f t="shared" si="12"/>
        <v>2.5187751196766976</v>
      </c>
      <c r="Q47" s="35">
        <f t="shared" si="12"/>
        <v>2.7903775064956755</v>
      </c>
      <c r="R47" s="35">
        <f t="shared" si="12"/>
        <v>2.0577653704198067</v>
      </c>
      <c r="S47" s="35">
        <f t="shared" si="12"/>
        <v>2.8743446244849595</v>
      </c>
      <c r="T47" s="35">
        <f t="shared" si="12"/>
        <v>2.2280335267547429</v>
      </c>
      <c r="U47" s="35">
        <f t="shared" si="12"/>
        <v>2.5681507048561008</v>
      </c>
      <c r="V47" s="35">
        <f t="shared" si="12"/>
        <v>2.0728945085447243</v>
      </c>
      <c r="W47" s="35">
        <f t="shared" si="12"/>
        <v>2.0423347422962421</v>
      </c>
      <c r="X47" s="35">
        <f t="shared" si="12"/>
        <v>1.7793464243724093</v>
      </c>
      <c r="Y47" s="35">
        <f t="shared" si="12"/>
        <v>1.8567500537550794</v>
      </c>
      <c r="Z47" s="35">
        <f t="shared" si="12"/>
        <v>22.011842200229953</v>
      </c>
      <c r="AA47" s="35">
        <f t="shared" si="12"/>
        <v>61.542568482271015</v>
      </c>
      <c r="AB47" s="35">
        <f t="shared" si="12"/>
        <v>0</v>
      </c>
      <c r="AC47" s="35">
        <f t="shared" si="12"/>
        <v>0</v>
      </c>
      <c r="AD47" s="35">
        <f t="shared" si="12"/>
        <v>0</v>
      </c>
    </row>
    <row r="48" spans="2:30" x14ac:dyDescent="0.2">
      <c r="B48" s="32"/>
      <c r="C48" s="77" t="s">
        <v>43</v>
      </c>
      <c r="D48" s="33">
        <f>6.463093336*Deflactores!$A$5</f>
        <v>24.066704509271862</v>
      </c>
      <c r="E48" s="33">
        <f>3.5334*Deflactores!$B$5</f>
        <v>12.222549667054917</v>
      </c>
      <c r="F48" s="33">
        <f>3.5396*Deflactores!$C$5</f>
        <v>11.443859953535656</v>
      </c>
      <c r="G48" s="33">
        <f>3.48177802999999*Deflactores!$D$5</f>
        <v>10.570731646620308</v>
      </c>
      <c r="H48" s="33">
        <f>2.8184*Deflactores!$E$5</f>
        <v>8.1108535201771073</v>
      </c>
      <c r="I48" s="33">
        <f>2.241269716*Deflactores!$F$5</f>
        <v>6.1513185996470563</v>
      </c>
      <c r="J48" s="33">
        <f>1.3518*Deflactores!$G$5</f>
        <v>3.5510918428502181</v>
      </c>
      <c r="K48" s="33">
        <f>1.270532*Deflactores!$H$5</f>
        <v>3.1577870626366051</v>
      </c>
      <c r="L48" s="33">
        <f>1.1598*Deflactores!$I$5</f>
        <v>2.6771209505185198</v>
      </c>
      <c r="M48" s="33">
        <f>1.003*Deflactores!$J$5</f>
        <v>2.2697496175580567</v>
      </c>
      <c r="N48" s="33">
        <f>1.153054408*Deflactores!$K$5</f>
        <v>2.5291130558353974</v>
      </c>
      <c r="O48" s="33">
        <f>0.9337*Deflactores!$L$5</f>
        <v>1.9744007287949841</v>
      </c>
      <c r="P48" s="33">
        <f>0.1702*Deflactores!$M$5</f>
        <v>0.35133217945334688</v>
      </c>
      <c r="Q48" s="33">
        <f>0.5191*Deflactores!$N$5</f>
        <v>1.0511501913076235</v>
      </c>
      <c r="R48" s="33">
        <f>0.1687*Deflactores!$O$5</f>
        <v>0.32954719763605628</v>
      </c>
      <c r="S48" s="33">
        <f>0.190582*Deflactores!$P$5</f>
        <v>0.34868653575507708</v>
      </c>
      <c r="T48" s="33">
        <f>0.231560035*Deflactores!$Q$5</f>
        <v>0.4006235989555465</v>
      </c>
      <c r="U48" s="33">
        <f>0.297*Deflactores!$R$5</f>
        <v>0.49365138783396673</v>
      </c>
      <c r="V48" s="33">
        <f>0.141*Deflactores!$S$5</f>
        <v>0.2271367995539465</v>
      </c>
      <c r="W48" s="33"/>
      <c r="X48" s="33">
        <f>0*Deflactores!$U$5</f>
        <v>0</v>
      </c>
      <c r="Y48" s="33">
        <f>0*Deflactores!$V$5</f>
        <v>0</v>
      </c>
      <c r="Z48" s="33">
        <f>0*Deflactores!$W$5</f>
        <v>0</v>
      </c>
      <c r="AA48" s="33">
        <f>0*Deflactores!$X$5</f>
        <v>0</v>
      </c>
      <c r="AB48" s="33">
        <f>0*Deflactores!$Y$5</f>
        <v>0</v>
      </c>
      <c r="AC48" s="33">
        <f>0*Deflactores!$Z$5</f>
        <v>0</v>
      </c>
      <c r="AD48" s="33">
        <f>0*Deflactores!$AA$5</f>
        <v>0</v>
      </c>
    </row>
    <row r="49" spans="2:30" x14ac:dyDescent="0.2">
      <c r="B49" s="32"/>
      <c r="C49" s="77" t="s">
        <v>44</v>
      </c>
      <c r="D49" s="33">
        <f>32.741489845*Deflactores!$A$5</f>
        <v>121.91991053321534</v>
      </c>
      <c r="E49" s="33">
        <f>0.404905179*Deflactores!$B$5</f>
        <v>1.4006264959459054</v>
      </c>
      <c r="F49" s="33">
        <f>1.12260345*Deflactores!$C$5</f>
        <v>3.6294826153113249</v>
      </c>
      <c r="G49" s="33">
        <f>1.242008105*Deflactores!$D$5</f>
        <v>3.7707557080778229</v>
      </c>
      <c r="H49" s="33">
        <f>1.1962*Deflactores!$E$5</f>
        <v>3.4424506744379277</v>
      </c>
      <c r="I49" s="33">
        <f>1.953990794*Deflactores!$F$5</f>
        <v>5.3628618764022598</v>
      </c>
      <c r="J49" s="33">
        <f>1.647*Deflactores!$G$5</f>
        <v>4.3265632972143138</v>
      </c>
      <c r="K49" s="33">
        <f>1.5846*Deflactores!$H$5</f>
        <v>3.9383733581318414</v>
      </c>
      <c r="L49" s="33">
        <f>1.1779*Deflactores!$I$5</f>
        <v>2.7189004721639631</v>
      </c>
      <c r="M49" s="33">
        <f>2.9917*Deflactores!$J$5</f>
        <v>6.770099631952581</v>
      </c>
      <c r="N49" s="33">
        <f>1.11644559199999*Deflactores!$K$5</f>
        <v>2.4488151671478229</v>
      </c>
      <c r="O49" s="33">
        <f>0.9569*Deflactores!$L$5</f>
        <v>2.0234594167119204</v>
      </c>
      <c r="P49" s="33">
        <f>1.05*Deflactores!$M$5</f>
        <v>2.1674429402233506</v>
      </c>
      <c r="Q49" s="33">
        <f>0.8589*Deflactores!$N$5</f>
        <v>1.739227315188052</v>
      </c>
      <c r="R49" s="33">
        <f>0.884699999999999*Deflactores!$O$5</f>
        <v>1.7282181727837505</v>
      </c>
      <c r="S49" s="33">
        <f>1.38045183999999*Deflactores!$P$5</f>
        <v>2.5256580887298825</v>
      </c>
      <c r="T49" s="33">
        <f>1.05624109*Deflactores!$Q$5</f>
        <v>1.8274099277991962</v>
      </c>
      <c r="U49" s="33">
        <f>1.2481*Deflactores!$R$5</f>
        <v>2.0744993170221342</v>
      </c>
      <c r="V49" s="33">
        <f>1.145793361*Deflactores!$S$5</f>
        <v>1.8457577089907777</v>
      </c>
      <c r="W49" s="33">
        <f>1.316*Deflactores!$T$5</f>
        <v>2.0423347422962421</v>
      </c>
      <c r="X49" s="33">
        <f>1.165*Deflactores!$U$5</f>
        <v>1.7793464243724093</v>
      </c>
      <c r="Y49" s="33">
        <f>1.284*Deflactores!$V$5</f>
        <v>1.8567500537550794</v>
      </c>
      <c r="Z49" s="33">
        <f>17.218977787*Deflactores!$W$5</f>
        <v>22.011842200229953</v>
      </c>
      <c r="AA49" s="33">
        <f>52.609876094*Deflactores!$X$5</f>
        <v>61.542568482271015</v>
      </c>
      <c r="AB49" s="33">
        <f>0*Deflactores!$Y$5</f>
        <v>0</v>
      </c>
      <c r="AC49" s="33">
        <f>0*Deflactores!$Z$5</f>
        <v>0</v>
      </c>
      <c r="AD49" s="33">
        <f>0*Deflactores!$AA$5</f>
        <v>0</v>
      </c>
    </row>
    <row r="50" spans="2:30" x14ac:dyDescent="0.2">
      <c r="B50" s="34" t="s">
        <v>45</v>
      </c>
      <c r="C50" s="76" t="s">
        <v>46</v>
      </c>
      <c r="D50" s="35">
        <f>2338.370875789*Deflactores!$A$5</f>
        <v>8707.4219688634112</v>
      </c>
      <c r="E50" s="35">
        <f>2783.69515994516*Deflactores!$B$5</f>
        <v>9629.2104914162283</v>
      </c>
      <c r="F50" s="35">
        <f>2941.322953059*Deflactores!$C$5</f>
        <v>9509.5739498607545</v>
      </c>
      <c r="G50" s="35">
        <f>2691.98146157578*Deflactores!$D$5</f>
        <v>8172.8971183135336</v>
      </c>
      <c r="H50" s="35">
        <f>3211.59896679605*Deflactores!$E$5</f>
        <v>9242.4101565551027</v>
      </c>
      <c r="I50" s="35">
        <f>3434.71174400036*Deflactores!$F$5</f>
        <v>9426.8021757786464</v>
      </c>
      <c r="J50" s="35">
        <f>4232.65884881217*Deflactores!$G$5</f>
        <v>11118.923148087506</v>
      </c>
      <c r="K50" s="35">
        <f>4866.383832294*Deflactores!$H$5</f>
        <v>12094.93653638156</v>
      </c>
      <c r="L50" s="35">
        <f>5871.13275141252*Deflactores!$I$5</f>
        <v>13552.105959718829</v>
      </c>
      <c r="M50" s="35">
        <f>7491.189982078*Deflactores!$J$5</f>
        <v>16952.268790504775</v>
      </c>
      <c r="N50" s="35">
        <f>7481.620269971*Deflactores!$K$5</f>
        <v>16410.208722419979</v>
      </c>
      <c r="O50" s="35">
        <f>7823.13384257*Deflactores!$L$5</f>
        <v>16542.788004959744</v>
      </c>
      <c r="P50" s="35">
        <f>8232.081412312*Deflactores!$M$5</f>
        <v>16992.920705199536</v>
      </c>
      <c r="Q50" s="35">
        <f>8921.74412575093*Deflactores!$N$5</f>
        <v>18066.06250160038</v>
      </c>
      <c r="R50" s="35">
        <f>5905.84866196*Deflactores!$O$5</f>
        <v>11536.786462427806</v>
      </c>
      <c r="S50" s="35">
        <f>6359.92069832*Deflactores!$P$5</f>
        <v>11636.034441732229</v>
      </c>
      <c r="T50" s="35">
        <f>7733.01603822476*Deflactores!$Q$5</f>
        <v>13378.943892518264</v>
      </c>
      <c r="U50" s="35">
        <f>8716.370073791*Deflactores!$R$5</f>
        <v>14487.704322563577</v>
      </c>
      <c r="V50" s="35">
        <f>7670.596868813*Deflactores!$S$5</f>
        <v>12356.559031565304</v>
      </c>
      <c r="W50" s="35">
        <f>8328.608214074*Deflactores!$T$5</f>
        <v>12925.384430529779</v>
      </c>
      <c r="X50" s="35">
        <f>8130.951040119*Deflactores!$U$5</f>
        <v>12418.694128740655</v>
      </c>
      <c r="Y50" s="35">
        <f>10194.287862127*Deflactores!$V$5</f>
        <v>14741.623470404253</v>
      </c>
      <c r="Z50" s="35">
        <f>10391.029147916*Deflactores!$W$5</f>
        <v>13283.349147160201</v>
      </c>
      <c r="AA50" s="35">
        <f>11384.434174935*Deflactores!$X$5</f>
        <v>13317.410567381061</v>
      </c>
      <c r="AB50" s="35">
        <f>13516.72167078*Deflactores!$Y$5</f>
        <v>15030.172671878445</v>
      </c>
      <c r="AC50" s="35">
        <f>13783.780597375*Deflactores!$Z$5</f>
        <v>14583.23987202275</v>
      </c>
      <c r="AD50" s="35">
        <f>16001.908497181*Deflactores!$AA$5</f>
        <v>16001.908497181001</v>
      </c>
    </row>
    <row r="51" spans="2:30" x14ac:dyDescent="0.2">
      <c r="B51" s="36" t="s">
        <v>47</v>
      </c>
      <c r="C51" s="78" t="s">
        <v>48</v>
      </c>
      <c r="D51" s="37">
        <f t="shared" ref="D51:M52" si="13">+D46+D50</f>
        <v>15419.245653710524</v>
      </c>
      <c r="E51" s="37">
        <f t="shared" si="13"/>
        <v>16475.376531648231</v>
      </c>
      <c r="F51" s="37">
        <f t="shared" si="13"/>
        <v>16329.166817702484</v>
      </c>
      <c r="G51" s="37">
        <f t="shared" si="13"/>
        <v>14850.509302350096</v>
      </c>
      <c r="H51" s="37">
        <f t="shared" si="13"/>
        <v>22208.657685432805</v>
      </c>
      <c r="I51" s="37">
        <f t="shared" si="13"/>
        <v>21301.409589219656</v>
      </c>
      <c r="J51" s="37">
        <f t="shared" si="13"/>
        <v>18309.387280904099</v>
      </c>
      <c r="K51" s="37">
        <f t="shared" si="13"/>
        <v>18987.212337302226</v>
      </c>
      <c r="L51" s="37">
        <f t="shared" si="13"/>
        <v>20331.610815731648</v>
      </c>
      <c r="M51" s="37">
        <f t="shared" si="13"/>
        <v>25373.618670077714</v>
      </c>
      <c r="N51" s="37">
        <f t="shared" ref="N51:W52" si="14">+N46+N50</f>
        <v>27649.756800421019</v>
      </c>
      <c r="O51" s="37">
        <f t="shared" si="14"/>
        <v>27260.568501226466</v>
      </c>
      <c r="P51" s="37">
        <f t="shared" si="14"/>
        <v>27342.795754667572</v>
      </c>
      <c r="Q51" s="37">
        <f t="shared" si="14"/>
        <v>29167.622603933665</v>
      </c>
      <c r="R51" s="37">
        <f t="shared" si="14"/>
        <v>22295.443831010547</v>
      </c>
      <c r="S51" s="37">
        <f t="shared" si="14"/>
        <v>22425.84133640361</v>
      </c>
      <c r="T51" s="37">
        <f t="shared" si="14"/>
        <v>23107.965352610387</v>
      </c>
      <c r="U51" s="37">
        <f t="shared" si="14"/>
        <v>24292.513948447566</v>
      </c>
      <c r="V51" s="37">
        <f t="shared" si="14"/>
        <v>22138.919237354425</v>
      </c>
      <c r="W51" s="37">
        <f t="shared" si="14"/>
        <v>23051.59755076727</v>
      </c>
      <c r="X51" s="37">
        <f t="shared" ref="X51:AD52" si="15">+X46+X50</f>
        <v>22615.569969561351</v>
      </c>
      <c r="Y51" s="37">
        <f t="shared" si="15"/>
        <v>27092.74081873531</v>
      </c>
      <c r="Z51" s="37">
        <f t="shared" si="15"/>
        <v>24134.71115863158</v>
      </c>
      <c r="AA51" s="37">
        <f t="shared" si="15"/>
        <v>25414.701418241639</v>
      </c>
      <c r="AB51" s="37">
        <f t="shared" si="15"/>
        <v>30006.171755454074</v>
      </c>
      <c r="AC51" s="37">
        <f t="shared" si="15"/>
        <v>27854.599442678045</v>
      </c>
      <c r="AD51" s="37">
        <f t="shared" si="15"/>
        <v>29657.434093394</v>
      </c>
    </row>
    <row r="52" spans="2:30" x14ac:dyDescent="0.2">
      <c r="B52" s="38" t="s">
        <v>49</v>
      </c>
      <c r="C52" s="78" t="s">
        <v>50</v>
      </c>
      <c r="D52" s="39">
        <f t="shared" si="13"/>
        <v>15565.232268753012</v>
      </c>
      <c r="E52" s="39">
        <f t="shared" si="13"/>
        <v>16488.999707811232</v>
      </c>
      <c r="F52" s="39">
        <f t="shared" si="13"/>
        <v>16344.240160271331</v>
      </c>
      <c r="G52" s="39">
        <f t="shared" si="13"/>
        <v>14864.850789704795</v>
      </c>
      <c r="H52" s="39">
        <f t="shared" si="13"/>
        <v>22220.21098962742</v>
      </c>
      <c r="I52" s="39">
        <f t="shared" si="13"/>
        <v>21312.923769695706</v>
      </c>
      <c r="J52" s="39">
        <f t="shared" si="13"/>
        <v>18317.264936044165</v>
      </c>
      <c r="K52" s="39">
        <f t="shared" si="13"/>
        <v>18994.308497722996</v>
      </c>
      <c r="L52" s="39">
        <f t="shared" si="13"/>
        <v>20337.006837154331</v>
      </c>
      <c r="M52" s="39">
        <f t="shared" si="13"/>
        <v>25382.658519327226</v>
      </c>
      <c r="N52" s="39">
        <f t="shared" si="14"/>
        <v>27654.734728644002</v>
      </c>
      <c r="O52" s="39">
        <f t="shared" si="14"/>
        <v>27264.566361371973</v>
      </c>
      <c r="P52" s="39">
        <f t="shared" si="14"/>
        <v>27345.314529787247</v>
      </c>
      <c r="Q52" s="39">
        <f t="shared" si="14"/>
        <v>29170.41298144016</v>
      </c>
      <c r="R52" s="39">
        <f t="shared" si="14"/>
        <v>22297.501596380967</v>
      </c>
      <c r="S52" s="39">
        <f t="shared" si="14"/>
        <v>22428.715681028094</v>
      </c>
      <c r="T52" s="39">
        <f t="shared" si="14"/>
        <v>23110.19338613714</v>
      </c>
      <c r="U52" s="39">
        <f t="shared" si="14"/>
        <v>24295.082099152423</v>
      </c>
      <c r="V52" s="39">
        <f t="shared" si="14"/>
        <v>22140.992131862968</v>
      </c>
      <c r="W52" s="39">
        <f t="shared" si="14"/>
        <v>23053.639885509565</v>
      </c>
      <c r="X52" s="39">
        <f t="shared" si="15"/>
        <v>22617.349315985724</v>
      </c>
      <c r="Y52" s="39">
        <f t="shared" si="15"/>
        <v>27094.597568789064</v>
      </c>
      <c r="Z52" s="39">
        <f t="shared" si="15"/>
        <v>24156.723000831811</v>
      </c>
      <c r="AA52" s="39">
        <f t="shared" si="15"/>
        <v>25476.243986723908</v>
      </c>
      <c r="AB52" s="39">
        <f t="shared" si="15"/>
        <v>30006.171755454074</v>
      </c>
      <c r="AC52" s="39">
        <f t="shared" si="15"/>
        <v>27854.599442678045</v>
      </c>
      <c r="AD52" s="39">
        <f t="shared" si="15"/>
        <v>29657.434093394</v>
      </c>
    </row>
    <row r="53" spans="2:30" x14ac:dyDescent="0.2">
      <c r="B53" s="72" t="str">
        <f>+B20</f>
        <v>* Información con corte a 30 de abril</v>
      </c>
    </row>
    <row r="54" spans="2:30" x14ac:dyDescent="0.2">
      <c r="B54" s="1" t="s">
        <v>52</v>
      </c>
    </row>
    <row r="55" spans="2:30" x14ac:dyDescent="0.2">
      <c r="B55" s="7"/>
      <c r="AB55" s="8"/>
    </row>
  </sheetData>
  <mergeCells count="124">
    <mergeCell ref="U6:U7"/>
    <mergeCell ref="W6:W7"/>
    <mergeCell ref="P25:P26"/>
    <mergeCell ref="AA44:AA45"/>
    <mergeCell ref="L11:L12"/>
    <mergeCell ref="N11:N12"/>
    <mergeCell ref="Z44:Z45"/>
    <mergeCell ref="V25:V26"/>
    <mergeCell ref="E6:E7"/>
    <mergeCell ref="C11:C12"/>
    <mergeCell ref="E11:E12"/>
    <mergeCell ref="Y6:Y7"/>
    <mergeCell ref="AC44:AC45"/>
    <mergeCell ref="Y25:Y26"/>
    <mergeCell ref="AA25:AA26"/>
    <mergeCell ref="AC25:AC26"/>
    <mergeCell ref="AC6:AC7"/>
    <mergeCell ref="H25:H26"/>
    <mergeCell ref="M44:M45"/>
    <mergeCell ref="AA11:AA12"/>
    <mergeCell ref="A5:C6"/>
    <mergeCell ref="K25:K26"/>
    <mergeCell ref="X11:X12"/>
    <mergeCell ref="O6:O7"/>
    <mergeCell ref="Z11:Z12"/>
    <mergeCell ref="D44:D45"/>
    <mergeCell ref="B25:B26"/>
    <mergeCell ref="K6:K7"/>
    <mergeCell ref="C10:AD10"/>
    <mergeCell ref="R11:R12"/>
    <mergeCell ref="D6:D7"/>
    <mergeCell ref="F6:F7"/>
    <mergeCell ref="D2:AD2"/>
    <mergeCell ref="AB25:AB26"/>
    <mergeCell ref="Y11:Y12"/>
    <mergeCell ref="C44:C45"/>
    <mergeCell ref="E44:E45"/>
    <mergeCell ref="K11:K12"/>
    <mergeCell ref="O44:O45"/>
    <mergeCell ref="Q44:Q45"/>
    <mergeCell ref="M25:M26"/>
    <mergeCell ref="O25:O26"/>
    <mergeCell ref="G6:G7"/>
    <mergeCell ref="Q6:Q7"/>
    <mergeCell ref="AB11:AB12"/>
    <mergeCell ref="S6:S7"/>
    <mergeCell ref="AD11:AD12"/>
    <mergeCell ref="L25:L26"/>
    <mergeCell ref="D9:AD9"/>
    <mergeCell ref="O11:O12"/>
    <mergeCell ref="T6:T7"/>
    <mergeCell ref="D23:AD23"/>
    <mergeCell ref="R44:R45"/>
    <mergeCell ref="N25:N26"/>
    <mergeCell ref="P6:P7"/>
    <mergeCell ref="Z25:Z26"/>
    <mergeCell ref="D4:AD4"/>
    <mergeCell ref="L44:L45"/>
    <mergeCell ref="N44:N45"/>
    <mergeCell ref="J25:J26"/>
    <mergeCell ref="X44:X45"/>
    <mergeCell ref="D25:D26"/>
    <mergeCell ref="L6:L7"/>
    <mergeCell ref="N6:N7"/>
    <mergeCell ref="G25:G26"/>
    <mergeCell ref="F11:F12"/>
    <mergeCell ref="Z6:Z7"/>
    <mergeCell ref="AB6:AB7"/>
    <mergeCell ref="G11:G12"/>
    <mergeCell ref="B24:AD24"/>
    <mergeCell ref="A7:C7"/>
    <mergeCell ref="I11:I12"/>
    <mergeCell ref="S11:S12"/>
    <mergeCell ref="U11:U12"/>
    <mergeCell ref="M11:M12"/>
    <mergeCell ref="X25:X26"/>
    <mergeCell ref="AD44:AD45"/>
    <mergeCell ref="U25:U26"/>
    <mergeCell ref="M6:M7"/>
    <mergeCell ref="B43:AD43"/>
    <mergeCell ref="W25:W26"/>
    <mergeCell ref="B11:B12"/>
    <mergeCell ref="AA6:AA7"/>
    <mergeCell ref="D11:D12"/>
    <mergeCell ref="P11:P12"/>
    <mergeCell ref="V11:V12"/>
    <mergeCell ref="B44:B45"/>
    <mergeCell ref="H44:H45"/>
    <mergeCell ref="J44:J45"/>
    <mergeCell ref="F25:F26"/>
    <mergeCell ref="H6:H7"/>
    <mergeCell ref="J6:J7"/>
    <mergeCell ref="V6:V7"/>
    <mergeCell ref="X6:X7"/>
    <mergeCell ref="K44:K45"/>
    <mergeCell ref="I25:I26"/>
    <mergeCell ref="C25:C26"/>
    <mergeCell ref="Y44:Y45"/>
    <mergeCell ref="F44:F45"/>
    <mergeCell ref="P44:P45"/>
    <mergeCell ref="R6:R7"/>
    <mergeCell ref="H11:H12"/>
    <mergeCell ref="T44:T45"/>
    <mergeCell ref="J11:J12"/>
    <mergeCell ref="AD6:AD7"/>
    <mergeCell ref="V44:V45"/>
    <mergeCell ref="R25:R26"/>
    <mergeCell ref="T25:T26"/>
    <mergeCell ref="AD25:AD26"/>
    <mergeCell ref="W11:W12"/>
    <mergeCell ref="T11:T12"/>
    <mergeCell ref="D42:AD42"/>
    <mergeCell ref="Q11:Q12"/>
    <mergeCell ref="AC11:AC12"/>
    <mergeCell ref="G44:G45"/>
    <mergeCell ref="I44:I45"/>
    <mergeCell ref="E25:E26"/>
    <mergeCell ref="S44:S45"/>
    <mergeCell ref="U44:U45"/>
    <mergeCell ref="Q25:Q26"/>
    <mergeCell ref="W44:W45"/>
    <mergeCell ref="I6:I7"/>
    <mergeCell ref="S25:S26"/>
    <mergeCell ref="AB44:AB4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D181"/>
  <sheetViews>
    <sheetView showGridLines="0" zoomScaleNormal="100" workbookViewId="0">
      <pane xSplit="3" ySplit="7" topLeftCell="D11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s="98" customFormat="1" ht="16.5" customHeight="1" x14ac:dyDescent="0.25"/>
    <row r="2" spans="1:30" s="98" customFormat="1" ht="16.5" customHeight="1" x14ac:dyDescent="0.25">
      <c r="A2" s="120"/>
      <c r="D2" s="163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30" s="98" customFormat="1" ht="16.5" customHeight="1" x14ac:dyDescent="0.25">
      <c r="A3" s="120"/>
    </row>
    <row r="4" spans="1:30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33"/>
      <c r="X4" s="133"/>
      <c r="Y4" s="133"/>
      <c r="Z4" s="133"/>
      <c r="AA4" s="133"/>
      <c r="AB4" s="133"/>
      <c r="AC4" s="133"/>
      <c r="AD4" s="133"/>
    </row>
    <row r="5" spans="1:30" s="98" customFormat="1" ht="16.5" customHeight="1" x14ac:dyDescent="0.25">
      <c r="A5" s="165" t="s">
        <v>13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33"/>
      <c r="X5" s="133"/>
      <c r="Y5" s="133"/>
      <c r="Z5" s="133"/>
      <c r="AA5" s="133"/>
      <c r="AB5" s="133"/>
      <c r="AC5" s="133"/>
      <c r="AD5" s="133"/>
    </row>
    <row r="6" spans="1:30" s="98" customFormat="1" ht="16.5" customHeight="1" x14ac:dyDescent="0.25">
      <c r="A6" s="152"/>
      <c r="B6" s="152"/>
      <c r="C6" s="152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  <c r="W6" s="151"/>
      <c r="X6" s="151"/>
      <c r="Y6" s="151"/>
      <c r="Z6" s="151"/>
      <c r="AA6" s="151"/>
      <c r="AB6" s="151"/>
      <c r="AC6" s="151"/>
      <c r="AD6" s="151"/>
    </row>
    <row r="7" spans="1:30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</row>
    <row r="8" spans="1:30" s="98" customFormat="1" ht="1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ht="18" customHeight="1" x14ac:dyDescent="0.2">
      <c r="C9" s="131"/>
      <c r="D9" s="155" t="s">
        <v>55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</row>
    <row r="10" spans="1:30" ht="18" customHeight="1" x14ac:dyDescent="0.2">
      <c r="B10" s="144"/>
      <c r="C10" s="161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30" ht="15" customHeight="1" x14ac:dyDescent="0.2">
      <c r="C11" s="140" t="s">
        <v>38</v>
      </c>
      <c r="D11" s="153">
        <v>2000</v>
      </c>
      <c r="E11" s="153">
        <v>2001</v>
      </c>
      <c r="F11" s="153">
        <v>2002</v>
      </c>
      <c r="G11" s="153">
        <v>2003</v>
      </c>
      <c r="H11" s="153">
        <v>2004</v>
      </c>
      <c r="I11" s="153">
        <v>2005</v>
      </c>
      <c r="J11" s="153">
        <v>2006</v>
      </c>
      <c r="K11" s="153">
        <v>2007</v>
      </c>
      <c r="L11" s="153">
        <v>2008</v>
      </c>
      <c r="M11" s="153">
        <v>2009</v>
      </c>
      <c r="N11" s="153">
        <v>2010</v>
      </c>
      <c r="O11" s="153">
        <v>2011</v>
      </c>
      <c r="P11" s="153">
        <v>2012</v>
      </c>
      <c r="Q11" s="153">
        <v>2013</v>
      </c>
      <c r="R11" s="153">
        <v>2014</v>
      </c>
      <c r="S11" s="153">
        <v>2015</v>
      </c>
      <c r="T11" s="153">
        <v>2016</v>
      </c>
      <c r="U11" s="153">
        <v>2017</v>
      </c>
      <c r="V11" s="153">
        <v>2018</v>
      </c>
      <c r="W11" s="49"/>
      <c r="X11" s="49"/>
      <c r="Y11" s="49"/>
      <c r="Z11" s="49"/>
      <c r="AA11" s="49"/>
      <c r="AB11" s="49"/>
      <c r="AC11" s="49"/>
      <c r="AD11" s="49"/>
    </row>
    <row r="12" spans="1:30" ht="12" customHeight="1" thickBot="1" x14ac:dyDescent="0.25">
      <c r="B12" s="126"/>
      <c r="C12" s="127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1:30" x14ac:dyDescent="0.2">
      <c r="B13" s="34" t="s">
        <v>39</v>
      </c>
      <c r="C13" s="76" t="s">
        <v>40</v>
      </c>
      <c r="D13" s="35">
        <f t="shared" ref="D13:V13" si="0">+D14+D15+D16+D17</f>
        <v>98404.748735855159</v>
      </c>
      <c r="E13" s="35">
        <f t="shared" si="0"/>
        <v>103368.61778232071</v>
      </c>
      <c r="F13" s="35">
        <f t="shared" si="0"/>
        <v>107212.49859806069</v>
      </c>
      <c r="G13" s="35">
        <f t="shared" si="0"/>
        <v>107597.37483343537</v>
      </c>
      <c r="H13" s="35">
        <f t="shared" si="0"/>
        <v>125598.12503825531</v>
      </c>
      <c r="I13" s="35">
        <f t="shared" si="0"/>
        <v>135358.48450533065</v>
      </c>
      <c r="J13" s="35">
        <f t="shared" si="0"/>
        <v>136630.19152592288</v>
      </c>
      <c r="K13" s="35">
        <f t="shared" si="0"/>
        <v>141337.89420302492</v>
      </c>
      <c r="L13" s="35">
        <f t="shared" si="0"/>
        <v>148459.70351556438</v>
      </c>
      <c r="M13" s="35">
        <f t="shared" si="0"/>
        <v>167054.52470327442</v>
      </c>
      <c r="N13" s="35">
        <f t="shared" si="0"/>
        <v>184648.46191057842</v>
      </c>
      <c r="O13" s="35">
        <f t="shared" si="0"/>
        <v>176070.76124809796</v>
      </c>
      <c r="P13" s="35">
        <f t="shared" si="0"/>
        <v>188108.97310998177</v>
      </c>
      <c r="Q13" s="35">
        <f t="shared" si="0"/>
        <v>204062.28196857715</v>
      </c>
      <c r="R13" s="35">
        <f t="shared" si="0"/>
        <v>217857.16653225778</v>
      </c>
      <c r="S13" s="35">
        <f t="shared" si="0"/>
        <v>209541.38850212767</v>
      </c>
      <c r="T13" s="35">
        <f t="shared" si="0"/>
        <v>212074.56150957796</v>
      </c>
      <c r="U13" s="35">
        <f t="shared" si="0"/>
        <v>230853.66163600504</v>
      </c>
      <c r="V13" s="35">
        <f t="shared" si="0"/>
        <v>236332.66734794056</v>
      </c>
    </row>
    <row r="14" spans="1:30" x14ac:dyDescent="0.2">
      <c r="B14" s="40"/>
      <c r="C14" s="77" t="s">
        <v>56</v>
      </c>
      <c r="D14" s="33">
        <f>6350.82082902892*Deflactores!$A$5</f>
        <v>23648.633918408257</v>
      </c>
      <c r="E14" s="33">
        <f>6865.33672753427*Deflactores!$B$5</f>
        <v>23748.208279092061</v>
      </c>
      <c r="F14" s="33">
        <f>7377.30776703215*Deflactores!$C$5</f>
        <v>23851.530376326918</v>
      </c>
      <c r="G14" s="33">
        <f>7984.19858228026*Deflactores!$D$5</f>
        <v>24240.149687718946</v>
      </c>
      <c r="H14" s="33">
        <f>8757.65407471757*Deflactores!$E$5</f>
        <v>25202.96955024709</v>
      </c>
      <c r="I14" s="33">
        <f>9312.44009046649*Deflactores!$F$5</f>
        <v>25558.631131116144</v>
      </c>
      <c r="J14" s="33">
        <f>10394.9254232771*Deflactores!$G$5</f>
        <v>27306.801951202593</v>
      </c>
      <c r="K14" s="33">
        <f>11444.0998626958*Deflactores!$H$5</f>
        <v>28443.22731733018</v>
      </c>
      <c r="L14" s="33">
        <f>12826.5617732095*Deflactores!$I$5</f>
        <v>29607.050565769208</v>
      </c>
      <c r="M14" s="33">
        <f>14437.7509237135*Deflactores!$J$5</f>
        <v>32672.063447155735</v>
      </c>
      <c r="N14" s="33">
        <f>15821.8078504302*Deflactores!$K$5</f>
        <v>34703.601602676492</v>
      </c>
      <c r="O14" s="33">
        <f>16210.7391587004*Deflactores!$L$5</f>
        <v>34279.206607307977</v>
      </c>
      <c r="P14" s="33">
        <f>18512.8092471676*Deflactores!$M$5</f>
        <v>38214.721625214261</v>
      </c>
      <c r="Q14" s="33">
        <f>20879.2946499316*Deflactores!$N$5</f>
        <v>42279.473253022232</v>
      </c>
      <c r="R14" s="33">
        <f>23398.3097202748*Deflactores!$O$5</f>
        <v>45707.453454280127</v>
      </c>
      <c r="S14" s="33">
        <f>24611.1027690406*Deflactores!$P$5</f>
        <v>45028.177716935235</v>
      </c>
      <c r="T14" s="33">
        <f>26048.172816223*Deflactores!$Q$5</f>
        <v>45066.121793647559</v>
      </c>
      <c r="U14" s="33">
        <f>28040.9315457181*Deflactores!$R$5</f>
        <v>46607.558160609427</v>
      </c>
      <c r="V14" s="33">
        <f>31596.6920411505*Deflactores!$S$5</f>
        <v>50899.088700131761</v>
      </c>
    </row>
    <row r="15" spans="1:30" x14ac:dyDescent="0.2">
      <c r="B15" s="40"/>
      <c r="C15" s="77" t="s">
        <v>57</v>
      </c>
      <c r="D15" s="33">
        <f>1714.16456367333*Deflactores!$A$5</f>
        <v>6383.056825808304</v>
      </c>
      <c r="E15" s="33">
        <f>1912.43428699245*Deflactores!$B$5</f>
        <v>6615.3911410380879</v>
      </c>
      <c r="F15" s="33">
        <f>2299.48400530397*Deflactores!$C$5</f>
        <v>7434.448220729425</v>
      </c>
      <c r="G15" s="33">
        <f>2474.23329626649*Deflactores!$D$5</f>
        <v>7511.810339605694</v>
      </c>
      <c r="H15" s="33">
        <f>2898.51753963936*Deflactores!$E$5</f>
        <v>8341.4175382057183</v>
      </c>
      <c r="I15" s="33">
        <f>3147.72067606199*Deflactores!$F$5</f>
        <v>8639.1354877672948</v>
      </c>
      <c r="J15" s="33">
        <f>3489.93259680068*Deflactores!$G$5</f>
        <v>9167.8289514691332</v>
      </c>
      <c r="K15" s="33">
        <f>3839.44810975289*Deflactores!$H$5</f>
        <v>9542.5849712106774</v>
      </c>
      <c r="L15" s="33">
        <f>4114.81138446093*Deflactores!$I$5</f>
        <v>9498.0580830940435</v>
      </c>
      <c r="M15" s="33">
        <f>4809.08272481174*Deflactores!$J$5</f>
        <v>10882.765379308581</v>
      </c>
      <c r="N15" s="33">
        <f>5254.96021240178*Deflactores!$K$5</f>
        <v>11526.245759845266</v>
      </c>
      <c r="O15" s="33">
        <f>5725.77122898844*Deflactores!$L$5</f>
        <v>12107.707922703361</v>
      </c>
      <c r="P15" s="33">
        <f>6590.908372509*Deflactores!$M$5</f>
        <v>13605.159830146291</v>
      </c>
      <c r="Q15" s="33">
        <f>7517.06210851268*Deflactores!$N$5</f>
        <v>15221.65531387862</v>
      </c>
      <c r="R15" s="33">
        <f>7910.72822031681*Deflactores!$O$5</f>
        <v>15453.220606199597</v>
      </c>
      <c r="S15" s="33">
        <f>7738.58757009967*Deflactores!$P$5</f>
        <v>14158.426774067611</v>
      </c>
      <c r="T15" s="33">
        <f>7952.55278064811*Deflactores!$Q$5</f>
        <v>13758.76591082388</v>
      </c>
      <c r="U15" s="33">
        <f>7995.3687425446*Deflactores!$R$5</f>
        <v>13289.30934680626</v>
      </c>
      <c r="V15" s="33">
        <f>8648.03723906201*Deflactores!$S$5</f>
        <v>13931.117027687184</v>
      </c>
    </row>
    <row r="16" spans="1:30" x14ac:dyDescent="0.2">
      <c r="B16" s="40"/>
      <c r="C16" s="77" t="s">
        <v>58</v>
      </c>
      <c r="D16" s="33">
        <f>17971.3334324807*Deflactores!$A$5</f>
        <v>66920.087467712758</v>
      </c>
      <c r="E16" s="33">
        <f>20683.275105762*Deflactores!$B$5</f>
        <v>71546.487025962706</v>
      </c>
      <c r="F16" s="33">
        <f>22950.4890051025*Deflactores!$C$5</f>
        <v>74201.091094912656</v>
      </c>
      <c r="G16" s="33">
        <f>24374.091501765*Deflactores!$D$5</f>
        <v>74000.116657444465</v>
      </c>
      <c r="H16" s="33">
        <f>31397.6635369893*Deflactores!$E$5</f>
        <v>90356.886823845474</v>
      </c>
      <c r="I16" s="33">
        <f>36050.4257702134*Deflactores!$F$5</f>
        <v>98942.868402862587</v>
      </c>
      <c r="J16" s="33">
        <f>37181.9743832462*Deflactores!$G$5</f>
        <v>97674.660403470451</v>
      </c>
      <c r="K16" s="33">
        <f>40731.3006449932*Deflactores!$H$5</f>
        <v>101233.79357711694</v>
      </c>
      <c r="L16" s="33">
        <f>46457.4168132035*Deflactores!$I$5</f>
        <v>107235.83709053148</v>
      </c>
      <c r="M16" s="33">
        <f>53429.7211472849*Deflactores!$J$5</f>
        <v>120909.36105711221</v>
      </c>
      <c r="N16" s="33">
        <f>61693.5585504471*Deflactores!$K$5</f>
        <v>135318.83951731207</v>
      </c>
      <c r="O16" s="33">
        <f>59782.1181228111*Deflactores!$L$5</f>
        <v>126415.18431036314</v>
      </c>
      <c r="P16" s="33">
        <f>64413.4048268942*Deflactores!$M$5</f>
        <v>132964.17099790525</v>
      </c>
      <c r="Q16" s="33">
        <f>70782.9764602634*Deflactores!$N$5</f>
        <v>143331.80359762834</v>
      </c>
      <c r="R16" s="33">
        <f>78646.0474393343*Deflactores!$O$5</f>
        <v>153631.20651324815</v>
      </c>
      <c r="S16" s="33">
        <f>80437.0279452304*Deflactores!$P$5</f>
        <v>147166.61920148131</v>
      </c>
      <c r="T16" s="33">
        <f>86850.1209874696*Deflactores!$Q$5</f>
        <v>150259.98782443057</v>
      </c>
      <c r="U16" s="33">
        <f>101265.163524896*Deflactores!$R$5</f>
        <v>168315.44953972558</v>
      </c>
      <c r="V16" s="33">
        <f>104873.640910614*Deflactores!$S$5</f>
        <v>168940.87343267162</v>
      </c>
    </row>
    <row r="17" spans="2:22" x14ac:dyDescent="0.2">
      <c r="B17" s="40"/>
      <c r="C17" s="77" t="s">
        <v>59</v>
      </c>
      <c r="D17" s="33">
        <f>390.19401708995*Deflactores!$A$5</f>
        <v>1452.9705239258519</v>
      </c>
      <c r="E17" s="33">
        <f>421.644809292009*Deflactores!$B$5</f>
        <v>1458.531336227848</v>
      </c>
      <c r="F17" s="33">
        <f>533.67728902653*Deflactores!$C$5</f>
        <v>1725.4289060916997</v>
      </c>
      <c r="G17" s="33">
        <f>607.80263539091*Deflactores!$D$5</f>
        <v>1845.2981486662825</v>
      </c>
      <c r="H17" s="33">
        <f>589.63032700569*Deflactores!$E$5</f>
        <v>1696.8511259570253</v>
      </c>
      <c r="I17" s="33">
        <f>808.08672184361*Deflactores!$F$5</f>
        <v>2217.8494835846054</v>
      </c>
      <c r="J17" s="33">
        <f>944.40838635359*Deflactores!$G$5</f>
        <v>2480.9002197807154</v>
      </c>
      <c r="K17" s="33">
        <f>852.29088107181*Deflactores!$H$5</f>
        <v>2118.2883373671148</v>
      </c>
      <c r="L17" s="33">
        <f>917.90222190956*Deflactores!$I$5</f>
        <v>2118.7577761696693</v>
      </c>
      <c r="M17" s="33">
        <f>1144.66626805832*Deflactores!$J$5</f>
        <v>2590.3348196978864</v>
      </c>
      <c r="N17" s="33">
        <f>1413.22636991718*Deflactores!$K$5</f>
        <v>3099.7750307446067</v>
      </c>
      <c r="O17" s="33">
        <f>1545.76021249449*Deflactores!$L$5</f>
        <v>3268.6624077234769</v>
      </c>
      <c r="P17" s="33">
        <f>1610.730610141*Deflactores!$M$5</f>
        <v>3324.9206567159622</v>
      </c>
      <c r="Q17" s="33">
        <f>1594.78207504859*Deflactores!$N$5</f>
        <v>3229.3498040479567</v>
      </c>
      <c r="R17" s="33">
        <f>1569.16443202493*Deflactores!$O$5</f>
        <v>3065.2859585298734</v>
      </c>
      <c r="S17" s="33">
        <f>1742.55889874187*Deflactores!$P$5</f>
        <v>3188.1648096435383</v>
      </c>
      <c r="T17" s="33">
        <f>1728.03547302052*Deflactores!$Q$5</f>
        <v>2989.6859806759439</v>
      </c>
      <c r="U17" s="33">
        <f>1589.13630595604*Deflactores!$R$5</f>
        <v>2641.3445888637789</v>
      </c>
      <c r="V17" s="33">
        <f>1590.16035772162*Deflactores!$S$5</f>
        <v>2561.5881874499819</v>
      </c>
    </row>
    <row r="18" spans="2:22" x14ac:dyDescent="0.2">
      <c r="B18" s="34" t="s">
        <v>41</v>
      </c>
      <c r="C18" s="76" t="s">
        <v>42</v>
      </c>
      <c r="D18" s="35">
        <f t="shared" ref="D18:V18" si="1">+D19+D22</f>
        <v>61616.510941313376</v>
      </c>
      <c r="E18" s="35">
        <f t="shared" si="1"/>
        <v>74036.286212066363</v>
      </c>
      <c r="F18" s="35">
        <f t="shared" si="1"/>
        <v>74246.091237124361</v>
      </c>
      <c r="G18" s="35">
        <f t="shared" si="1"/>
        <v>83007.448450033597</v>
      </c>
      <c r="H18" s="35">
        <f t="shared" si="1"/>
        <v>77379.155410013569</v>
      </c>
      <c r="I18" s="35">
        <f t="shared" si="1"/>
        <v>86613.216808790807</v>
      </c>
      <c r="J18" s="35">
        <f t="shared" si="1"/>
        <v>102266.50392108041</v>
      </c>
      <c r="K18" s="35">
        <f t="shared" si="1"/>
        <v>97725.625397108277</v>
      </c>
      <c r="L18" s="35">
        <f t="shared" si="1"/>
        <v>89755.202456725834</v>
      </c>
      <c r="M18" s="35">
        <f t="shared" si="1"/>
        <v>83807.191000314633</v>
      </c>
      <c r="N18" s="35">
        <f t="shared" si="1"/>
        <v>87497.308442972833</v>
      </c>
      <c r="O18" s="35">
        <f t="shared" si="1"/>
        <v>74405.735441850033</v>
      </c>
      <c r="P18" s="35">
        <f t="shared" si="1"/>
        <v>75160.794289475423</v>
      </c>
      <c r="Q18" s="35">
        <f t="shared" si="1"/>
        <v>90192.811820408868</v>
      </c>
      <c r="R18" s="35">
        <f t="shared" si="1"/>
        <v>79998.195895861849</v>
      </c>
      <c r="S18" s="35">
        <f t="shared" si="1"/>
        <v>85948.555474776949</v>
      </c>
      <c r="T18" s="35">
        <f t="shared" si="1"/>
        <v>80806.722861677437</v>
      </c>
      <c r="U18" s="35">
        <f t="shared" si="1"/>
        <v>83117.870541557277</v>
      </c>
      <c r="V18" s="35">
        <f t="shared" si="1"/>
        <v>77210.383871732774</v>
      </c>
    </row>
    <row r="19" spans="2:22" x14ac:dyDescent="0.2">
      <c r="B19" s="34"/>
      <c r="C19" s="76" t="s">
        <v>43</v>
      </c>
      <c r="D19" s="35">
        <f t="shared" ref="D19:V19" si="2">+D20+D21</f>
        <v>19084.580612248908</v>
      </c>
      <c r="E19" s="35">
        <f t="shared" si="2"/>
        <v>27446.532671212648</v>
      </c>
      <c r="F19" s="35">
        <f t="shared" si="2"/>
        <v>31023.710496316176</v>
      </c>
      <c r="G19" s="35">
        <f t="shared" si="2"/>
        <v>40528.953705158885</v>
      </c>
      <c r="H19" s="35">
        <f t="shared" si="2"/>
        <v>27070.468976348937</v>
      </c>
      <c r="I19" s="35">
        <f t="shared" si="2"/>
        <v>35959.938634818209</v>
      </c>
      <c r="J19" s="35">
        <f t="shared" si="2"/>
        <v>27896.230723623208</v>
      </c>
      <c r="K19" s="35">
        <f t="shared" si="2"/>
        <v>19177.796782665886</v>
      </c>
      <c r="L19" s="35">
        <f t="shared" si="2"/>
        <v>18910.461334534964</v>
      </c>
      <c r="M19" s="35">
        <f t="shared" si="2"/>
        <v>18713.643608694711</v>
      </c>
      <c r="N19" s="35">
        <f t="shared" si="2"/>
        <v>18910.943601903033</v>
      </c>
      <c r="O19" s="35">
        <f t="shared" si="2"/>
        <v>14867.436049524465</v>
      </c>
      <c r="P19" s="35">
        <f t="shared" si="2"/>
        <v>13544.742155127038</v>
      </c>
      <c r="Q19" s="35">
        <f t="shared" si="2"/>
        <v>14295.796246074384</v>
      </c>
      <c r="R19" s="35">
        <f t="shared" si="2"/>
        <v>17605.378130938221</v>
      </c>
      <c r="S19" s="35">
        <f t="shared" si="2"/>
        <v>20377.962295144673</v>
      </c>
      <c r="T19" s="35">
        <f t="shared" si="2"/>
        <v>16743.378588063682</v>
      </c>
      <c r="U19" s="35">
        <f t="shared" si="2"/>
        <v>23944.8276091273</v>
      </c>
      <c r="V19" s="35">
        <f t="shared" si="2"/>
        <v>18000.987747909378</v>
      </c>
    </row>
    <row r="20" spans="2:22" x14ac:dyDescent="0.2">
      <c r="B20" s="32"/>
      <c r="C20" s="77" t="s">
        <v>60</v>
      </c>
      <c r="D20" s="33">
        <f>2597.811754969*Deflactores!$A$5</f>
        <v>9673.5053367256332</v>
      </c>
      <c r="E20" s="33">
        <f>4468.950432136*Deflactores!$B$5</f>
        <v>15458.756046977074</v>
      </c>
      <c r="F20" s="33">
        <f>5714.492299244*Deflactores!$C$5</f>
        <v>18475.491461777121</v>
      </c>
      <c r="G20" s="33">
        <f>7912.438625826*Deflactores!$D$5</f>
        <v>24022.285356301145</v>
      </c>
      <c r="H20" s="33">
        <f>4471.902937483*Deflactores!$E$5</f>
        <v>12869.340648018144</v>
      </c>
      <c r="I20" s="33">
        <f>8569.800247307*Deflactores!$F$5</f>
        <v>23520.405099035161</v>
      </c>
      <c r="J20" s="33">
        <f>5421.29476510999*Deflactores!$G$5</f>
        <v>14241.393414757122</v>
      </c>
      <c r="K20" s="33">
        <f>3721.7109980418*Deflactores!$H$5</f>
        <v>9249.9605208595804</v>
      </c>
      <c r="L20" s="33">
        <f>4133.19942000899*Deflactores!$I$5</f>
        <v>9540.5024659226274</v>
      </c>
      <c r="M20" s="33">
        <f>3405.221544954*Deflactores!$J$5</f>
        <v>7705.8826514055809</v>
      </c>
      <c r="N20" s="33">
        <f>3880.239324386*Deflactores!$K$5</f>
        <v>8510.9287705620172</v>
      </c>
      <c r="O20" s="33">
        <f>3024.23696236699*Deflactores!$L$5</f>
        <v>6395.0472984321668</v>
      </c>
      <c r="P20" s="33">
        <f>3394.20485377999*Deflactores!$M$5</f>
        <v>7006.4241409497799</v>
      </c>
      <c r="Q20" s="33">
        <f>2963.426497922*Deflactores!$N$5</f>
        <v>6000.7827590383185</v>
      </c>
      <c r="R20" s="33">
        <f>4984.381737812*Deflactores!$O$5</f>
        <v>9736.7459018629579</v>
      </c>
      <c r="S20" s="33">
        <f>6079.614994828*Deflactores!$P$5</f>
        <v>11123.190496852778</v>
      </c>
      <c r="T20" s="33">
        <f>3557.16656030847*Deflactores!$Q$5</f>
        <v>6154.2781744488047</v>
      </c>
      <c r="U20" s="33">
        <f>7884.659597283*Deflactores!$R$5</f>
        <v>13105.296810764843</v>
      </c>
      <c r="V20" s="33">
        <f>3074.634157762*Deflactores!$S$5</f>
        <v>4952.9259744206001</v>
      </c>
    </row>
    <row r="21" spans="2:22" x14ac:dyDescent="0.2">
      <c r="B21" s="32"/>
      <c r="C21" s="77" t="s">
        <v>61</v>
      </c>
      <c r="D21" s="33">
        <f>2527.33638186299*Deflactores!$A$5</f>
        <v>9411.075275523277</v>
      </c>
      <c r="E21" s="33">
        <f>3465.52978534799*Deflactores!$B$5</f>
        <v>11987.776624235574</v>
      </c>
      <c r="F21" s="33">
        <f>3881.179626017*Deflactores!$C$5</f>
        <v>12548.219034539054</v>
      </c>
      <c r="G21" s="33">
        <f>5436.95149274973*Deflactores!$D$5</f>
        <v>16506.668348857744</v>
      </c>
      <c r="H21" s="33">
        <f>4934.679190174*Deflactores!$E$5</f>
        <v>14201.128328330793</v>
      </c>
      <c r="I21" s="33">
        <f>4532.418430825*Deflactores!$F$5</f>
        <v>12439.533535783046</v>
      </c>
      <c r="J21" s="33">
        <f>5198.009482996*Deflactores!$G$5</f>
        <v>13654.837308866086</v>
      </c>
      <c r="K21" s="33">
        <f>3994.45352431506*Deflactores!$H$5</f>
        <v>9927.8362618063056</v>
      </c>
      <c r="L21" s="33">
        <f>4059.315397652*Deflactores!$I$5</f>
        <v>9369.9588686123352</v>
      </c>
      <c r="M21" s="33">
        <f>4864.318140976*Deflactores!$J$5</f>
        <v>11007.760957289129</v>
      </c>
      <c r="N21" s="33">
        <f>4741.497386554*Deflactores!$K$5</f>
        <v>10400.014831341015</v>
      </c>
      <c r="O21" s="33">
        <f>4006.61793805299*Deflactores!$L$5</f>
        <v>8472.3887510922996</v>
      </c>
      <c r="P21" s="33">
        <f>3167.434670358*Deflactores!$M$5</f>
        <v>6538.3180141772591</v>
      </c>
      <c r="Q21" s="33">
        <f>4096.40937777299*Deflactores!$N$5</f>
        <v>8295.0134870360653</v>
      </c>
      <c r="R21" s="33">
        <f>4028.067198165*Deflactores!$O$5</f>
        <v>7868.6322290752632</v>
      </c>
      <c r="S21" s="33">
        <f>5058.39124256*Deflactores!$P$5</f>
        <v>9254.7717982918966</v>
      </c>
      <c r="T21" s="33">
        <f>6120.48932910528*Deflactores!$Q$5</f>
        <v>10589.100413614879</v>
      </c>
      <c r="U21" s="33">
        <f>6521.48606578299*Deflactores!$R$5</f>
        <v>10839.530798362455</v>
      </c>
      <c r="V21" s="33">
        <f>8099.861905578*Deflactores!$S$5</f>
        <v>13048.061773488776</v>
      </c>
    </row>
    <row r="22" spans="2:22" x14ac:dyDescent="0.2">
      <c r="B22" s="34"/>
      <c r="C22" s="76" t="s">
        <v>44</v>
      </c>
      <c r="D22" s="35">
        <f t="shared" ref="D22:V22" si="3">+D23+D24</f>
        <v>42531.930329064468</v>
      </c>
      <c r="E22" s="35">
        <f t="shared" si="3"/>
        <v>46589.753540853722</v>
      </c>
      <c r="F22" s="35">
        <f t="shared" si="3"/>
        <v>43222.380740808185</v>
      </c>
      <c r="G22" s="35">
        <f t="shared" si="3"/>
        <v>42478.494744874712</v>
      </c>
      <c r="H22" s="35">
        <f t="shared" si="3"/>
        <v>50308.686433664639</v>
      </c>
      <c r="I22" s="35">
        <f t="shared" si="3"/>
        <v>50653.278173972591</v>
      </c>
      <c r="J22" s="35">
        <f t="shared" si="3"/>
        <v>74370.273197457194</v>
      </c>
      <c r="K22" s="35">
        <f t="shared" si="3"/>
        <v>78547.828614442391</v>
      </c>
      <c r="L22" s="35">
        <f t="shared" si="3"/>
        <v>70844.74112219087</v>
      </c>
      <c r="M22" s="35">
        <f t="shared" si="3"/>
        <v>65093.547391619926</v>
      </c>
      <c r="N22" s="35">
        <f t="shared" si="3"/>
        <v>68586.364841069793</v>
      </c>
      <c r="O22" s="35">
        <f t="shared" si="3"/>
        <v>59538.299392325571</v>
      </c>
      <c r="P22" s="35">
        <f t="shared" si="3"/>
        <v>61616.052134348385</v>
      </c>
      <c r="Q22" s="35">
        <f t="shared" si="3"/>
        <v>75897.01557433448</v>
      </c>
      <c r="R22" s="35">
        <f t="shared" si="3"/>
        <v>62392.817764923631</v>
      </c>
      <c r="S22" s="35">
        <f t="shared" si="3"/>
        <v>65570.593179632284</v>
      </c>
      <c r="T22" s="35">
        <f t="shared" si="3"/>
        <v>64063.344273613751</v>
      </c>
      <c r="U22" s="35">
        <f t="shared" si="3"/>
        <v>59173.042932429977</v>
      </c>
      <c r="V22" s="35">
        <f t="shared" si="3"/>
        <v>59209.396123823404</v>
      </c>
    </row>
    <row r="23" spans="2:22" x14ac:dyDescent="0.2">
      <c r="B23" s="32"/>
      <c r="C23" s="77" t="s">
        <v>60</v>
      </c>
      <c r="D23" s="33">
        <f>6406.742457902*Deflactores!$A$5</f>
        <v>23856.87001338604</v>
      </c>
      <c r="E23" s="33">
        <f>8411.172914122*Deflactores!$B$5</f>
        <v>29095.482736470029</v>
      </c>
      <c r="F23" s="33">
        <f>8119.82798196799*Deflactores!$C$5</f>
        <v>26252.168118556252</v>
      </c>
      <c r="G23" s="33">
        <f>7146.908390074*Deflactores!$D$5</f>
        <v>21698.123787188022</v>
      </c>
      <c r="H23" s="33">
        <f>9691.918690262*Deflactores!$E$5</f>
        <v>27891.616813149962</v>
      </c>
      <c r="I23" s="33">
        <f>9625.750090896*Deflactores!$F$5</f>
        <v>26418.531936154934</v>
      </c>
      <c r="J23" s="33">
        <f>17122.88794468*Deflactores!$G$5</f>
        <v>44980.727701132921</v>
      </c>
      <c r="K23" s="33">
        <f>19127.6098796461*Deflactores!$H$5</f>
        <v>47539.864416721946</v>
      </c>
      <c r="L23" s="33">
        <f>18574.5947914869*Deflactores!$I$5</f>
        <v>42875.010229075495</v>
      </c>
      <c r="M23" s="33">
        <f>16048.553246971*Deflactores!$J$5</f>
        <v>36317.245857101239</v>
      </c>
      <c r="N23" s="33">
        <f>18160.8963324009*Deflactores!$K$5</f>
        <v>39834.165414290052</v>
      </c>
      <c r="O23" s="33">
        <f>14794.3622569999*Deflactores!$L$5</f>
        <v>31284.137969666499</v>
      </c>
      <c r="P23" s="33">
        <f>16672.829632408*Deflactores!$M$5</f>
        <v>34416.57798124705</v>
      </c>
      <c r="Q23" s="33">
        <f>22809.372832281*Deflactores!$N$5</f>
        <v>46187.780035174495</v>
      </c>
      <c r="R23" s="33">
        <f>17783.707620987*Deflactores!$O$5</f>
        <v>34739.602905010339</v>
      </c>
      <c r="S23" s="33">
        <f>20399.347354253*Deflactores!$P$5</f>
        <v>37322.400649688723</v>
      </c>
      <c r="T23" s="33">
        <f>19919.9671423345*Deflactores!$Q$5</f>
        <v>34463.671279192371</v>
      </c>
      <c r="U23" s="33">
        <f>17105.835220066*Deflactores!$R$5</f>
        <v>28432.051503180908</v>
      </c>
      <c r="V23" s="33">
        <f>16114.577057565*Deflactores!$S$5</f>
        <v>25958.960702274941</v>
      </c>
    </row>
    <row r="24" spans="2:22" x14ac:dyDescent="0.2">
      <c r="B24" s="32"/>
      <c r="C24" s="77" t="s">
        <v>61</v>
      </c>
      <c r="D24" s="33">
        <f>5015.171804231*Deflactores!$A$5</f>
        <v>18675.060315678427</v>
      </c>
      <c r="E24" s="33">
        <f>5057.394581658*Deflactores!$B$5</f>
        <v>17494.27080438369</v>
      </c>
      <c r="F24" s="33">
        <f>5248.90769736872*Deflactores!$C$5</f>
        <v>16970.212622251933</v>
      </c>
      <c r="G24" s="33">
        <f>6844.61979307327*Deflactores!$D$5</f>
        <v>20780.370957686686</v>
      </c>
      <c r="H24" s="33">
        <f>7789.595615466*Deflactores!$E$5</f>
        <v>22417.069620514678</v>
      </c>
      <c r="I24" s="33">
        <f>8830.074712905*Deflactores!$F$5</f>
        <v>24234.746237817661</v>
      </c>
      <c r="J24" s="33">
        <f>11187.766850334*Deflactores!$G$5</f>
        <v>29389.545496324266</v>
      </c>
      <c r="K24" s="33">
        <f>12476.018802599*Deflactores!$H$5</f>
        <v>31007.964197720441</v>
      </c>
      <c r="L24" s="33">
        <f>12117.231342705*Deflactores!$I$5</f>
        <v>27969.730893115375</v>
      </c>
      <c r="M24" s="33">
        <f>12716.217778318*Deflactores!$J$5</f>
        <v>28776.30153451869</v>
      </c>
      <c r="N24" s="33">
        <f>13108.488848393*Deflactores!$K$5</f>
        <v>28752.199426779734</v>
      </c>
      <c r="O24" s="33">
        <f>13361.4773007289*Deflactores!$L$5</f>
        <v>28254.161422659075</v>
      </c>
      <c r="P24" s="33">
        <f>13176.562727789*Deflactores!$M$5</f>
        <v>27199.474153101335</v>
      </c>
      <c r="Q24" s="33">
        <f>14671.608582588*Deflactores!$N$5</f>
        <v>29709.235539159981</v>
      </c>
      <c r="R24" s="33">
        <f>14156.082589479*Deflactores!$O$5</f>
        <v>27653.214859913289</v>
      </c>
      <c r="S24" s="33">
        <f>15439.647008691*Deflactores!$P$5</f>
        <v>28248.192529943557</v>
      </c>
      <c r="T24" s="33">
        <f>17108.5810532527*Deflactores!$Q$5</f>
        <v>29599.672994421384</v>
      </c>
      <c r="U24" s="33">
        <f>18494.983868166*Deflactores!$R$5</f>
        <v>30740.991429249068</v>
      </c>
      <c r="V24" s="33">
        <f>20640.915094539*Deflactores!$S$5</f>
        <v>33250.435421548464</v>
      </c>
    </row>
    <row r="25" spans="2:22" x14ac:dyDescent="0.2">
      <c r="B25" s="34" t="s">
        <v>45</v>
      </c>
      <c r="C25" s="76" t="s">
        <v>46</v>
      </c>
      <c r="D25" s="35">
        <f>7620.83281499099*Deflactores!$A$5</f>
        <v>28377.794028031447</v>
      </c>
      <c r="E25" s="35">
        <f>11466.4057597971*Deflactores!$B$5</f>
        <v>39663.981972526359</v>
      </c>
      <c r="F25" s="35">
        <f>10632.6605531301*Deflactores!$C$5</f>
        <v>34376.392333456832</v>
      </c>
      <c r="G25" s="35">
        <f>8962.85466567888*Deflactores!$D$5</f>
        <v>27211.364608027725</v>
      </c>
      <c r="H25" s="35">
        <f>11175.5745743095*Deflactores!$E$5</f>
        <v>32161.314354257731</v>
      </c>
      <c r="I25" s="35">
        <f>12598.4512464178*Deflactores!$F$5</f>
        <v>34577.314334637827</v>
      </c>
      <c r="J25" s="35">
        <f>14981.8119985554*Deflactores!$G$5</f>
        <v>39356.25860274124</v>
      </c>
      <c r="K25" s="35">
        <f>20992.218870549*Deflactores!$H$5</f>
        <v>52174.173626052427</v>
      </c>
      <c r="L25" s="35">
        <f>22090.1487008449*Deflactores!$I$5</f>
        <v>50989.825734696802</v>
      </c>
      <c r="M25" s="35">
        <f>31189.933565961*Deflactores!$J$5</f>
        <v>70581.594998007175</v>
      </c>
      <c r="N25" s="35">
        <f>25684.6110833104*Deflactores!$K$5</f>
        <v>56336.704299607409</v>
      </c>
      <c r="O25" s="35">
        <f>32860.724673777*Deflactores!$L$5</f>
        <v>69487.242952379369</v>
      </c>
      <c r="P25" s="35">
        <f>38080.336370913*Deflactores!$M$5</f>
        <v>78606.624979491302</v>
      </c>
      <c r="Q25" s="35">
        <f>43645.577196724*Deflactores!$N$5</f>
        <v>88379.997726966059</v>
      </c>
      <c r="R25" s="35">
        <f>44484.787084584*Deflactores!$O$5</f>
        <v>86898.855489989859</v>
      </c>
      <c r="S25" s="35">
        <f>46088.6791772363*Deflactores!$P$5</f>
        <v>84323.293279730933</v>
      </c>
      <c r="T25" s="35">
        <f>41141.0519178311*Deflactores!$Q$5</f>
        <v>71178.415066911199</v>
      </c>
      <c r="U25" s="35">
        <f>40418.5175390969*Deflactores!$R$5</f>
        <v>67180.664233557953</v>
      </c>
      <c r="V25" s="35">
        <f>38621.7015154969*Deflactores!$S$5</f>
        <v>62215.67145785653</v>
      </c>
    </row>
    <row r="26" spans="2:22" ht="14.25" customHeight="1" x14ac:dyDescent="0.2">
      <c r="B26" s="36" t="s">
        <v>47</v>
      </c>
      <c r="C26" s="78" t="s">
        <v>48</v>
      </c>
      <c r="D26" s="37">
        <f t="shared" ref="D26:V26" si="4">+D13+D25</f>
        <v>126782.54276388661</v>
      </c>
      <c r="E26" s="37">
        <f t="shared" si="4"/>
        <v>143032.59975484706</v>
      </c>
      <c r="F26" s="37">
        <f t="shared" si="4"/>
        <v>141588.89093151753</v>
      </c>
      <c r="G26" s="37">
        <f t="shared" si="4"/>
        <v>134808.73944146308</v>
      </c>
      <c r="H26" s="37">
        <f t="shared" si="4"/>
        <v>157759.43939251304</v>
      </c>
      <c r="I26" s="37">
        <f t="shared" si="4"/>
        <v>169935.79883996848</v>
      </c>
      <c r="J26" s="37">
        <f t="shared" si="4"/>
        <v>175986.45012866412</v>
      </c>
      <c r="K26" s="37">
        <f t="shared" si="4"/>
        <v>193512.06782907734</v>
      </c>
      <c r="L26" s="37">
        <f t="shared" si="4"/>
        <v>199449.5292502612</v>
      </c>
      <c r="M26" s="37">
        <f t="shared" si="4"/>
        <v>237636.1197012816</v>
      </c>
      <c r="N26" s="37">
        <f t="shared" si="4"/>
        <v>240985.16621018582</v>
      </c>
      <c r="O26" s="37">
        <f t="shared" si="4"/>
        <v>245558.00420047733</v>
      </c>
      <c r="P26" s="37">
        <f t="shared" si="4"/>
        <v>266715.59808947309</v>
      </c>
      <c r="Q26" s="37">
        <f t="shared" si="4"/>
        <v>292442.27969554323</v>
      </c>
      <c r="R26" s="37">
        <f t="shared" si="4"/>
        <v>304756.02202224766</v>
      </c>
      <c r="S26" s="37">
        <f t="shared" si="4"/>
        <v>293864.68178185861</v>
      </c>
      <c r="T26" s="37">
        <f t="shared" si="4"/>
        <v>283252.97657648916</v>
      </c>
      <c r="U26" s="37">
        <f t="shared" si="4"/>
        <v>298034.32586956298</v>
      </c>
      <c r="V26" s="37">
        <f t="shared" si="4"/>
        <v>298548.3388057971</v>
      </c>
    </row>
    <row r="27" spans="2:22" ht="14.25" customHeight="1" x14ac:dyDescent="0.2">
      <c r="B27" s="38" t="s">
        <v>49</v>
      </c>
      <c r="C27" s="79" t="s">
        <v>50</v>
      </c>
      <c r="D27" s="39">
        <f t="shared" ref="D27:V27" si="5">+D18+D26</f>
        <v>188399.05370519997</v>
      </c>
      <c r="E27" s="39">
        <f t="shared" si="5"/>
        <v>217068.88596691343</v>
      </c>
      <c r="F27" s="39">
        <f t="shared" si="5"/>
        <v>215834.98216864187</v>
      </c>
      <c r="G27" s="39">
        <f t="shared" si="5"/>
        <v>217816.18789149669</v>
      </c>
      <c r="H27" s="39">
        <f t="shared" si="5"/>
        <v>235138.59480252661</v>
      </c>
      <c r="I27" s="39">
        <f t="shared" si="5"/>
        <v>256549.01564875929</v>
      </c>
      <c r="J27" s="39">
        <f t="shared" si="5"/>
        <v>278252.95404974453</v>
      </c>
      <c r="K27" s="39">
        <f t="shared" si="5"/>
        <v>291237.69322618563</v>
      </c>
      <c r="L27" s="39">
        <f t="shared" si="5"/>
        <v>289204.73170698702</v>
      </c>
      <c r="M27" s="39">
        <f t="shared" si="5"/>
        <v>321443.3107015962</v>
      </c>
      <c r="N27" s="39">
        <f t="shared" si="5"/>
        <v>328482.47465315869</v>
      </c>
      <c r="O27" s="39">
        <f t="shared" si="5"/>
        <v>319963.73964232736</v>
      </c>
      <c r="P27" s="39">
        <f t="shared" si="5"/>
        <v>341876.39237894851</v>
      </c>
      <c r="Q27" s="39">
        <f t="shared" si="5"/>
        <v>382635.09151595208</v>
      </c>
      <c r="R27" s="39">
        <f t="shared" si="5"/>
        <v>384754.2179181095</v>
      </c>
      <c r="S27" s="39">
        <f t="shared" si="5"/>
        <v>379813.23725663556</v>
      </c>
      <c r="T27" s="39">
        <f t="shared" si="5"/>
        <v>364059.69943816657</v>
      </c>
      <c r="U27" s="39">
        <f t="shared" si="5"/>
        <v>381152.19641112024</v>
      </c>
      <c r="V27" s="39">
        <f t="shared" si="5"/>
        <v>375758.72267752991</v>
      </c>
    </row>
    <row r="28" spans="2:22" x14ac:dyDescent="0.2">
      <c r="B28" s="1" t="s">
        <v>52</v>
      </c>
      <c r="C28" s="7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customHeight="1" x14ac:dyDescent="0.2">
      <c r="C35" s="131"/>
      <c r="D35" s="155" t="s">
        <v>62</v>
      </c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</row>
    <row r="36" spans="1:22" x14ac:dyDescent="0.2">
      <c r="B36" s="157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x14ac:dyDescent="0.2">
      <c r="A37" s="17"/>
      <c r="B37" s="158"/>
      <c r="C37" s="159" t="s">
        <v>38</v>
      </c>
      <c r="D37" s="153">
        <v>2000</v>
      </c>
      <c r="E37" s="153">
        <v>2001</v>
      </c>
      <c r="F37" s="153">
        <v>2002</v>
      </c>
      <c r="G37" s="153">
        <v>2003</v>
      </c>
      <c r="H37" s="153">
        <v>2004</v>
      </c>
      <c r="I37" s="153">
        <v>2005</v>
      </c>
      <c r="J37" s="153">
        <v>2006</v>
      </c>
      <c r="K37" s="153">
        <v>2007</v>
      </c>
      <c r="L37" s="153">
        <v>2008</v>
      </c>
      <c r="M37" s="153">
        <v>2009</v>
      </c>
      <c r="N37" s="153">
        <v>2010</v>
      </c>
      <c r="O37" s="153">
        <v>2011</v>
      </c>
      <c r="P37" s="153">
        <v>2012</v>
      </c>
      <c r="Q37" s="153">
        <v>2013</v>
      </c>
      <c r="R37" s="153">
        <v>2014</v>
      </c>
      <c r="S37" s="153">
        <v>2015</v>
      </c>
      <c r="T37" s="153">
        <v>2016</v>
      </c>
      <c r="U37" s="153">
        <v>2017</v>
      </c>
      <c r="V37" s="153">
        <v>2018</v>
      </c>
    </row>
    <row r="38" spans="1:22" ht="12" customHeight="1" thickBot="1" x14ac:dyDescent="0.25">
      <c r="A38" s="17"/>
      <c r="B38" s="154"/>
      <c r="C38" s="160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</row>
    <row r="39" spans="1:22" x14ac:dyDescent="0.2">
      <c r="A39" s="18"/>
      <c r="B39" s="34" t="s">
        <v>39</v>
      </c>
      <c r="C39" s="76" t="s">
        <v>40</v>
      </c>
      <c r="D39" s="41">
        <f t="shared" ref="D39:V39" si="6">+D40+D41+D42+D43</f>
        <v>93417.88099059416</v>
      </c>
      <c r="E39" s="41">
        <f t="shared" si="6"/>
        <v>99479.602407876824</v>
      </c>
      <c r="F39" s="41">
        <f t="shared" si="6"/>
        <v>104954.06326771773</v>
      </c>
      <c r="G39" s="41">
        <f t="shared" si="6"/>
        <v>105603.12146649802</v>
      </c>
      <c r="H39" s="41">
        <f t="shared" si="6"/>
        <v>123867.86051272058</v>
      </c>
      <c r="I39" s="41">
        <f t="shared" si="6"/>
        <v>132868.44770224058</v>
      </c>
      <c r="J39" s="41">
        <f t="shared" si="6"/>
        <v>133742.0271717998</v>
      </c>
      <c r="K39" s="41">
        <f t="shared" si="6"/>
        <v>135231.80787413445</v>
      </c>
      <c r="L39" s="41">
        <f t="shared" si="6"/>
        <v>144783.4229803503</v>
      </c>
      <c r="M39" s="41">
        <f t="shared" si="6"/>
        <v>157915.12696018288</v>
      </c>
      <c r="N39" s="41">
        <f t="shared" si="6"/>
        <v>169845.73054141164</v>
      </c>
      <c r="O39" s="41">
        <f t="shared" si="6"/>
        <v>172659.98055542307</v>
      </c>
      <c r="P39" s="41">
        <f t="shared" si="6"/>
        <v>183907.96305054761</v>
      </c>
      <c r="Q39" s="41">
        <f t="shared" si="6"/>
        <v>197258.02205731161</v>
      </c>
      <c r="R39" s="41">
        <f t="shared" si="6"/>
        <v>207135.69809698765</v>
      </c>
      <c r="S39" s="41">
        <f t="shared" si="6"/>
        <v>204986.56604912618</v>
      </c>
      <c r="T39" s="41">
        <f t="shared" si="6"/>
        <v>209862.37731619892</v>
      </c>
      <c r="U39" s="41">
        <f t="shared" si="6"/>
        <v>228861.42775723964</v>
      </c>
      <c r="V39" s="41">
        <f t="shared" si="6"/>
        <v>229716.1456279665</v>
      </c>
    </row>
    <row r="40" spans="1:22" x14ac:dyDescent="0.2">
      <c r="A40" s="19"/>
      <c r="B40" s="40"/>
      <c r="C40" s="77" t="s">
        <v>56</v>
      </c>
      <c r="D40" s="42">
        <f>6229.34470914813*Deflactores!$A$5</f>
        <v>23196.291714742478</v>
      </c>
      <c r="E40" s="42">
        <f>6726.46650103465*Deflactores!$B$5</f>
        <v>23267.835765177198</v>
      </c>
      <c r="F40" s="42">
        <f>7268.31370541013*Deflactores!$C$5</f>
        <v>23499.142316385278</v>
      </c>
      <c r="G40" s="42">
        <f>7871.33608497666*Deflactores!$D$5</f>
        <v>23897.497410151507</v>
      </c>
      <c r="H40" s="42">
        <f>8637.75072587096*Deflactores!$E$5</f>
        <v>24857.909055259312</v>
      </c>
      <c r="I40" s="42">
        <f>9205.8149212342*Deflactores!$F$5</f>
        <v>25265.99103429653</v>
      </c>
      <c r="J40" s="42">
        <f>10208.7169930046*Deflactores!$G$5</f>
        <v>26817.644355544493</v>
      </c>
      <c r="K40" s="42">
        <f>11156.1130705759*Deflactores!$H$5</f>
        <v>27727.463396101564</v>
      </c>
      <c r="L40" s="42">
        <f>12493.0049102242*Deflactores!$I$5</f>
        <v>28837.11431289183</v>
      </c>
      <c r="M40" s="42">
        <f>14056.3603982619*Deflactores!$J$5</f>
        <v>31808.9916632235</v>
      </c>
      <c r="N40" s="42">
        <f>15117.7111655028*Deflactores!$K$5</f>
        <v>33159.233786149052</v>
      </c>
      <c r="O40" s="42">
        <f>15971.7121530199*Deflactores!$L$5</f>
        <v>33773.760431644208</v>
      </c>
      <c r="P40" s="42">
        <f>18009.2414348955*Deflactores!$M$5</f>
        <v>37175.241149373418</v>
      </c>
      <c r="Q40" s="42">
        <f>19954.0662497947*Deflactores!$N$5</f>
        <v>40405.934416946046</v>
      </c>
      <c r="R40" s="42">
        <f>22135.4433816682*Deflactores!$O$5</f>
        <v>43240.505837939214</v>
      </c>
      <c r="S40" s="42">
        <f>23620.5928754438*Deflactores!$P$5</f>
        <v>43215.952724913965</v>
      </c>
      <c r="T40" s="42">
        <f>25682.0221128836*Deflactores!$Q$5</f>
        <v>44432.641959651439</v>
      </c>
      <c r="U40" s="42">
        <f>27697.2227396041*Deflactores!$R$5</f>
        <v>46036.270857077667</v>
      </c>
      <c r="V40" s="42">
        <f>30597.1369734961*Deflactores!$S$5</f>
        <v>49288.90615371368</v>
      </c>
    </row>
    <row r="41" spans="1:22" x14ac:dyDescent="0.2">
      <c r="A41" s="19"/>
      <c r="B41" s="40"/>
      <c r="C41" s="77" t="s">
        <v>57</v>
      </c>
      <c r="D41" s="42">
        <f>1596.57007627469*Deflactores!$A$5</f>
        <v>5945.1687073777084</v>
      </c>
      <c r="E41" s="42">
        <f>1829.54278383933*Deflactores!$B$5</f>
        <v>6328.6572546210818</v>
      </c>
      <c r="F41" s="42">
        <f>2226.05470737772*Deflactores!$C$5</f>
        <v>7197.044389235909</v>
      </c>
      <c r="G41" s="42">
        <f>2417.68016574717*Deflactores!$D$5</f>
        <v>7340.1141655977181</v>
      </c>
      <c r="H41" s="42">
        <f>2828.14770289286*Deflactores!$E$5</f>
        <v>8138.905673995655</v>
      </c>
      <c r="I41" s="42">
        <f>3077.40431181113*Deflactores!$F$5</f>
        <v>8446.1473988335692</v>
      </c>
      <c r="J41" s="42">
        <f>3405.41970167447*Deflactores!$G$5</f>
        <v>8945.818999924275</v>
      </c>
      <c r="K41" s="42">
        <f>3660.57232159174*Deflactores!$H$5</f>
        <v>9098.0061257552261</v>
      </c>
      <c r="L41" s="42">
        <f>4040.32346250055*Deflactores!$I$5</f>
        <v>9326.1205279632268</v>
      </c>
      <c r="M41" s="42">
        <f>4714.56557007867*Deflactores!$J$5</f>
        <v>10668.876769330454</v>
      </c>
      <c r="N41" s="42">
        <f>5115.03328875987*Deflactores!$K$5</f>
        <v>11219.329618689819</v>
      </c>
      <c r="O41" s="42">
        <f>5538.64446035544*Deflactores!$L$5</f>
        <v>11712.009916527881</v>
      </c>
      <c r="P41" s="42">
        <f>6339.27391526422*Deflactores!$M$5</f>
        <v>13085.728089315686</v>
      </c>
      <c r="Q41" s="42">
        <f>7298.75466031102*Deflactores!$N$5</f>
        <v>14779.59421593785</v>
      </c>
      <c r="R41" s="42">
        <f>7705.7529421135*Deflactores!$O$5</f>
        <v>15052.811427085358</v>
      </c>
      <c r="S41" s="42">
        <f>7555.74307359211*Deflactores!$P$5</f>
        <v>13823.896681671149</v>
      </c>
      <c r="T41" s="42">
        <f>7831.48943369265*Deflactores!$Q$5</f>
        <v>13549.313386950749</v>
      </c>
      <c r="U41" s="42">
        <f>7888.59478150278*Deflactores!$R$5</f>
        <v>13111.837582318638</v>
      </c>
      <c r="V41" s="42">
        <f>8495.0124562587*Deflactores!$S$5</f>
        <v>13684.60951408164</v>
      </c>
    </row>
    <row r="42" spans="1:22" x14ac:dyDescent="0.2">
      <c r="A42" s="19"/>
      <c r="B42" s="40"/>
      <c r="C42" s="77" t="s">
        <v>58</v>
      </c>
      <c r="D42" s="42">
        <f>16896.717733324*Deflactores!$A$5</f>
        <v>62918.527046393647</v>
      </c>
      <c r="E42" s="42">
        <f>19814.7527644027*Deflactores!$B$5</f>
        <v>68542.140658664663</v>
      </c>
      <c r="F42" s="42">
        <f>22488.2350405503*Deflactores!$C$5</f>
        <v>72706.580519338575</v>
      </c>
      <c r="G42" s="42">
        <f>23913.5827532928*Deflactores!$D$5</f>
        <v>72602.005014750059</v>
      </c>
      <c r="H42" s="42">
        <f>31009.4681464219*Deflactores!$E$5</f>
        <v>89239.729589208757</v>
      </c>
      <c r="I42" s="42">
        <f>35355.9534924003*Deflactores!$F$5</f>
        <v>97036.841560597895</v>
      </c>
      <c r="J42" s="42">
        <f>36413.0400920942*Deflactores!$G$5</f>
        <v>95654.719370035265</v>
      </c>
      <c r="K42" s="42">
        <f>38831.5536958484*Deflactores!$H$5</f>
        <v>96512.152297485402</v>
      </c>
      <c r="L42" s="42">
        <f>45345.3529492324*Deflactores!$I$5</f>
        <v>104668.90359462565</v>
      </c>
      <c r="M42" s="42">
        <f>49968.2824841892*Deflactores!$J$5</f>
        <v>113076.26127469732</v>
      </c>
      <c r="N42" s="42">
        <f>55854.780206257*Deflactores!$K$5</f>
        <v>122512.04528629761</v>
      </c>
      <c r="O42" s="42">
        <f>58806.1827981491*Deflactores!$L$5</f>
        <v>124351.47282244473</v>
      </c>
      <c r="P42" s="42">
        <f>63379.4659801904*Deflactores!$M$5</f>
        <v>130829.88199418066</v>
      </c>
      <c r="Q42" s="42">
        <f>68834.5395314248*Deflactores!$N$5</f>
        <v>139386.32131964815</v>
      </c>
      <c r="R42" s="42">
        <f>74778.5653516604*Deflactores!$O$5</f>
        <v>146076.26944211253</v>
      </c>
      <c r="S42" s="42">
        <f>79382.531331979*Deflactores!$P$5</f>
        <v>145237.32487651837</v>
      </c>
      <c r="T42" s="42">
        <f>86181.6360799038*Deflactores!$Q$5</f>
        <v>149103.43751765383</v>
      </c>
      <c r="U42" s="42">
        <f>100569.729085475*Deflactores!$R$5</f>
        <v>167159.54995666933</v>
      </c>
      <c r="V42" s="42">
        <f>101954.562562704*Deflactores!$S$5</f>
        <v>164238.53220152622</v>
      </c>
    </row>
    <row r="43" spans="1:22" x14ac:dyDescent="0.2">
      <c r="A43" s="19"/>
      <c r="B43" s="40"/>
      <c r="C43" s="77" t="s">
        <v>59</v>
      </c>
      <c r="D43" s="42">
        <f>364.66116788752*Deflactores!$A$5</f>
        <v>1357.8935220803255</v>
      </c>
      <c r="E43" s="42">
        <f>387.65879767971*Deflactores!$B$5</f>
        <v>1340.9687294138928</v>
      </c>
      <c r="F43" s="42">
        <f>479.817779598889*Deflactores!$C$5</f>
        <v>1551.2960427579735</v>
      </c>
      <c r="G43" s="42">
        <f>580.86164121037*Deflactores!$D$5</f>
        <v>1763.5048759987399</v>
      </c>
      <c r="H43" s="42">
        <f>566.85792074237*Deflactores!$E$5</f>
        <v>1631.3161942568577</v>
      </c>
      <c r="I43" s="42">
        <f>772.24073378377*Deflactores!$F$5</f>
        <v>2119.467708512595</v>
      </c>
      <c r="J43" s="42">
        <f>884.62170552628*Deflactores!$G$5</f>
        <v>2323.8444462957691</v>
      </c>
      <c r="K43" s="42">
        <f>762.12358491262*Deflactores!$H$5</f>
        <v>1894.1860547922458</v>
      </c>
      <c r="L43" s="42">
        <f>845.34836377169*Deflactores!$I$5</f>
        <v>1951.2845448695828</v>
      </c>
      <c r="M43" s="42">
        <f>1043.32223535658*Deflactores!$J$5</f>
        <v>2360.9972529316201</v>
      </c>
      <c r="N43" s="42">
        <f>1347.27716808666*Deflactores!$K$5</f>
        <v>2955.1218502751799</v>
      </c>
      <c r="O43" s="42">
        <f>1334.88093767173*Deflactores!$L$5</f>
        <v>2822.7373848062498</v>
      </c>
      <c r="P43" s="42">
        <f>1364.72677257973*Deflactores!$M$5</f>
        <v>2817.1118176778418</v>
      </c>
      <c r="Q43" s="42">
        <f>1326.53920545499*Deflactores!$N$5</f>
        <v>2686.1721047795718</v>
      </c>
      <c r="R43" s="42">
        <f>1416.01262221363*Deflactores!$O$5</f>
        <v>2766.1113898505364</v>
      </c>
      <c r="S43" s="42">
        <f>1480.87536685052*Deflactores!$P$5</f>
        <v>2709.3917660226921</v>
      </c>
      <c r="T43" s="42">
        <f>1605.09420454212*Deflactores!$Q$5</f>
        <v>2776.9844519429021</v>
      </c>
      <c r="U43" s="42">
        <f>1536.44762065123*Deflactores!$R$5</f>
        <v>2553.7693611739924</v>
      </c>
      <c r="V43" s="42">
        <f>1554.47195109871*Deflactores!$S$5</f>
        <v>2504.0977586449635</v>
      </c>
    </row>
    <row r="44" spans="1:22" x14ac:dyDescent="0.2">
      <c r="A44" s="20"/>
      <c r="B44" s="34" t="s">
        <v>41</v>
      </c>
      <c r="C44" s="76" t="s">
        <v>42</v>
      </c>
      <c r="D44" s="41">
        <f t="shared" ref="D44:V44" si="7">+D45+D48</f>
        <v>58618.234574651258</v>
      </c>
      <c r="E44" s="41">
        <f t="shared" si="7"/>
        <v>73010.92987202837</v>
      </c>
      <c r="F44" s="41">
        <f t="shared" si="7"/>
        <v>73477.596322875295</v>
      </c>
      <c r="G44" s="41">
        <f t="shared" si="7"/>
        <v>82338.435080943367</v>
      </c>
      <c r="H44" s="41">
        <f t="shared" si="7"/>
        <v>73902.687055054077</v>
      </c>
      <c r="I44" s="41">
        <f t="shared" si="7"/>
        <v>84741.374949830933</v>
      </c>
      <c r="J44" s="41">
        <f t="shared" si="7"/>
        <v>98752.389359908542</v>
      </c>
      <c r="K44" s="41">
        <f t="shared" si="7"/>
        <v>94490.762025137519</v>
      </c>
      <c r="L44" s="41">
        <f t="shared" si="7"/>
        <v>82122.05206657236</v>
      </c>
      <c r="M44" s="41">
        <f t="shared" si="7"/>
        <v>74108.88153640322</v>
      </c>
      <c r="N44" s="41">
        <f t="shared" si="7"/>
        <v>70948.670419844435</v>
      </c>
      <c r="O44" s="41">
        <f t="shared" si="7"/>
        <v>71290.954838233549</v>
      </c>
      <c r="P44" s="41">
        <f t="shared" si="7"/>
        <v>74813.855012227577</v>
      </c>
      <c r="Q44" s="41">
        <f t="shared" si="7"/>
        <v>76814.872089339551</v>
      </c>
      <c r="R44" s="41">
        <f t="shared" si="7"/>
        <v>78116.227788941353</v>
      </c>
      <c r="S44" s="41">
        <f t="shared" si="7"/>
        <v>84737.85046626949</v>
      </c>
      <c r="T44" s="41">
        <f t="shared" si="7"/>
        <v>68632.653076334056</v>
      </c>
      <c r="U44" s="41">
        <f t="shared" si="7"/>
        <v>81311.424430430779</v>
      </c>
      <c r="V44" s="41">
        <f t="shared" si="7"/>
        <v>75665.563523206496</v>
      </c>
    </row>
    <row r="45" spans="1:22" x14ac:dyDescent="0.2">
      <c r="A45" s="20"/>
      <c r="B45" s="34"/>
      <c r="C45" s="76" t="s">
        <v>43</v>
      </c>
      <c r="D45" s="41">
        <f t="shared" ref="D45:V45" si="8">+D46+D47</f>
        <v>18564.138477470475</v>
      </c>
      <c r="E45" s="41">
        <f t="shared" si="8"/>
        <v>26962.417956951405</v>
      </c>
      <c r="F45" s="41">
        <f t="shared" si="8"/>
        <v>30563.956550451978</v>
      </c>
      <c r="G45" s="41">
        <f t="shared" si="8"/>
        <v>40231.260161907296</v>
      </c>
      <c r="H45" s="41">
        <f t="shared" si="8"/>
        <v>24430.986871247711</v>
      </c>
      <c r="I45" s="41">
        <f t="shared" si="8"/>
        <v>35172.669702677318</v>
      </c>
      <c r="J45" s="41">
        <f t="shared" si="8"/>
        <v>25335.074810151316</v>
      </c>
      <c r="K45" s="41">
        <f t="shared" si="8"/>
        <v>18521.835976246635</v>
      </c>
      <c r="L45" s="41">
        <f t="shared" si="8"/>
        <v>16934.418109554877</v>
      </c>
      <c r="M45" s="41">
        <f t="shared" si="8"/>
        <v>15549.007379287636</v>
      </c>
      <c r="N45" s="41">
        <f t="shared" si="8"/>
        <v>15437.81132408357</v>
      </c>
      <c r="O45" s="41">
        <f t="shared" si="8"/>
        <v>12954.626238094423</v>
      </c>
      <c r="P45" s="41">
        <f t="shared" si="8"/>
        <v>13371.081173295128</v>
      </c>
      <c r="Q45" s="41">
        <f t="shared" si="8"/>
        <v>13896.686577326887</v>
      </c>
      <c r="R45" s="41">
        <f t="shared" si="8"/>
        <v>17274.843741166933</v>
      </c>
      <c r="S45" s="41">
        <f t="shared" si="8"/>
        <v>20146.530428052294</v>
      </c>
      <c r="T45" s="41">
        <f t="shared" si="8"/>
        <v>16080.913423349299</v>
      </c>
      <c r="U45" s="41">
        <f t="shared" si="8"/>
        <v>23237.930944713069</v>
      </c>
      <c r="V45" s="41">
        <f t="shared" si="8"/>
        <v>17992.232503585299</v>
      </c>
    </row>
    <row r="46" spans="1:22" x14ac:dyDescent="0.2">
      <c r="A46" s="20"/>
      <c r="B46" s="32"/>
      <c r="C46" s="77" t="s">
        <v>60</v>
      </c>
      <c r="D46" s="42">
        <f>2529.12285638793*Deflactores!$A$5</f>
        <v>9417.7275938900239</v>
      </c>
      <c r="E46" s="42">
        <f>4401.08491145749*Deflactores!$B$5</f>
        <v>15223.999241301626</v>
      </c>
      <c r="F46" s="42">
        <f>5653.35639142516*Deflactores!$C$5</f>
        <v>18277.833317576908</v>
      </c>
      <c r="G46" s="42">
        <f>7846.01808666962*Deflactores!$D$5</f>
        <v>23820.63157791656</v>
      </c>
      <c r="H46" s="42">
        <f>4063.2054549756*Deflactores!$E$5</f>
        <v>11693.182042184102</v>
      </c>
      <c r="I46" s="42">
        <f>8412.98639776208*Deflactores!$F$5</f>
        <v>23090.018723624056</v>
      </c>
      <c r="J46" s="42">
        <f>4943.76835664344*Deflactores!$G$5</f>
        <v>12986.962186874944</v>
      </c>
      <c r="K46" s="42">
        <f>3520.36640878998*Deflactores!$H$5</f>
        <v>8749.5375963907136</v>
      </c>
      <c r="L46" s="42">
        <f>3472.57379676566*Deflactores!$I$5</f>
        <v>8015.6061937773666</v>
      </c>
      <c r="M46" s="42">
        <f>2846.32466081057*Deflactores!$J$5</f>
        <v>6441.1209474784227</v>
      </c>
      <c r="N46" s="42">
        <f>3361.86607698633*Deflactores!$K$5</f>
        <v>7373.9273084468841</v>
      </c>
      <c r="O46" s="42">
        <f>2373.50938587854*Deflactores!$L$5</f>
        <v>5019.0196650747821</v>
      </c>
      <c r="P46" s="42">
        <f>3393.41661617164*Deflactores!$M$5</f>
        <v>7004.7970361503158</v>
      </c>
      <c r="Q46" s="42">
        <f>2909.260866124*Deflactores!$N$5</f>
        <v>5891.1002041803604</v>
      </c>
      <c r="R46" s="42">
        <f>4841.01924007462*Deflactores!$O$5</f>
        <v>9456.6942754524134</v>
      </c>
      <c r="S46" s="42">
        <f>5998.70697983921*Deflactores!$P$5</f>
        <v>10975.16216541927</v>
      </c>
      <c r="T46" s="42">
        <f>3415.50685603909*Deflactores!$Q$5</f>
        <v>5909.1917520384031</v>
      </c>
      <c r="U46" s="42">
        <f>7662.71728925502*Deflactores!$R$5</f>
        <v>12736.400755623139</v>
      </c>
      <c r="V46" s="42">
        <f>3074.46566123586*Deflactores!$S$5</f>
        <v>4952.6545434866748</v>
      </c>
    </row>
    <row r="47" spans="1:22" x14ac:dyDescent="0.2">
      <c r="A47" s="20"/>
      <c r="B47" s="32"/>
      <c r="C47" s="77" t="s">
        <v>61</v>
      </c>
      <c r="D47" s="42">
        <f>2456.26098110826*Deflactores!$A$5</f>
        <v>9146.4108835804509</v>
      </c>
      <c r="E47" s="42">
        <f>3393.44325199792*Deflactores!$B$5</f>
        <v>11738.418715649779</v>
      </c>
      <c r="F47" s="42">
        <f>3800.11307125868*Deflactores!$C$5</f>
        <v>12286.123232875068</v>
      </c>
      <c r="G47" s="42">
        <f>5405.31800185251*Deflactores!$D$5</f>
        <v>16410.628583990732</v>
      </c>
      <c r="H47" s="42">
        <f>4426.1962123869*Deflactores!$E$5</f>
        <v>12737.804829063607</v>
      </c>
      <c r="I47" s="42">
        <f>4402.38613716149*Deflactores!$F$5</f>
        <v>12082.650979053264</v>
      </c>
      <c r="J47" s="42">
        <f>4700.57643756894*Deflactores!$G$5</f>
        <v>12348.112623276373</v>
      </c>
      <c r="K47" s="42">
        <f>3931.87303604579*Deflactores!$H$5</f>
        <v>9772.2983798559235</v>
      </c>
      <c r="L47" s="42">
        <f>3863.8665383853*Deflactores!$I$5</f>
        <v>8918.8119157775109</v>
      </c>
      <c r="M47" s="42">
        <f>4024.76556023518*Deflactores!$J$5</f>
        <v>9107.8864318092128</v>
      </c>
      <c r="N47" s="42">
        <f>3676.42600570078*Deflactores!$K$5</f>
        <v>8063.8840156366869</v>
      </c>
      <c r="O47" s="42">
        <f>3752.77204326732*Deflactores!$L$5</f>
        <v>7935.6065730196406</v>
      </c>
      <c r="P47" s="42">
        <f>3084.09426608168*Deflactores!$M$5</f>
        <v>6366.2841371448121</v>
      </c>
      <c r="Q47" s="42">
        <f>3953.4786947341*Deflactores!$N$5</f>
        <v>8005.5863731465279</v>
      </c>
      <c r="R47" s="42">
        <f>4002.22433790083*Deflactores!$O$5</f>
        <v>7818.1494657145204</v>
      </c>
      <c r="S47" s="42">
        <f>5012.80527636111*Deflactores!$P$5</f>
        <v>9171.3682626330246</v>
      </c>
      <c r="T47" s="42">
        <f>5879.24483819627*Deflactores!$Q$5</f>
        <v>10171.721671310896</v>
      </c>
      <c r="U47" s="42">
        <f>6318.1316674607*Deflactores!$R$5</f>
        <v>10501.53018908993</v>
      </c>
      <c r="V47" s="42">
        <f>8094.59539794753*Deflactores!$S$5</f>
        <v>13039.577960098624</v>
      </c>
    </row>
    <row r="48" spans="1:22" x14ac:dyDescent="0.2">
      <c r="A48" s="20"/>
      <c r="B48" s="34"/>
      <c r="C48" s="76" t="s">
        <v>44</v>
      </c>
      <c r="D48" s="41">
        <f t="shared" ref="D48:V48" si="9">+D49+D50</f>
        <v>40054.09609718078</v>
      </c>
      <c r="E48" s="41">
        <f t="shared" si="9"/>
        <v>46048.511915076961</v>
      </c>
      <c r="F48" s="41">
        <f t="shared" si="9"/>
        <v>42913.639772423325</v>
      </c>
      <c r="G48" s="41">
        <f t="shared" si="9"/>
        <v>42107.174919036064</v>
      </c>
      <c r="H48" s="41">
        <f t="shared" si="9"/>
        <v>49471.700183806366</v>
      </c>
      <c r="I48" s="41">
        <f t="shared" si="9"/>
        <v>49568.705247153615</v>
      </c>
      <c r="J48" s="41">
        <f t="shared" si="9"/>
        <v>73417.314549757226</v>
      </c>
      <c r="K48" s="41">
        <f t="shared" si="9"/>
        <v>75968.926048890891</v>
      </c>
      <c r="L48" s="41">
        <f t="shared" si="9"/>
        <v>65187.633957017475</v>
      </c>
      <c r="M48" s="41">
        <f t="shared" si="9"/>
        <v>58559.874157115584</v>
      </c>
      <c r="N48" s="41">
        <f t="shared" si="9"/>
        <v>55510.859095760861</v>
      </c>
      <c r="O48" s="41">
        <f t="shared" si="9"/>
        <v>58336.328600139124</v>
      </c>
      <c r="P48" s="41">
        <f t="shared" si="9"/>
        <v>61442.773838932451</v>
      </c>
      <c r="Q48" s="41">
        <f t="shared" si="9"/>
        <v>62918.185512012664</v>
      </c>
      <c r="R48" s="41">
        <f t="shared" si="9"/>
        <v>60841.384047774423</v>
      </c>
      <c r="S48" s="41">
        <f t="shared" si="9"/>
        <v>64591.320038217193</v>
      </c>
      <c r="T48" s="41">
        <f t="shared" si="9"/>
        <v>52551.739652984761</v>
      </c>
      <c r="U48" s="41">
        <f t="shared" si="9"/>
        <v>58073.493485717714</v>
      </c>
      <c r="V48" s="41">
        <f t="shared" si="9"/>
        <v>57673.331019621197</v>
      </c>
    </row>
    <row r="49" spans="1:23" x14ac:dyDescent="0.2">
      <c r="A49" s="20"/>
      <c r="B49" s="32"/>
      <c r="C49" s="77" t="s">
        <v>60</v>
      </c>
      <c r="D49" s="42">
        <f>6097.3360698846*Deflactores!$A$5</f>
        <v>22704.729431999291</v>
      </c>
      <c r="E49" s="42">
        <f>8299.71921353252*Deflactores!$B$5</f>
        <v>28709.948013248206</v>
      </c>
      <c r="F49" s="42">
        <f>8073.9692020217*Deflactores!$C$5</f>
        <v>26103.902366678823</v>
      </c>
      <c r="G49" s="42">
        <f>7122.00538144606*Deflactores!$D$5</f>
        <v>21622.517870001098</v>
      </c>
      <c r="H49" s="42">
        <f>9585.33095689588*Deflactores!$E$5</f>
        <v>27584.876289313634</v>
      </c>
      <c r="I49" s="42">
        <f>9500.55414984848*Deflactores!$F$5</f>
        <v>26074.923081197325</v>
      </c>
      <c r="J49" s="42">
        <f>17042.9660504578*Deflactores!$G$5</f>
        <v>44770.778014317126</v>
      </c>
      <c r="K49" s="42">
        <f>18284.2117513306*Deflactores!$H$5</f>
        <v>45443.678174859</v>
      </c>
      <c r="L49" s="42">
        <f>16320.6135952349*Deflactores!$I$5</f>
        <v>37672.233644697997</v>
      </c>
      <c r="M49" s="42">
        <f>13697.4375719467*Deflactores!$J$5</f>
        <v>30996.763400250635</v>
      </c>
      <c r="N49" s="42">
        <f>13846.3351238026*Deflactores!$K$5</f>
        <v>30370.593698022087</v>
      </c>
      <c r="O49" s="42">
        <f>14339.7438762528*Deflactores!$L$5</f>
        <v>30322.802570426196</v>
      </c>
      <c r="P49" s="42">
        <f>16597.5153211496*Deflactores!$M$5</f>
        <v>34261.111817213903</v>
      </c>
      <c r="Q49" s="42">
        <f>18015.9348243149*Deflactores!$N$5</f>
        <v>36481.320241117864</v>
      </c>
      <c r="R49" s="42">
        <f>17332.1654576053*Deflactores!$O$5</f>
        <v>33857.537377108965</v>
      </c>
      <c r="S49" s="42">
        <f>20378.0256286111*Deflactores!$P$5</f>
        <v>37283.390676814081</v>
      </c>
      <c r="T49" s="42">
        <f>13863.0831808706*Deflactores!$Q$5</f>
        <v>23984.614946791167</v>
      </c>
      <c r="U49" s="42">
        <f>17064.1076072919*Deflactores!$R$5</f>
        <v>28362.694957871365</v>
      </c>
      <c r="V49" s="42">
        <f>15625.5341167473*Deflactores!$S$5</f>
        <v>25171.161777297759</v>
      </c>
    </row>
    <row r="50" spans="1:23" x14ac:dyDescent="0.2">
      <c r="A50" s="20"/>
      <c r="B50" s="32"/>
      <c r="C50" s="77" t="s">
        <v>61</v>
      </c>
      <c r="D50" s="42">
        <f>4659.15788488432*Deflactores!$A$5</f>
        <v>17349.366665181486</v>
      </c>
      <c r="E50" s="42">
        <f>5012.38148827941*Deflactores!$B$5</f>
        <v>17338.563901828758</v>
      </c>
      <c r="F50" s="42">
        <f>5199.2725149516*Deflactores!$C$5</f>
        <v>16809.737405744498</v>
      </c>
      <c r="G50" s="42">
        <f>6747.21781327387*Deflactores!$D$5</f>
        <v>20484.657049034966</v>
      </c>
      <c r="H50" s="42">
        <f>7605.34317513989*Deflactores!$E$5</f>
        <v>21886.823894492733</v>
      </c>
      <c r="I50" s="42">
        <f>8560.10002243746*Deflactores!$F$5</f>
        <v>23493.782165956294</v>
      </c>
      <c r="J50" s="42">
        <f>10904.9244013713*Deflactores!$G$5</f>
        <v>28646.536535440096</v>
      </c>
      <c r="K50" s="42">
        <f>12281.7984438467*Deflactores!$H$5</f>
        <v>30525.247874031898</v>
      </c>
      <c r="L50" s="42">
        <f>11920.4032511296*Deflactores!$I$5</f>
        <v>27515.400312319482</v>
      </c>
      <c r="M50" s="42">
        <f>12180.1100329642*Deflactores!$J$5</f>
        <v>27563.110756864953</v>
      </c>
      <c r="N50" s="42">
        <f>11461.7627583981*Deflactores!$K$5</f>
        <v>25140.265397738774</v>
      </c>
      <c r="O50" s="42">
        <f>13247.6801048927*Deflactores!$L$5</f>
        <v>28013.526029712924</v>
      </c>
      <c r="P50" s="42">
        <f>13167.9337864661*Deflactores!$M$5</f>
        <v>27181.662021718552</v>
      </c>
      <c r="Q50" s="42">
        <f>13055.5812819191*Deflactores!$N$5</f>
        <v>26436.865270894799</v>
      </c>
      <c r="R50" s="42">
        <f>13813.4232850269*Deflactores!$O$5</f>
        <v>26983.846670665454</v>
      </c>
      <c r="S50" s="42">
        <f>14925.7262896167*Deflactores!$P$5</f>
        <v>27307.929361403108</v>
      </c>
      <c r="T50" s="42">
        <f>16511.7691869908*Deflactores!$Q$5</f>
        <v>28567.124706193594</v>
      </c>
      <c r="U50" s="42">
        <f>17875.1794894948*Deflactores!$R$5</f>
        <v>29710.798527846349</v>
      </c>
      <c r="V50" s="42">
        <f>20176.4129465915*Deflactores!$S$5</f>
        <v>32502.169242323438</v>
      </c>
      <c r="W50" s="8"/>
    </row>
    <row r="51" spans="1:23" x14ac:dyDescent="0.2">
      <c r="A51" s="20"/>
      <c r="B51" s="34" t="s">
        <v>45</v>
      </c>
      <c r="C51" s="76" t="s">
        <v>46</v>
      </c>
      <c r="D51" s="41">
        <f>6121.69409217148*Deflactores!$A$5</f>
        <v>22795.431715616844</v>
      </c>
      <c r="E51" s="41">
        <f>10492.4693544647*Deflactores!$B$5</f>
        <v>36294.992872303286</v>
      </c>
      <c r="F51" s="41">
        <f>9102.44983691707*Deflactores!$C$5</f>
        <v>29429.077061747772</v>
      </c>
      <c r="G51" s="41">
        <f>8778.31985272493*Deflactores!$D$5</f>
        <v>26651.114077871014</v>
      </c>
      <c r="H51" s="41">
        <f>10641.5272262762*Deflactores!$E$5</f>
        <v>30624.421147921817</v>
      </c>
      <c r="I51" s="41">
        <f>11840.0308939321*Deflactores!$F$5</f>
        <v>32495.777611372629</v>
      </c>
      <c r="J51" s="41">
        <f>13883.9606047052*Deflactores!$G$5</f>
        <v>36472.273450083165</v>
      </c>
      <c r="K51" s="41">
        <f>18532.0549980688*Deflactores!$H$5</f>
        <v>46059.669112601412</v>
      </c>
      <c r="L51" s="41">
        <f>21521.435365871*Deflactores!$I$5</f>
        <v>49677.087000520311</v>
      </c>
      <c r="M51" s="41">
        <f>29111.3938450518*Deflactores!$J$5</f>
        <v>65877.941222720139</v>
      </c>
      <c r="N51" s="41">
        <f>24032.3175212147*Deflactores!$K$5</f>
        <v>52712.558560277292</v>
      </c>
      <c r="O51" s="41">
        <f>31114.3666888396*Deflactores!$L$5</f>
        <v>65794.396772452907</v>
      </c>
      <c r="P51" s="41">
        <f>35903.2676563934*Deflactores!$M$5</f>
        <v>74112.651440761168</v>
      </c>
      <c r="Q51" s="41">
        <f>41561.2131226722*Deflactores!$N$5</f>
        <v>84159.270130752833</v>
      </c>
      <c r="R51" s="41">
        <f>42707.1147641359*Deflactores!$O$5</f>
        <v>83426.259571087328</v>
      </c>
      <c r="S51" s="41">
        <f>44603.1725570932*Deflactores!$P$5</f>
        <v>81605.428228367586</v>
      </c>
      <c r="T51" s="41">
        <f>39927.7164345177*Deflactores!$Q$5</f>
        <v>69079.21505571116</v>
      </c>
      <c r="U51" s="41">
        <f>39636.1358050744*Deflactores!$R$5</f>
        <v>65880.24730151704</v>
      </c>
      <c r="V51" s="41">
        <f>37423.5730461529*Deflactores!$S$5</f>
        <v>60285.60716011707</v>
      </c>
    </row>
    <row r="52" spans="1:23" x14ac:dyDescent="0.2">
      <c r="A52" s="21"/>
      <c r="B52" s="36" t="s">
        <v>47</v>
      </c>
      <c r="C52" s="78" t="s">
        <v>48</v>
      </c>
      <c r="D52" s="43">
        <f t="shared" ref="D52:V52" si="10">+D39+D51</f>
        <v>116213.312706211</v>
      </c>
      <c r="E52" s="43">
        <f t="shared" si="10"/>
        <v>135774.5952801801</v>
      </c>
      <c r="F52" s="43">
        <f t="shared" si="10"/>
        <v>134383.1403294655</v>
      </c>
      <c r="G52" s="43">
        <f t="shared" si="10"/>
        <v>132254.23554436903</v>
      </c>
      <c r="H52" s="43">
        <f t="shared" si="10"/>
        <v>154492.28166064239</v>
      </c>
      <c r="I52" s="43">
        <f t="shared" si="10"/>
        <v>165364.22531361319</v>
      </c>
      <c r="J52" s="43">
        <f t="shared" si="10"/>
        <v>170214.30062188295</v>
      </c>
      <c r="K52" s="43">
        <f t="shared" si="10"/>
        <v>181291.47698673586</v>
      </c>
      <c r="L52" s="43">
        <f t="shared" si="10"/>
        <v>194460.50998087061</v>
      </c>
      <c r="M52" s="43">
        <f t="shared" si="10"/>
        <v>223793.06818290302</v>
      </c>
      <c r="N52" s="43">
        <f t="shared" si="10"/>
        <v>222558.28910168895</v>
      </c>
      <c r="O52" s="43">
        <f t="shared" si="10"/>
        <v>238454.37732787599</v>
      </c>
      <c r="P52" s="43">
        <f t="shared" si="10"/>
        <v>258020.61449130878</v>
      </c>
      <c r="Q52" s="43">
        <f t="shared" si="10"/>
        <v>281417.29218806443</v>
      </c>
      <c r="R52" s="43">
        <f t="shared" si="10"/>
        <v>290561.95766807499</v>
      </c>
      <c r="S52" s="43">
        <f t="shared" si="10"/>
        <v>286591.9942774938</v>
      </c>
      <c r="T52" s="43">
        <f t="shared" si="10"/>
        <v>278941.59237191011</v>
      </c>
      <c r="U52" s="43">
        <f t="shared" si="10"/>
        <v>294741.67505875666</v>
      </c>
      <c r="V52" s="43">
        <f t="shared" si="10"/>
        <v>290001.75278808357</v>
      </c>
    </row>
    <row r="53" spans="1:23" x14ac:dyDescent="0.2">
      <c r="A53" s="20"/>
      <c r="B53" s="38" t="s">
        <v>49</v>
      </c>
      <c r="C53" s="79" t="s">
        <v>63</v>
      </c>
      <c r="D53" s="44">
        <f t="shared" ref="D53:V53" si="11">+D39+D44+D51</f>
        <v>174831.54728086226</v>
      </c>
      <c r="E53" s="44">
        <f t="shared" si="11"/>
        <v>208785.52515220849</v>
      </c>
      <c r="F53" s="44">
        <f t="shared" si="11"/>
        <v>207860.7366523408</v>
      </c>
      <c r="G53" s="44">
        <f t="shared" si="11"/>
        <v>214592.67062531243</v>
      </c>
      <c r="H53" s="44">
        <f t="shared" si="11"/>
        <v>228394.96871569648</v>
      </c>
      <c r="I53" s="44">
        <f t="shared" si="11"/>
        <v>250105.60026344412</v>
      </c>
      <c r="J53" s="44">
        <f t="shared" si="11"/>
        <v>268966.68998179148</v>
      </c>
      <c r="K53" s="44">
        <f t="shared" si="11"/>
        <v>275782.23901187337</v>
      </c>
      <c r="L53" s="44">
        <f t="shared" si="11"/>
        <v>276582.56204744295</v>
      </c>
      <c r="M53" s="44">
        <f t="shared" si="11"/>
        <v>297901.94971930626</v>
      </c>
      <c r="N53" s="44">
        <f t="shared" si="11"/>
        <v>293506.95952153334</v>
      </c>
      <c r="O53" s="44">
        <f t="shared" si="11"/>
        <v>309745.33216610953</v>
      </c>
      <c r="P53" s="44">
        <f t="shared" si="11"/>
        <v>332834.46950353635</v>
      </c>
      <c r="Q53" s="44">
        <f t="shared" si="11"/>
        <v>358232.16427740396</v>
      </c>
      <c r="R53" s="44">
        <f t="shared" si="11"/>
        <v>368678.18545701634</v>
      </c>
      <c r="S53" s="44">
        <f t="shared" si="11"/>
        <v>371329.84474376327</v>
      </c>
      <c r="T53" s="44">
        <f t="shared" si="11"/>
        <v>347574.24544824415</v>
      </c>
      <c r="U53" s="44">
        <f t="shared" si="11"/>
        <v>376053.09948918747</v>
      </c>
      <c r="V53" s="44">
        <f t="shared" si="11"/>
        <v>365667.31631129008</v>
      </c>
    </row>
    <row r="54" spans="1:23" x14ac:dyDescent="0.2">
      <c r="A54" s="20"/>
      <c r="B54" s="36" t="s">
        <v>64</v>
      </c>
      <c r="C54" s="78" t="s">
        <v>65</v>
      </c>
      <c r="D54" s="43">
        <f t="shared" ref="D54:V54" si="12">+D26</f>
        <v>126782.54276388661</v>
      </c>
      <c r="E54" s="43">
        <f t="shared" si="12"/>
        <v>143032.59975484706</v>
      </c>
      <c r="F54" s="43">
        <f t="shared" si="12"/>
        <v>141588.89093151753</v>
      </c>
      <c r="G54" s="43">
        <f t="shared" si="12"/>
        <v>134808.73944146308</v>
      </c>
      <c r="H54" s="43">
        <f t="shared" si="12"/>
        <v>157759.43939251304</v>
      </c>
      <c r="I54" s="43">
        <f t="shared" si="12"/>
        <v>169935.79883996848</v>
      </c>
      <c r="J54" s="43">
        <f t="shared" si="12"/>
        <v>175986.45012866412</v>
      </c>
      <c r="K54" s="43">
        <f t="shared" si="12"/>
        <v>193512.06782907734</v>
      </c>
      <c r="L54" s="43">
        <f t="shared" si="12"/>
        <v>199449.5292502612</v>
      </c>
      <c r="M54" s="43">
        <f t="shared" si="12"/>
        <v>237636.1197012816</v>
      </c>
      <c r="N54" s="43">
        <f t="shared" si="12"/>
        <v>240985.16621018582</v>
      </c>
      <c r="O54" s="43">
        <f t="shared" si="12"/>
        <v>245558.00420047733</v>
      </c>
      <c r="P54" s="43">
        <f t="shared" si="12"/>
        <v>266715.59808947309</v>
      </c>
      <c r="Q54" s="43">
        <f t="shared" si="12"/>
        <v>292442.27969554323</v>
      </c>
      <c r="R54" s="43">
        <f t="shared" si="12"/>
        <v>304756.02202224766</v>
      </c>
      <c r="S54" s="43">
        <f t="shared" si="12"/>
        <v>293864.68178185861</v>
      </c>
      <c r="T54" s="43">
        <f t="shared" si="12"/>
        <v>283252.97657648916</v>
      </c>
      <c r="U54" s="43">
        <f t="shared" si="12"/>
        <v>298034.32586956298</v>
      </c>
      <c r="V54" s="43">
        <f t="shared" si="12"/>
        <v>298548.3388057971</v>
      </c>
    </row>
    <row r="55" spans="1:23" x14ac:dyDescent="0.2">
      <c r="A55" s="22"/>
      <c r="B55" s="38" t="s">
        <v>66</v>
      </c>
      <c r="C55" s="79" t="s">
        <v>67</v>
      </c>
      <c r="D55" s="45">
        <f t="shared" ref="D55:V55" si="13">+D52/D$26*100</f>
        <v>91.663497333888301</v>
      </c>
      <c r="E55" s="45">
        <f t="shared" si="13"/>
        <v>94.925629201240184</v>
      </c>
      <c r="F55" s="45">
        <f t="shared" si="13"/>
        <v>94.910793809708395</v>
      </c>
      <c r="G55" s="45">
        <f t="shared" si="13"/>
        <v>98.10509028741177</v>
      </c>
      <c r="H55" s="45">
        <f t="shared" si="13"/>
        <v>97.92902551856703</v>
      </c>
      <c r="I55" s="45">
        <f t="shared" si="13"/>
        <v>97.309823146410466</v>
      </c>
      <c r="J55" s="45">
        <f t="shared" si="13"/>
        <v>96.72011708710464</v>
      </c>
      <c r="K55" s="45">
        <f t="shared" si="13"/>
        <v>93.684843028427807</v>
      </c>
      <c r="L55" s="45">
        <f t="shared" si="13"/>
        <v>97.498605643169725</v>
      </c>
      <c r="M55" s="45">
        <f t="shared" si="13"/>
        <v>94.174685424177156</v>
      </c>
      <c r="N55" s="45">
        <f t="shared" si="13"/>
        <v>92.353522252724446</v>
      </c>
      <c r="O55" s="45">
        <f t="shared" si="13"/>
        <v>97.107149125221824</v>
      </c>
      <c r="P55" s="45">
        <f t="shared" si="13"/>
        <v>96.739979341122947</v>
      </c>
      <c r="Q55" s="45">
        <f t="shared" si="13"/>
        <v>96.23002955695847</v>
      </c>
      <c r="R55" s="45">
        <f t="shared" si="13"/>
        <v>95.342482730944539</v>
      </c>
      <c r="S55" s="45">
        <f t="shared" si="13"/>
        <v>97.525157681329162</v>
      </c>
      <c r="T55" s="45">
        <f t="shared" si="13"/>
        <v>98.47790330160403</v>
      </c>
      <c r="U55" s="45">
        <f t="shared" si="13"/>
        <v>98.895210878411575</v>
      </c>
      <c r="V55" s="45">
        <f t="shared" si="13"/>
        <v>97.137285689848369</v>
      </c>
    </row>
    <row r="56" spans="1:23" x14ac:dyDescent="0.2">
      <c r="B56" s="1" t="s">
        <v>52</v>
      </c>
      <c r="C56" s="15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3"/>
    </row>
    <row r="61" spans="1:23" ht="18" customHeight="1" x14ac:dyDescent="0.2">
      <c r="C61" s="131"/>
      <c r="D61" s="155" t="s">
        <v>68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</row>
    <row r="62" spans="1:23" x14ac:dyDescent="0.2">
      <c r="U62" s="29"/>
      <c r="V62" s="29"/>
    </row>
    <row r="63" spans="1:23" x14ac:dyDescent="0.2">
      <c r="B63" s="158"/>
      <c r="C63" s="159" t="s">
        <v>38</v>
      </c>
      <c r="D63" s="153">
        <v>2000</v>
      </c>
      <c r="E63" s="153">
        <v>2001</v>
      </c>
      <c r="F63" s="153">
        <v>2002</v>
      </c>
      <c r="G63" s="153">
        <v>2003</v>
      </c>
      <c r="H63" s="153">
        <v>2004</v>
      </c>
      <c r="I63" s="153">
        <v>2005</v>
      </c>
      <c r="J63" s="153">
        <v>2006</v>
      </c>
      <c r="K63" s="153">
        <v>2007</v>
      </c>
      <c r="L63" s="153">
        <v>2008</v>
      </c>
      <c r="M63" s="153">
        <v>2009</v>
      </c>
      <c r="N63" s="153">
        <v>2010</v>
      </c>
      <c r="O63" s="153">
        <v>2011</v>
      </c>
      <c r="P63" s="153">
        <v>2012</v>
      </c>
      <c r="Q63" s="153">
        <v>2013</v>
      </c>
      <c r="R63" s="153">
        <v>2014</v>
      </c>
      <c r="S63" s="153">
        <v>2015</v>
      </c>
      <c r="T63" s="153">
        <v>2016</v>
      </c>
      <c r="U63" s="153">
        <v>2017</v>
      </c>
      <c r="V63" s="153">
        <v>2018</v>
      </c>
    </row>
    <row r="64" spans="1:23" ht="12" customHeight="1" thickBot="1" x14ac:dyDescent="0.25">
      <c r="B64" s="154"/>
      <c r="C64" s="160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2:22" ht="12.75" customHeight="1" x14ac:dyDescent="0.2">
      <c r="B65" s="34" t="s">
        <v>39</v>
      </c>
      <c r="C65" s="76" t="s">
        <v>40</v>
      </c>
      <c r="D65" s="46">
        <f t="shared" ref="D65:V65" si="14">+IFERROR(IF(D39&gt;0,+((D39/D13)*100)," "),"")</f>
        <v>94.932289539555555</v>
      </c>
      <c r="E65" s="46">
        <f t="shared" si="14"/>
        <v>96.237721411121527</v>
      </c>
      <c r="F65" s="46">
        <f t="shared" si="14"/>
        <v>97.893496224903942</v>
      </c>
      <c r="G65" s="46">
        <f t="shared" si="14"/>
        <v>98.146559458328298</v>
      </c>
      <c r="H65" s="46">
        <f t="shared" si="14"/>
        <v>98.622380290304719</v>
      </c>
      <c r="I65" s="46">
        <f t="shared" si="14"/>
        <v>98.160413207794136</v>
      </c>
      <c r="J65" s="46">
        <f t="shared" si="14"/>
        <v>97.886144839682004</v>
      </c>
      <c r="K65" s="46">
        <f t="shared" si="14"/>
        <v>95.679795313690335</v>
      </c>
      <c r="L65" s="46">
        <f t="shared" si="14"/>
        <v>97.52371825609319</v>
      </c>
      <c r="M65" s="46">
        <f t="shared" si="14"/>
        <v>94.529092965709765</v>
      </c>
      <c r="N65" s="46">
        <f t="shared" si="14"/>
        <v>91.983290185035244</v>
      </c>
      <c r="O65" s="46">
        <f t="shared" si="14"/>
        <v>98.062835266629634</v>
      </c>
      <c r="P65" s="46">
        <f t="shared" si="14"/>
        <v>97.766714692032281</v>
      </c>
      <c r="Q65" s="46">
        <f t="shared" si="14"/>
        <v>96.665596480826721</v>
      </c>
      <c r="R65" s="46">
        <f t="shared" si="14"/>
        <v>95.078670761247324</v>
      </c>
      <c r="S65" s="46">
        <f t="shared" si="14"/>
        <v>97.826289839176468</v>
      </c>
      <c r="T65" s="46">
        <f t="shared" si="14"/>
        <v>98.956883759356913</v>
      </c>
      <c r="U65" s="46">
        <f t="shared" si="14"/>
        <v>99.137014390568069</v>
      </c>
      <c r="V65" s="46">
        <f t="shared" si="14"/>
        <v>97.200335529479347</v>
      </c>
    </row>
    <row r="66" spans="2:22" x14ac:dyDescent="0.2">
      <c r="B66" s="40"/>
      <c r="C66" s="77" t="s">
        <v>56</v>
      </c>
      <c r="D66" s="47">
        <f t="shared" ref="D66:V66" si="15">+IFERROR(IF(D40&gt;0,+((D40/D14)*100)," "),"")</f>
        <v>98.087237490222762</v>
      </c>
      <c r="E66" s="47">
        <f t="shared" si="15"/>
        <v>97.97722628895005</v>
      </c>
      <c r="F66" s="47">
        <f t="shared" si="15"/>
        <v>98.522576730374539</v>
      </c>
      <c r="G66" s="47">
        <f t="shared" si="15"/>
        <v>98.586426725982463</v>
      </c>
      <c r="H66" s="47">
        <f t="shared" si="15"/>
        <v>98.630873658360656</v>
      </c>
      <c r="I66" s="47">
        <f t="shared" si="15"/>
        <v>98.855024373886209</v>
      </c>
      <c r="J66" s="47">
        <f t="shared" si="15"/>
        <v>98.208660257864594</v>
      </c>
      <c r="K66" s="47">
        <f t="shared" si="15"/>
        <v>97.48353478582753</v>
      </c>
      <c r="L66" s="47">
        <f t="shared" si="15"/>
        <v>97.399483440043994</v>
      </c>
      <c r="M66" s="47">
        <f t="shared" si="15"/>
        <v>97.358379934196137</v>
      </c>
      <c r="N66" s="47">
        <f t="shared" si="15"/>
        <v>95.549834180875536</v>
      </c>
      <c r="O66" s="47">
        <f t="shared" si="15"/>
        <v>98.525502117204738</v>
      </c>
      <c r="P66" s="47">
        <f t="shared" si="15"/>
        <v>97.279895203645836</v>
      </c>
      <c r="Q66" s="47">
        <f t="shared" si="15"/>
        <v>95.568679806240823</v>
      </c>
      <c r="R66" s="47">
        <f t="shared" si="15"/>
        <v>94.602745438862542</v>
      </c>
      <c r="S66" s="47">
        <f t="shared" si="15"/>
        <v>95.975353469968013</v>
      </c>
      <c r="T66" s="47">
        <f t="shared" si="15"/>
        <v>98.594332485726753</v>
      </c>
      <c r="U66" s="47">
        <f t="shared" si="15"/>
        <v>98.774260385916151</v>
      </c>
      <c r="V66" s="47">
        <f t="shared" si="15"/>
        <v>96.836519891536071</v>
      </c>
    </row>
    <row r="67" spans="2:22" x14ac:dyDescent="0.2">
      <c r="B67" s="40"/>
      <c r="C67" s="77" t="s">
        <v>57</v>
      </c>
      <c r="D67" s="47">
        <f t="shared" ref="D67:V67" si="16">+IFERROR(IF(D41&gt;0,+((D41/D15)*100)," "),"")</f>
        <v>93.139836752508558</v>
      </c>
      <c r="E67" s="47">
        <f t="shared" si="16"/>
        <v>95.665654829715606</v>
      </c>
      <c r="F67" s="47">
        <f t="shared" si="16"/>
        <v>96.806705427962171</v>
      </c>
      <c r="G67" s="47">
        <f t="shared" si="16"/>
        <v>97.714316972265465</v>
      </c>
      <c r="H67" s="47">
        <f t="shared" si="16"/>
        <v>97.572212836936771</v>
      </c>
      <c r="I67" s="47">
        <f t="shared" si="16"/>
        <v>97.766118042632982</v>
      </c>
      <c r="J67" s="47">
        <f t="shared" si="16"/>
        <v>97.578380304430951</v>
      </c>
      <c r="K67" s="47">
        <f t="shared" si="16"/>
        <v>95.341106767225909</v>
      </c>
      <c r="L67" s="47">
        <f t="shared" si="16"/>
        <v>98.189760963487316</v>
      </c>
      <c r="M67" s="47">
        <f t="shared" si="16"/>
        <v>98.034611585169401</v>
      </c>
      <c r="N67" s="47">
        <f t="shared" si="16"/>
        <v>97.337241044914464</v>
      </c>
      <c r="O67" s="47">
        <f t="shared" si="16"/>
        <v>96.731850415440718</v>
      </c>
      <c r="P67" s="47">
        <f t="shared" si="16"/>
        <v>96.182097473933027</v>
      </c>
      <c r="Q67" s="47">
        <f t="shared" si="16"/>
        <v>97.095840834487205</v>
      </c>
      <c r="R67" s="47">
        <f t="shared" si="16"/>
        <v>97.40889495259259</v>
      </c>
      <c r="S67" s="47">
        <f t="shared" si="16"/>
        <v>97.637236836163297</v>
      </c>
      <c r="T67" s="47">
        <f t="shared" si="16"/>
        <v>98.477679428295545</v>
      </c>
      <c r="U67" s="47">
        <f t="shared" si="16"/>
        <v>98.664552386762878</v>
      </c>
      <c r="V67" s="47">
        <f t="shared" si="16"/>
        <v>98.230525857218581</v>
      </c>
    </row>
    <row r="68" spans="2:22" x14ac:dyDescent="0.2">
      <c r="B68" s="40"/>
      <c r="C68" s="77" t="s">
        <v>58</v>
      </c>
      <c r="D68" s="47">
        <f t="shared" ref="D68:V68" si="17">+IFERROR(IF(D42&gt;0,+((D42/D16)*100)," "),"")</f>
        <v>94.020389732380778</v>
      </c>
      <c r="E68" s="47">
        <f t="shared" si="17"/>
        <v>95.800847124460731</v>
      </c>
      <c r="F68" s="47">
        <f t="shared" si="17"/>
        <v>97.985864421235519</v>
      </c>
      <c r="G68" s="47">
        <f t="shared" si="17"/>
        <v>98.110662920753981</v>
      </c>
      <c r="H68" s="47">
        <f t="shared" si="17"/>
        <v>98.763616948407417</v>
      </c>
      <c r="I68" s="47">
        <f t="shared" si="17"/>
        <v>98.073608666261848</v>
      </c>
      <c r="J68" s="47">
        <f t="shared" si="17"/>
        <v>97.931970251965765</v>
      </c>
      <c r="K68" s="47">
        <f t="shared" si="17"/>
        <v>95.335904036793067</v>
      </c>
      <c r="L68" s="47">
        <f t="shared" si="17"/>
        <v>97.606272711109852</v>
      </c>
      <c r="M68" s="47">
        <f t="shared" si="17"/>
        <v>93.521510895492298</v>
      </c>
      <c r="N68" s="47">
        <f t="shared" si="17"/>
        <v>90.535837968536512</v>
      </c>
      <c r="O68" s="47">
        <f t="shared" si="17"/>
        <v>98.36751296992</v>
      </c>
      <c r="P68" s="47">
        <f t="shared" si="17"/>
        <v>98.39483900985762</v>
      </c>
      <c r="Q68" s="47">
        <f t="shared" si="17"/>
        <v>97.247308567290318</v>
      </c>
      <c r="R68" s="47">
        <f t="shared" si="17"/>
        <v>95.08242026955368</v>
      </c>
      <c r="S68" s="47">
        <f t="shared" si="17"/>
        <v>98.689040805971345</v>
      </c>
      <c r="T68" s="47">
        <f t="shared" si="17"/>
        <v>99.230300545393291</v>
      </c>
      <c r="U68" s="47">
        <f t="shared" si="17"/>
        <v>99.313254020223823</v>
      </c>
      <c r="V68" s="47">
        <f t="shared" si="17"/>
        <v>97.216575754819075</v>
      </c>
    </row>
    <row r="69" spans="2:22" x14ac:dyDescent="0.2">
      <c r="B69" s="40"/>
      <c r="C69" s="77" t="s">
        <v>59</v>
      </c>
      <c r="D69" s="47">
        <f t="shared" ref="D69:V69" si="18">+IFERROR(IF(D43&gt;0,+((D43/D17)*100)," "),"")</f>
        <v>93.456370911872781</v>
      </c>
      <c r="E69" s="47">
        <f t="shared" si="18"/>
        <v>91.939658484266545</v>
      </c>
      <c r="F69" s="47">
        <f t="shared" si="18"/>
        <v>89.907850580285128</v>
      </c>
      <c r="G69" s="47">
        <f t="shared" si="18"/>
        <v>95.567476576798171</v>
      </c>
      <c r="H69" s="47">
        <f t="shared" si="18"/>
        <v>96.137850239324578</v>
      </c>
      <c r="I69" s="47">
        <f t="shared" si="18"/>
        <v>95.564091440822182</v>
      </c>
      <c r="J69" s="47">
        <f t="shared" si="18"/>
        <v>93.669403862649972</v>
      </c>
      <c r="K69" s="47">
        <f t="shared" si="18"/>
        <v>89.420595930136088</v>
      </c>
      <c r="L69" s="47">
        <f t="shared" si="18"/>
        <v>92.095687709859504</v>
      </c>
      <c r="M69" s="47">
        <f t="shared" si="18"/>
        <v>91.146412231256875</v>
      </c>
      <c r="N69" s="47">
        <f t="shared" si="18"/>
        <v>95.333429715553279</v>
      </c>
      <c r="O69" s="47">
        <f t="shared" si="18"/>
        <v>86.357568714849322</v>
      </c>
      <c r="P69" s="47">
        <f t="shared" si="18"/>
        <v>84.727189263527109</v>
      </c>
      <c r="Q69" s="47">
        <f t="shared" si="18"/>
        <v>83.1799671070778</v>
      </c>
      <c r="R69" s="47">
        <f t="shared" si="18"/>
        <v>90.239913250285369</v>
      </c>
      <c r="S69" s="47">
        <f t="shared" si="18"/>
        <v>84.982801322796831</v>
      </c>
      <c r="T69" s="47">
        <f t="shared" si="18"/>
        <v>92.885489308648005</v>
      </c>
      <c r="U69" s="47">
        <f t="shared" si="18"/>
        <v>96.6844451852661</v>
      </c>
      <c r="V69" s="47">
        <f t="shared" si="18"/>
        <v>97.75567247355832</v>
      </c>
    </row>
    <row r="70" spans="2:22" x14ac:dyDescent="0.2">
      <c r="B70" s="34" t="s">
        <v>41</v>
      </c>
      <c r="C70" s="76" t="s">
        <v>42</v>
      </c>
      <c r="D70" s="46">
        <f t="shared" ref="D70:V70" si="19">+IFERROR(IF(D44&gt;0,+((D44/D18)*100)," "),"")</f>
        <v>95.13397250045881</v>
      </c>
      <c r="E70" s="46">
        <f t="shared" si="19"/>
        <v>98.615062434248784</v>
      </c>
      <c r="F70" s="46">
        <f t="shared" si="19"/>
        <v>98.964935525299666</v>
      </c>
      <c r="G70" s="46">
        <f t="shared" si="19"/>
        <v>99.194032124125656</v>
      </c>
      <c r="H70" s="46">
        <f t="shared" si="19"/>
        <v>95.507228869921718</v>
      </c>
      <c r="I70" s="46">
        <f t="shared" si="19"/>
        <v>97.838849626042418</v>
      </c>
      <c r="J70" s="46">
        <f t="shared" si="19"/>
        <v>96.563767776902083</v>
      </c>
      <c r="K70" s="46">
        <f t="shared" si="19"/>
        <v>96.689851450092149</v>
      </c>
      <c r="L70" s="46">
        <f t="shared" si="19"/>
        <v>91.495590025732838</v>
      </c>
      <c r="M70" s="46">
        <f t="shared" si="19"/>
        <v>88.427831373235023</v>
      </c>
      <c r="N70" s="46">
        <f t="shared" si="19"/>
        <v>81.086689044938879</v>
      </c>
      <c r="O70" s="46">
        <f t="shared" si="19"/>
        <v>95.81378964253264</v>
      </c>
      <c r="P70" s="46">
        <f t="shared" si="19"/>
        <v>99.538403923844072</v>
      </c>
      <c r="Q70" s="46">
        <f t="shared" si="19"/>
        <v>85.167399196171687</v>
      </c>
      <c r="R70" s="46">
        <f t="shared" si="19"/>
        <v>97.6474868141147</v>
      </c>
      <c r="S70" s="46">
        <f t="shared" si="19"/>
        <v>98.591360841587658</v>
      </c>
      <c r="T70" s="46">
        <f t="shared" si="19"/>
        <v>84.934335468371131</v>
      </c>
      <c r="U70" s="46">
        <f t="shared" si="19"/>
        <v>97.826645341902363</v>
      </c>
      <c r="V70" s="46">
        <f t="shared" si="19"/>
        <v>97.99920649132811</v>
      </c>
    </row>
    <row r="71" spans="2:22" x14ac:dyDescent="0.2">
      <c r="B71" s="34"/>
      <c r="C71" s="76" t="s">
        <v>43</v>
      </c>
      <c r="D71" s="46">
        <f t="shared" ref="D71:V71" si="20">+IFERROR(IF(D45&gt;0,+((D45/D19)*100)," "),"")</f>
        <v>97.272970544375482</v>
      </c>
      <c r="E71" s="46">
        <f t="shared" si="20"/>
        <v>98.236153469509077</v>
      </c>
      <c r="F71" s="46">
        <f t="shared" si="20"/>
        <v>98.518056226966181</v>
      </c>
      <c r="G71" s="46">
        <f t="shared" si="20"/>
        <v>99.265479327649913</v>
      </c>
      <c r="H71" s="46">
        <f t="shared" si="20"/>
        <v>90.249588555679253</v>
      </c>
      <c r="I71" s="46">
        <f t="shared" si="20"/>
        <v>97.810705573956085</v>
      </c>
      <c r="J71" s="46">
        <f t="shared" si="20"/>
        <v>90.818989350761854</v>
      </c>
      <c r="K71" s="46">
        <f t="shared" si="20"/>
        <v>96.579582035136852</v>
      </c>
      <c r="L71" s="46">
        <f t="shared" si="20"/>
        <v>89.550528725751576</v>
      </c>
      <c r="M71" s="46">
        <f t="shared" si="20"/>
        <v>83.089149843931381</v>
      </c>
      <c r="N71" s="46">
        <f t="shared" si="20"/>
        <v>81.634272985352467</v>
      </c>
      <c r="O71" s="46">
        <f t="shared" si="20"/>
        <v>87.134232122752437</v>
      </c>
      <c r="P71" s="46">
        <f t="shared" si="20"/>
        <v>98.717871629869492</v>
      </c>
      <c r="Q71" s="46">
        <f t="shared" si="20"/>
        <v>97.208202594122085</v>
      </c>
      <c r="R71" s="46">
        <f t="shared" si="20"/>
        <v>98.122537401281733</v>
      </c>
      <c r="S71" s="46">
        <f t="shared" si="20"/>
        <v>98.864303193123888</v>
      </c>
      <c r="T71" s="46">
        <f t="shared" si="20"/>
        <v>96.043420022846206</v>
      </c>
      <c r="U71" s="46">
        <f t="shared" si="20"/>
        <v>97.047810592109769</v>
      </c>
      <c r="V71" s="46">
        <f t="shared" si="20"/>
        <v>99.951362422736523</v>
      </c>
    </row>
    <row r="72" spans="2:22" x14ac:dyDescent="0.2">
      <c r="B72" s="32"/>
      <c r="C72" s="77" t="s">
        <v>60</v>
      </c>
      <c r="D72" s="47">
        <f t="shared" ref="D72:V72" si="21">+IFERROR(IF(D46&gt;0,+((D46/D20)*100)," "),"")</f>
        <v>97.355893919192411</v>
      </c>
      <c r="E72" s="47">
        <f t="shared" si="21"/>
        <v>98.481399118001121</v>
      </c>
      <c r="F72" s="47">
        <f t="shared" si="21"/>
        <v>98.93016029040885</v>
      </c>
      <c r="G72" s="47">
        <f t="shared" si="21"/>
        <v>99.160555395152315</v>
      </c>
      <c r="H72" s="47">
        <f t="shared" si="21"/>
        <v>90.860770275630486</v>
      </c>
      <c r="I72" s="47">
        <f t="shared" si="21"/>
        <v>98.170157471357669</v>
      </c>
      <c r="J72" s="47">
        <f t="shared" si="21"/>
        <v>91.191653854725203</v>
      </c>
      <c r="K72" s="47">
        <f t="shared" si="21"/>
        <v>94.589999348209503</v>
      </c>
      <c r="L72" s="47">
        <f t="shared" si="21"/>
        <v>84.016604182096472</v>
      </c>
      <c r="M72" s="47">
        <f t="shared" si="21"/>
        <v>83.587062493140081</v>
      </c>
      <c r="N72" s="47">
        <f t="shared" si="21"/>
        <v>86.640688780666991</v>
      </c>
      <c r="O72" s="47">
        <f t="shared" si="21"/>
        <v>78.482917027138527</v>
      </c>
      <c r="P72" s="47">
        <f t="shared" si="21"/>
        <v>99.976776958306672</v>
      </c>
      <c r="Q72" s="47">
        <f t="shared" si="21"/>
        <v>98.172195874067341</v>
      </c>
      <c r="R72" s="47">
        <f t="shared" si="21"/>
        <v>97.123765688935549</v>
      </c>
      <c r="S72" s="47">
        <f t="shared" si="21"/>
        <v>98.669191798204011</v>
      </c>
      <c r="T72" s="47">
        <f t="shared" si="21"/>
        <v>96.01762521187382</v>
      </c>
      <c r="U72" s="47">
        <f t="shared" si="21"/>
        <v>97.185137731190579</v>
      </c>
      <c r="V72" s="47">
        <f t="shared" si="21"/>
        <v>99.994519786176355</v>
      </c>
    </row>
    <row r="73" spans="2:22" x14ac:dyDescent="0.2">
      <c r="B73" s="32"/>
      <c r="C73" s="77" t="s">
        <v>61</v>
      </c>
      <c r="D73" s="47">
        <f t="shared" ref="D73:V73" si="22">+IFERROR(IF(D47&gt;0,+((D47/D21)*100)," "),"")</f>
        <v>97.187734831627836</v>
      </c>
      <c r="E73" s="47">
        <f t="shared" si="22"/>
        <v>97.919898606705175</v>
      </c>
      <c r="F73" s="47">
        <f t="shared" si="22"/>
        <v>97.911290829857492</v>
      </c>
      <c r="G73" s="47">
        <f t="shared" si="22"/>
        <v>99.418175958726053</v>
      </c>
      <c r="H73" s="47">
        <f t="shared" si="22"/>
        <v>89.695723709869569</v>
      </c>
      <c r="I73" s="47">
        <f t="shared" si="22"/>
        <v>97.131061581182379</v>
      </c>
      <c r="J73" s="47">
        <f t="shared" si="22"/>
        <v>90.430316699992773</v>
      </c>
      <c r="K73" s="47">
        <f t="shared" si="22"/>
        <v>98.433315398756562</v>
      </c>
      <c r="L73" s="47">
        <f t="shared" si="22"/>
        <v>95.185176806420301</v>
      </c>
      <c r="M73" s="47">
        <f t="shared" si="22"/>
        <v>82.740590635538325</v>
      </c>
      <c r="N73" s="47">
        <f t="shared" si="22"/>
        <v>77.537235729085012</v>
      </c>
      <c r="O73" s="47">
        <f t="shared" si="22"/>
        <v>93.664334890163587</v>
      </c>
      <c r="P73" s="47">
        <f t="shared" si="22"/>
        <v>97.368835889300271</v>
      </c>
      <c r="Q73" s="47">
        <f t="shared" si="22"/>
        <v>96.510830098807304</v>
      </c>
      <c r="R73" s="47">
        <f t="shared" si="22"/>
        <v>99.358430259655478</v>
      </c>
      <c r="S73" s="47">
        <f t="shared" si="22"/>
        <v>99.098805054552884</v>
      </c>
      <c r="T73" s="47">
        <f t="shared" si="22"/>
        <v>96.058411706367991</v>
      </c>
      <c r="U73" s="47">
        <f t="shared" si="22"/>
        <v>96.881778228596502</v>
      </c>
      <c r="V73" s="47">
        <f t="shared" si="22"/>
        <v>99.934980278776806</v>
      </c>
    </row>
    <row r="74" spans="2:22" x14ac:dyDescent="0.2">
      <c r="B74" s="34"/>
      <c r="C74" s="76" t="s">
        <v>44</v>
      </c>
      <c r="D74" s="46">
        <f t="shared" ref="D74:V74" si="23">+IFERROR(IF(D48&gt;0,+((D48/D22)*100)," "),"")</f>
        <v>94.174178757669864</v>
      </c>
      <c r="E74" s="46">
        <f t="shared" si="23"/>
        <v>98.838281843877624</v>
      </c>
      <c r="F74" s="46">
        <f t="shared" si="23"/>
        <v>99.285691895973315</v>
      </c>
      <c r="G74" s="46">
        <f t="shared" si="23"/>
        <v>99.12586397406784</v>
      </c>
      <c r="H74" s="46">
        <f t="shared" si="23"/>
        <v>98.336298740453316</v>
      </c>
      <c r="I74" s="46">
        <f t="shared" si="23"/>
        <v>97.858829742284541</v>
      </c>
      <c r="J74" s="46">
        <f t="shared" si="23"/>
        <v>98.71862962615478</v>
      </c>
      <c r="K74" s="46">
        <f t="shared" si="23"/>
        <v>96.716774211276771</v>
      </c>
      <c r="L74" s="46">
        <f t="shared" si="23"/>
        <v>92.014781795283596</v>
      </c>
      <c r="M74" s="46">
        <f t="shared" si="23"/>
        <v>89.96264069740117</v>
      </c>
      <c r="N74" s="46">
        <f t="shared" si="23"/>
        <v>80.935706717205591</v>
      </c>
      <c r="O74" s="46">
        <f t="shared" si="23"/>
        <v>97.981180509933438</v>
      </c>
      <c r="P74" s="46">
        <f t="shared" si="23"/>
        <v>99.718777348736793</v>
      </c>
      <c r="Q74" s="46">
        <f t="shared" si="23"/>
        <v>82.899419741201569</v>
      </c>
      <c r="R74" s="46">
        <f t="shared" si="23"/>
        <v>97.513441814738172</v>
      </c>
      <c r="S74" s="46">
        <f t="shared" si="23"/>
        <v>98.506536095026092</v>
      </c>
      <c r="T74" s="46">
        <f t="shared" si="23"/>
        <v>82.030902771071297</v>
      </c>
      <c r="U74" s="46">
        <f t="shared" si="23"/>
        <v>98.141806822461632</v>
      </c>
      <c r="V74" s="46">
        <f t="shared" si="23"/>
        <v>97.405707193855065</v>
      </c>
    </row>
    <row r="75" spans="2:22" x14ac:dyDescent="0.2">
      <c r="B75" s="32"/>
      <c r="C75" s="77" t="s">
        <v>60</v>
      </c>
      <c r="D75" s="47">
        <f t="shared" ref="D75:V75" si="24">+IFERROR(IF(D49&gt;0,+((D49/D23)*100)," "),"")</f>
        <v>95.170612990135396</v>
      </c>
      <c r="E75" s="47">
        <f t="shared" si="24"/>
        <v>98.674932714766157</v>
      </c>
      <c r="F75" s="47">
        <f t="shared" si="24"/>
        <v>99.435224735694774</v>
      </c>
      <c r="G75" s="47">
        <f t="shared" si="24"/>
        <v>99.651555508077777</v>
      </c>
      <c r="H75" s="47">
        <f t="shared" si="24"/>
        <v>98.900241151700783</v>
      </c>
      <c r="I75" s="47">
        <f t="shared" si="24"/>
        <v>98.699364310674028</v>
      </c>
      <c r="J75" s="47">
        <f t="shared" si="24"/>
        <v>99.533245241804963</v>
      </c>
      <c r="K75" s="47">
        <f t="shared" si="24"/>
        <v>95.590676861237284</v>
      </c>
      <c r="L75" s="47">
        <f t="shared" si="24"/>
        <v>87.865247013167462</v>
      </c>
      <c r="M75" s="47">
        <f t="shared" si="24"/>
        <v>85.34998364747895</v>
      </c>
      <c r="N75" s="47">
        <f t="shared" si="24"/>
        <v>76.242575643688483</v>
      </c>
      <c r="O75" s="47">
        <f t="shared" si="24"/>
        <v>96.927083622465716</v>
      </c>
      <c r="P75" s="47">
        <f t="shared" si="24"/>
        <v>99.548281168110734</v>
      </c>
      <c r="Q75" s="47">
        <f t="shared" si="24"/>
        <v>78.984788213106071</v>
      </c>
      <c r="R75" s="47">
        <f t="shared" si="24"/>
        <v>97.46092224970667</v>
      </c>
      <c r="S75" s="47">
        <f t="shared" si="24"/>
        <v>99.895478393148409</v>
      </c>
      <c r="T75" s="47">
        <f t="shared" si="24"/>
        <v>69.593905862466869</v>
      </c>
      <c r="U75" s="47">
        <f t="shared" si="24"/>
        <v>99.756062114259379</v>
      </c>
      <c r="V75" s="47">
        <f t="shared" si="24"/>
        <v>96.965213923575362</v>
      </c>
    </row>
    <row r="76" spans="2:22" x14ac:dyDescent="0.2">
      <c r="B76" s="32"/>
      <c r="C76" s="77" t="s">
        <v>61</v>
      </c>
      <c r="D76" s="47">
        <f t="shared" ref="D76:V76" si="25">+IFERROR(IF(D50&gt;0,+((D50/D24)*100)," "),"")</f>
        <v>92.901261746480301</v>
      </c>
      <c r="E76" s="47">
        <f t="shared" si="25"/>
        <v>99.109954885825175</v>
      </c>
      <c r="F76" s="47">
        <f t="shared" si="25"/>
        <v>99.054371208661138</v>
      </c>
      <c r="G76" s="47">
        <f t="shared" si="25"/>
        <v>98.576955583450086</v>
      </c>
      <c r="H76" s="47">
        <f t="shared" si="25"/>
        <v>97.634634075737097</v>
      </c>
      <c r="I76" s="47">
        <f t="shared" si="25"/>
        <v>96.94255485660868</v>
      </c>
      <c r="J76" s="47">
        <f t="shared" si="25"/>
        <v>97.471859641459588</v>
      </c>
      <c r="K76" s="47">
        <f t="shared" si="25"/>
        <v>98.443250512640773</v>
      </c>
      <c r="L76" s="47">
        <f t="shared" si="25"/>
        <v>98.375634779855091</v>
      </c>
      <c r="M76" s="47">
        <f t="shared" si="25"/>
        <v>95.78406288174854</v>
      </c>
      <c r="N76" s="47">
        <f t="shared" si="25"/>
        <v>87.437712240974463</v>
      </c>
      <c r="O76" s="47">
        <f t="shared" si="25"/>
        <v>99.148318757911653</v>
      </c>
      <c r="P76" s="47">
        <f t="shared" si="25"/>
        <v>99.934512956822175</v>
      </c>
      <c r="Q76" s="47">
        <f t="shared" si="25"/>
        <v>88.985343416353331</v>
      </c>
      <c r="R76" s="47">
        <f t="shared" si="25"/>
        <v>97.579419996413634</v>
      </c>
      <c r="S76" s="47">
        <f t="shared" si="25"/>
        <v>96.671421835065189</v>
      </c>
      <c r="T76" s="47">
        <f t="shared" si="25"/>
        <v>96.511622650620524</v>
      </c>
      <c r="U76" s="47">
        <f t="shared" si="25"/>
        <v>96.648797408588052</v>
      </c>
      <c r="V76" s="47">
        <f t="shared" si="25"/>
        <v>97.749604870617418</v>
      </c>
    </row>
    <row r="77" spans="2:22" x14ac:dyDescent="0.2">
      <c r="B77" s="34" t="s">
        <v>45</v>
      </c>
      <c r="C77" s="76" t="s">
        <v>46</v>
      </c>
      <c r="D77" s="46">
        <f t="shared" ref="D77:V77" si="26">+IFERROR(IF(D51&gt;0,+((D51/D25)*100)," "),"")</f>
        <v>80.328413452785043</v>
      </c>
      <c r="E77" s="46">
        <f t="shared" si="26"/>
        <v>91.506175293855691</v>
      </c>
      <c r="F77" s="46">
        <f t="shared" si="26"/>
        <v>85.608393039853453</v>
      </c>
      <c r="G77" s="46">
        <f t="shared" si="26"/>
        <v>97.941115639634518</v>
      </c>
      <c r="H77" s="46">
        <f t="shared" si="26"/>
        <v>95.221298515953066</v>
      </c>
      <c r="I77" s="46">
        <f t="shared" si="26"/>
        <v>93.980050899499673</v>
      </c>
      <c r="J77" s="46">
        <f t="shared" si="26"/>
        <v>92.672105390482415</v>
      </c>
      <c r="K77" s="46">
        <f t="shared" si="26"/>
        <v>88.280591548463306</v>
      </c>
      <c r="L77" s="46">
        <f t="shared" si="26"/>
        <v>97.425488878885858</v>
      </c>
      <c r="M77" s="46">
        <f t="shared" si="26"/>
        <v>93.335863583955785</v>
      </c>
      <c r="N77" s="46">
        <f t="shared" si="26"/>
        <v>93.566990145436364</v>
      </c>
      <c r="O77" s="46">
        <f t="shared" si="26"/>
        <v>94.685576772045437</v>
      </c>
      <c r="P77" s="46">
        <f t="shared" si="26"/>
        <v>94.282958287672784</v>
      </c>
      <c r="Q77" s="46">
        <f t="shared" si="26"/>
        <v>95.224340682546298</v>
      </c>
      <c r="R77" s="46">
        <f t="shared" si="26"/>
        <v>96.00386460866271</v>
      </c>
      <c r="S77" s="46">
        <f t="shared" si="26"/>
        <v>96.776851394611455</v>
      </c>
      <c r="T77" s="46">
        <f t="shared" si="26"/>
        <v>97.050791297858083</v>
      </c>
      <c r="U77" s="46">
        <f t="shared" si="26"/>
        <v>98.064298787639359</v>
      </c>
      <c r="V77" s="46">
        <f t="shared" si="26"/>
        <v>96.897784348358527</v>
      </c>
    </row>
    <row r="78" spans="2:22" x14ac:dyDescent="0.2">
      <c r="B78" s="36" t="s">
        <v>47</v>
      </c>
      <c r="C78" s="78" t="s">
        <v>48</v>
      </c>
      <c r="D78" s="48">
        <f t="shared" ref="D78:V78" si="27">+IFERROR(IF(D52&gt;0,+((D52/D26)*100)," "),"")</f>
        <v>91.663497333888301</v>
      </c>
      <c r="E78" s="48">
        <f t="shared" si="27"/>
        <v>94.925629201240184</v>
      </c>
      <c r="F78" s="48">
        <f t="shared" si="27"/>
        <v>94.910793809708395</v>
      </c>
      <c r="G78" s="48">
        <f t="shared" si="27"/>
        <v>98.10509028741177</v>
      </c>
      <c r="H78" s="48">
        <f t="shared" si="27"/>
        <v>97.92902551856703</v>
      </c>
      <c r="I78" s="48">
        <f t="shared" si="27"/>
        <v>97.309823146410466</v>
      </c>
      <c r="J78" s="48">
        <f t="shared" si="27"/>
        <v>96.72011708710464</v>
      </c>
      <c r="K78" s="48">
        <f t="shared" si="27"/>
        <v>93.684843028427807</v>
      </c>
      <c r="L78" s="48">
        <f t="shared" si="27"/>
        <v>97.498605643169725</v>
      </c>
      <c r="M78" s="48">
        <f t="shared" si="27"/>
        <v>94.174685424177156</v>
      </c>
      <c r="N78" s="48">
        <f t="shared" si="27"/>
        <v>92.353522252724446</v>
      </c>
      <c r="O78" s="48">
        <f t="shared" si="27"/>
        <v>97.107149125221824</v>
      </c>
      <c r="P78" s="48">
        <f t="shared" si="27"/>
        <v>96.739979341122947</v>
      </c>
      <c r="Q78" s="48">
        <f t="shared" si="27"/>
        <v>96.23002955695847</v>
      </c>
      <c r="R78" s="48">
        <f t="shared" si="27"/>
        <v>95.342482730944539</v>
      </c>
      <c r="S78" s="48">
        <f t="shared" si="27"/>
        <v>97.525157681329162</v>
      </c>
      <c r="T78" s="48">
        <f t="shared" si="27"/>
        <v>98.47790330160403</v>
      </c>
      <c r="U78" s="48">
        <f t="shared" si="27"/>
        <v>98.895210878411575</v>
      </c>
      <c r="V78" s="48">
        <f t="shared" si="27"/>
        <v>97.137285689848369</v>
      </c>
    </row>
    <row r="79" spans="2:22" x14ac:dyDescent="0.2">
      <c r="B79" s="38" t="s">
        <v>49</v>
      </c>
      <c r="C79" s="79" t="s">
        <v>63</v>
      </c>
      <c r="D79" s="45">
        <f t="shared" ref="D79:V79" si="28">+IFERROR(IF(D53&gt;0,+((D53/D27)*100)," "),"")</f>
        <v>92.798527297505615</v>
      </c>
      <c r="E79" s="45">
        <f t="shared" si="28"/>
        <v>96.183994413659306</v>
      </c>
      <c r="F79" s="45">
        <f t="shared" si="28"/>
        <v>96.305397097273868</v>
      </c>
      <c r="G79" s="45">
        <f t="shared" si="28"/>
        <v>98.520074519075678</v>
      </c>
      <c r="H79" s="45">
        <f t="shared" si="28"/>
        <v>97.132063286976106</v>
      </c>
      <c r="I79" s="45">
        <f t="shared" si="28"/>
        <v>97.488427165069751</v>
      </c>
      <c r="J79" s="45">
        <f t="shared" si="28"/>
        <v>96.662653915152006</v>
      </c>
      <c r="K79" s="45">
        <f t="shared" si="28"/>
        <v>94.693182038662499</v>
      </c>
      <c r="L79" s="45">
        <f t="shared" si="28"/>
        <v>95.63555907780497</v>
      </c>
      <c r="M79" s="45">
        <f t="shared" si="28"/>
        <v>92.676356857167903</v>
      </c>
      <c r="N79" s="45">
        <f t="shared" si="28"/>
        <v>89.352395384698795</v>
      </c>
      <c r="O79" s="45">
        <f t="shared" si="28"/>
        <v>96.806385783701458</v>
      </c>
      <c r="P79" s="45">
        <f t="shared" si="28"/>
        <v>97.355207005522118</v>
      </c>
      <c r="Q79" s="45">
        <f t="shared" si="28"/>
        <v>93.622402184319583</v>
      </c>
      <c r="R79" s="45">
        <f t="shared" si="28"/>
        <v>95.821739772450059</v>
      </c>
      <c r="S79" s="45">
        <f t="shared" si="28"/>
        <v>97.766430529344575</v>
      </c>
      <c r="T79" s="45">
        <f t="shared" si="28"/>
        <v>95.471771795844603</v>
      </c>
      <c r="U79" s="45">
        <f t="shared" si="28"/>
        <v>98.662188760829608</v>
      </c>
      <c r="V79" s="45">
        <f t="shared" si="28"/>
        <v>97.314391986876075</v>
      </c>
    </row>
    <row r="80" spans="2:22" x14ac:dyDescent="0.2">
      <c r="B80" s="1" t="s">
        <v>52</v>
      </c>
      <c r="C80" s="15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4">
        <f t="shared" ref="D81:V81" si="29">+D78-D55</f>
        <v>0</v>
      </c>
      <c r="E81" s="24">
        <f t="shared" si="29"/>
        <v>0</v>
      </c>
      <c r="F81" s="24">
        <f t="shared" si="29"/>
        <v>0</v>
      </c>
      <c r="G81" s="24">
        <f t="shared" si="29"/>
        <v>0</v>
      </c>
      <c r="H81" s="24">
        <f t="shared" si="29"/>
        <v>0</v>
      </c>
      <c r="I81" s="24">
        <f t="shared" si="29"/>
        <v>0</v>
      </c>
      <c r="J81" s="24">
        <f t="shared" si="29"/>
        <v>0</v>
      </c>
      <c r="K81" s="24">
        <f t="shared" si="29"/>
        <v>0</v>
      </c>
      <c r="L81" s="24">
        <f t="shared" si="29"/>
        <v>0</v>
      </c>
      <c r="M81" s="24">
        <f t="shared" si="29"/>
        <v>0</v>
      </c>
      <c r="N81" s="24">
        <f t="shared" si="29"/>
        <v>0</v>
      </c>
      <c r="O81" s="24">
        <f t="shared" si="29"/>
        <v>0</v>
      </c>
      <c r="P81" s="25">
        <f t="shared" si="29"/>
        <v>0</v>
      </c>
      <c r="Q81" s="24">
        <f t="shared" si="29"/>
        <v>0</v>
      </c>
      <c r="R81" s="24">
        <f t="shared" si="29"/>
        <v>0</v>
      </c>
      <c r="S81" s="24">
        <f t="shared" si="29"/>
        <v>0</v>
      </c>
      <c r="T81" s="24">
        <f t="shared" si="29"/>
        <v>0</v>
      </c>
      <c r="U81" s="24">
        <f t="shared" si="29"/>
        <v>0</v>
      </c>
      <c r="V81" s="24">
        <f t="shared" si="29"/>
        <v>0</v>
      </c>
    </row>
    <row r="83" spans="2:22" ht="18" customHeight="1" x14ac:dyDescent="0.2">
      <c r="C83" s="131"/>
      <c r="D83" s="155" t="s">
        <v>69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</row>
    <row r="84" spans="2:22" x14ac:dyDescent="0.2">
      <c r="B84" s="157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</row>
    <row r="85" spans="2:22" x14ac:dyDescent="0.2">
      <c r="B85" s="158"/>
      <c r="C85" s="159" t="s">
        <v>38</v>
      </c>
      <c r="D85" s="153">
        <v>2000</v>
      </c>
      <c r="E85" s="153">
        <v>2001</v>
      </c>
      <c r="F85" s="153">
        <v>2002</v>
      </c>
      <c r="G85" s="153">
        <v>2003</v>
      </c>
      <c r="H85" s="153">
        <v>2004</v>
      </c>
      <c r="I85" s="153">
        <v>2005</v>
      </c>
      <c r="J85" s="153">
        <v>2006</v>
      </c>
      <c r="K85" s="153">
        <v>2007</v>
      </c>
      <c r="L85" s="153">
        <v>2008</v>
      </c>
      <c r="M85" s="153">
        <v>2009</v>
      </c>
      <c r="N85" s="153">
        <v>2010</v>
      </c>
      <c r="O85" s="153">
        <v>2011</v>
      </c>
      <c r="P85" s="153">
        <v>2012</v>
      </c>
      <c r="Q85" s="153">
        <v>2013</v>
      </c>
      <c r="R85" s="153">
        <v>2014</v>
      </c>
      <c r="S85" s="153">
        <v>2015</v>
      </c>
      <c r="T85" s="153">
        <v>2016</v>
      </c>
      <c r="U85" s="153">
        <v>2017</v>
      </c>
      <c r="V85" s="153">
        <v>2018</v>
      </c>
    </row>
    <row r="86" spans="2:22" ht="12" customHeight="1" thickBot="1" x14ac:dyDescent="0.25">
      <c r="B86" s="154"/>
      <c r="C86" s="160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</row>
    <row r="87" spans="2:22" x14ac:dyDescent="0.2">
      <c r="B87" s="34" t="s">
        <v>39</v>
      </c>
      <c r="C87" s="76" t="s">
        <v>40</v>
      </c>
      <c r="D87" s="41">
        <f t="shared" ref="D87:V87" si="30">+D88+D89+D90+D91</f>
        <v>91570.913394661795</v>
      </c>
      <c r="E87" s="41">
        <f t="shared" si="30"/>
        <v>96849.976984937777</v>
      </c>
      <c r="F87" s="41">
        <f t="shared" si="30"/>
        <v>99738.856314610472</v>
      </c>
      <c r="G87" s="41">
        <f t="shared" si="30"/>
        <v>99922.343831391729</v>
      </c>
      <c r="H87" s="41">
        <f t="shared" si="30"/>
        <v>116350.47180712546</v>
      </c>
      <c r="I87" s="41">
        <f t="shared" si="30"/>
        <v>127361.55786495867</v>
      </c>
      <c r="J87" s="41">
        <f t="shared" si="30"/>
        <v>128253.64747808113</v>
      </c>
      <c r="K87" s="41">
        <f t="shared" si="30"/>
        <v>134539.71074845881</v>
      </c>
      <c r="L87" s="41">
        <f t="shared" si="30"/>
        <v>142533.77635328591</v>
      </c>
      <c r="M87" s="41">
        <f t="shared" si="30"/>
        <v>155599.94950665376</v>
      </c>
      <c r="N87" s="41">
        <f t="shared" si="30"/>
        <v>168140.4364787942</v>
      </c>
      <c r="O87" s="41">
        <f t="shared" si="30"/>
        <v>171341.76996938145</v>
      </c>
      <c r="P87" s="41">
        <f t="shared" si="30"/>
        <v>181823.55817295384</v>
      </c>
      <c r="Q87" s="41">
        <f t="shared" si="30"/>
        <v>196506.92995436961</v>
      </c>
      <c r="R87" s="41">
        <f t="shared" si="30"/>
        <v>204309.00005354264</v>
      </c>
      <c r="S87" s="41">
        <f t="shared" si="30"/>
        <v>198445.74904065338</v>
      </c>
      <c r="T87" s="41">
        <f t="shared" si="30"/>
        <v>201317.96847956293</v>
      </c>
      <c r="U87" s="41">
        <f t="shared" si="30"/>
        <v>221585.34263556855</v>
      </c>
      <c r="V87" s="41">
        <f t="shared" si="30"/>
        <v>222132.94828361837</v>
      </c>
    </row>
    <row r="88" spans="2:22" x14ac:dyDescent="0.2">
      <c r="B88" s="40"/>
      <c r="C88" s="77" t="s">
        <v>56</v>
      </c>
      <c r="D88" s="42">
        <f>6222.5106703873*Deflactores!$A$5</f>
        <v>23170.843715942014</v>
      </c>
      <c r="E88" s="42">
        <f>6685.30941233611*Deflactores!$B$5</f>
        <v>23125.467349269209</v>
      </c>
      <c r="F88" s="42">
        <f>7238.07231110505*Deflactores!$C$5</f>
        <v>23401.369042222384</v>
      </c>
      <c r="G88" s="42">
        <f>7844.09820114789*Deflactores!$D$5</f>
        <v>23814.802775945966</v>
      </c>
      <c r="H88" s="42">
        <f>8434.40658026032*Deflactores!$E$5</f>
        <v>24272.720799783347</v>
      </c>
      <c r="I88" s="42">
        <f>9156.64798084961*Deflactores!$F$5</f>
        <v>25131.048991080403</v>
      </c>
      <c r="J88" s="42">
        <f>10168.0709480329*Deflactores!$G$5</f>
        <v>26710.869804025682</v>
      </c>
      <c r="K88" s="42">
        <f>11140.1214504097*Deflactores!$H$5</f>
        <v>27687.717737376381</v>
      </c>
      <c r="L88" s="42">
        <f>12479.7762938995*Deflactores!$I$5</f>
        <v>28806.57921553951</v>
      </c>
      <c r="M88" s="42">
        <f>14035.1063040376*Deflactores!$J$5</f>
        <v>31760.894482528434</v>
      </c>
      <c r="N88" s="42">
        <f>15089.2243835499*Deflactores!$K$5</f>
        <v>33096.750791716215</v>
      </c>
      <c r="O88" s="42">
        <f>15935.0894048688*Deflactores!$L$5</f>
        <v>33696.318019049148</v>
      </c>
      <c r="P88" s="42">
        <f>17972.183671833*Deflactores!$M$5</f>
        <v>37098.745352296959</v>
      </c>
      <c r="Q88" s="42">
        <f>19931.2260284696*Deflactores!$N$5</f>
        <v>40359.684170335779</v>
      </c>
      <c r="R88" s="42">
        <f>22110.0012866487*Deflactores!$O$5</f>
        <v>43190.805949879548</v>
      </c>
      <c r="S88" s="42">
        <f>23599.7200985663*Deflactores!$P$5</f>
        <v>43177.764143300781</v>
      </c>
      <c r="T88" s="42">
        <f>25647.5532380311*Deflactores!$Q$5</f>
        <v>44373.007123720636</v>
      </c>
      <c r="U88" s="42">
        <f>27662.1138929682*Deflactores!$R$5</f>
        <v>45977.915534292944</v>
      </c>
      <c r="V88" s="42">
        <f>30436.0931659071*Deflactores!$S$5</f>
        <v>49029.480798793491</v>
      </c>
    </row>
    <row r="89" spans="2:22" x14ac:dyDescent="0.2">
      <c r="B89" s="40"/>
      <c r="C89" s="77" t="s">
        <v>57</v>
      </c>
      <c r="D89" s="42">
        <f>1509.79490454475*Deflactores!$A$5</f>
        <v>5622.0428745612053</v>
      </c>
      <c r="E89" s="42">
        <f>1567.18143316451*Deflactores!$B$5</f>
        <v>5421.1108009677737</v>
      </c>
      <c r="F89" s="42">
        <f>1779.6989316252*Deflactores!$C$5</f>
        <v>5753.9341544173958</v>
      </c>
      <c r="G89" s="42">
        <f>1905.12128011906*Deflactores!$D$5</f>
        <v>5783.9775059998292</v>
      </c>
      <c r="H89" s="42">
        <f>2098.486238833*Deflactores!$E$5</f>
        <v>6039.069861368811</v>
      </c>
      <c r="I89" s="42">
        <f>2301.29749506388*Deflactores!$F$5</f>
        <v>6316.0689602195216</v>
      </c>
      <c r="J89" s="42">
        <f>2677.9972009597*Deflactores!$G$5</f>
        <v>7034.9267757831831</v>
      </c>
      <c r="K89" s="42">
        <f>3516.7371874363*Deflactores!$H$5</f>
        <v>8740.5175101291352</v>
      </c>
      <c r="L89" s="42">
        <f>3865.81691541085*Deflactores!$I$5</f>
        <v>8923.3138947363914</v>
      </c>
      <c r="M89" s="42">
        <f>4435.87925903355*Deflactores!$J$5</f>
        <v>10038.220589955252</v>
      </c>
      <c r="N89" s="42">
        <f>4856.37379719149*Deflactores!$K$5</f>
        <v>10651.985100857373</v>
      </c>
      <c r="O89" s="42">
        <f>5213.29149581089*Deflactores!$L$5</f>
        <v>11024.018987629555</v>
      </c>
      <c r="P89" s="42">
        <f>6064.67037284668*Deflactores!$M$5</f>
        <v>12518.882842293573</v>
      </c>
      <c r="Q89" s="42">
        <f>7042.13859880661*Deflactores!$N$5</f>
        <v>14259.960191389651</v>
      </c>
      <c r="R89" s="42">
        <f>7393.44360173692*Deflactores!$O$5</f>
        <v>14442.730408017978</v>
      </c>
      <c r="S89" s="42">
        <f>7280.82087573002*Deflactores!$P$5</f>
        <v>13320.902333964104</v>
      </c>
      <c r="T89" s="42">
        <f>7532.62311881693*Deflactores!$Q$5</f>
        <v>13032.242733234134</v>
      </c>
      <c r="U89" s="42">
        <f>7627.69609476036*Deflactores!$R$5</f>
        <v>12678.191121731246</v>
      </c>
      <c r="V89" s="42">
        <f>7424.01930719366*Deflactores!$S$5</f>
        <v>11959.347413210462</v>
      </c>
    </row>
    <row r="90" spans="2:22" x14ac:dyDescent="0.2">
      <c r="B90" s="40"/>
      <c r="C90" s="77" t="s">
        <v>58</v>
      </c>
      <c r="D90" s="42">
        <f>16521.4056766249*Deflactores!$A$5</f>
        <v>61520.972671457988</v>
      </c>
      <c r="E90" s="42">
        <f>19438.3167747745*Deflactores!$B$5</f>
        <v>67239.993270965089</v>
      </c>
      <c r="F90" s="42">
        <f>21404.5451994368*Deflactores!$C$5</f>
        <v>69202.909264176356</v>
      </c>
      <c r="G90" s="42">
        <f>22669.6889987837*Deflactores!$D$5</f>
        <v>68825.524445762494</v>
      </c>
      <c r="H90" s="42">
        <f>29417.0063911575*Deflactores!$E$5</f>
        <v>84656.908118362306</v>
      </c>
      <c r="I90" s="42">
        <f>34315.1913924482*Deflactores!$F$5</f>
        <v>94180.398528534424</v>
      </c>
      <c r="J90" s="42">
        <f>35353.3597601397*Deflactores!$G$5</f>
        <v>92871.007147197248</v>
      </c>
      <c r="K90" s="42">
        <f>38728.9699409587*Deflactores!$H$5</f>
        <v>96257.190081636145</v>
      </c>
      <c r="L90" s="42">
        <f>44586.0133366478*Deflactores!$I$5</f>
        <v>102916.14968411619</v>
      </c>
      <c r="M90" s="42">
        <f>49308.6283378089*Deflactores!$J$5</f>
        <v>111583.48984252654</v>
      </c>
      <c r="N90" s="42">
        <f>55477.1940014816*Deflactores!$K$5</f>
        <v>121683.84655293758</v>
      </c>
      <c r="O90" s="42">
        <f>58611.1904183702*Deflactores!$L$5</f>
        <v>123939.14220581741</v>
      </c>
      <c r="P90" s="42">
        <f>62795.5768154854*Deflactores!$M$5</f>
        <v>129624.59966283517</v>
      </c>
      <c r="Q90" s="42">
        <f>68782.6627123917*Deflactores!$N$5</f>
        <v>139281.27349022977</v>
      </c>
      <c r="R90" s="42">
        <f>73694.7340581271*Deflactores!$O$5</f>
        <v>143959.05802839491</v>
      </c>
      <c r="S90" s="42">
        <f>76130.0930047469*Deflactores!$P$5</f>
        <v>139286.70281840375</v>
      </c>
      <c r="T90" s="42">
        <f>81649.188911274*Deflactores!$Q$5</f>
        <v>141261.81969801435</v>
      </c>
      <c r="U90" s="42">
        <f>96543.1494385549*Deflactores!$R$5</f>
        <v>160466.86769765883</v>
      </c>
      <c r="V90" s="42">
        <f>98607.118809533*Deflactores!$S$5</f>
        <v>158846.13744420628</v>
      </c>
    </row>
    <row r="91" spans="2:22" x14ac:dyDescent="0.2">
      <c r="B91" s="40"/>
      <c r="C91" s="77" t="s">
        <v>59</v>
      </c>
      <c r="D91" s="42">
        <f>337.580834339759*Deflactores!$A$5</f>
        <v>1257.0541327005888</v>
      </c>
      <c r="E91" s="42">
        <f>307.41844551728*Deflactores!$B$5</f>
        <v>1063.4055637357137</v>
      </c>
      <c r="F91" s="42">
        <f>427.03484704744*Deflactores!$C$5</f>
        <v>1380.6438537943334</v>
      </c>
      <c r="G91" s="42">
        <f>493.42276520221*Deflactores!$D$5</f>
        <v>1498.0391036834471</v>
      </c>
      <c r="H91" s="42">
        <f>480.14541149472*Deflactores!$E$5</f>
        <v>1381.7730276109976</v>
      </c>
      <c r="I91" s="42">
        <f>631.80834804961*Deflactores!$F$5</f>
        <v>1734.0413851243268</v>
      </c>
      <c r="J91" s="42">
        <f>623.10001560738*Deflactores!$G$5</f>
        <v>1636.8437510750191</v>
      </c>
      <c r="K91" s="42">
        <f>746.069610028979*Deflactores!$H$5</f>
        <v>1854.285419317142</v>
      </c>
      <c r="L91" s="42">
        <f>817.816386361249*Deflactores!$I$5</f>
        <v>1887.7335588938163</v>
      </c>
      <c r="M91" s="42">
        <f>979.84227344476*Deflactores!$J$5</f>
        <v>2217.3445916435307</v>
      </c>
      <c r="N91" s="42">
        <f>1234.5446646181*Deflactores!$K$5</f>
        <v>2707.8540332830225</v>
      </c>
      <c r="O91" s="42">
        <f>1268.46330796908*Deflactores!$L$5</f>
        <v>2682.2907568853466</v>
      </c>
      <c r="P91" s="42">
        <f>1250.50435285058*Deflactores!$M$5</f>
        <v>2581.3303155281519</v>
      </c>
      <c r="Q91" s="42">
        <f>1286.95299068583*Deflactores!$N$5</f>
        <v>2606.0121024144255</v>
      </c>
      <c r="R91" s="42">
        <f>1390.56754040796*Deflactores!$O$5</f>
        <v>2716.4056672501879</v>
      </c>
      <c r="S91" s="42">
        <f>1454.08681026565*Deflactores!$P$5</f>
        <v>2660.3797449847284</v>
      </c>
      <c r="T91" s="42">
        <f>1532.21689725901*Deflactores!$Q$5</f>
        <v>2650.8989245938119</v>
      </c>
      <c r="U91" s="42">
        <f>1481.45715325321*Deflactores!$R$5</f>
        <v>2462.3682818855377</v>
      </c>
      <c r="V91" s="42">
        <f>1426.52159888162*Deflactores!$S$5</f>
        <v>2297.9826274081547</v>
      </c>
    </row>
    <row r="92" spans="2:22" x14ac:dyDescent="0.2">
      <c r="B92" s="34" t="s">
        <v>41</v>
      </c>
      <c r="C92" s="76" t="s">
        <v>42</v>
      </c>
      <c r="D92" s="41">
        <f t="shared" ref="D92:V92" si="31">+D93+D96</f>
        <v>58598.376845759907</v>
      </c>
      <c r="E92" s="41">
        <f t="shared" si="31"/>
        <v>73006.129141822516</v>
      </c>
      <c r="F92" s="41">
        <f t="shared" si="31"/>
        <v>72977.450336333597</v>
      </c>
      <c r="G92" s="41">
        <f t="shared" si="31"/>
        <v>82027.98848343399</v>
      </c>
      <c r="H92" s="41">
        <f t="shared" si="31"/>
        <v>73226.603958616703</v>
      </c>
      <c r="I92" s="41">
        <f t="shared" si="31"/>
        <v>84701.969153375438</v>
      </c>
      <c r="J92" s="41">
        <f t="shared" si="31"/>
        <v>98717.344140752</v>
      </c>
      <c r="K92" s="41">
        <f t="shared" si="31"/>
        <v>94454.305948107227</v>
      </c>
      <c r="L92" s="41">
        <f t="shared" si="31"/>
        <v>82077.523499771749</v>
      </c>
      <c r="M92" s="41">
        <f t="shared" si="31"/>
        <v>74062.275947400078</v>
      </c>
      <c r="N92" s="41">
        <f t="shared" si="31"/>
        <v>70654.70444969488</v>
      </c>
      <c r="O92" s="41">
        <f t="shared" si="31"/>
        <v>71244.887335698106</v>
      </c>
      <c r="P92" s="41">
        <f t="shared" si="31"/>
        <v>74806.970580597219</v>
      </c>
      <c r="Q92" s="41">
        <f t="shared" si="31"/>
        <v>76575.188582407791</v>
      </c>
      <c r="R92" s="41">
        <f t="shared" si="31"/>
        <v>78109.728122882836</v>
      </c>
      <c r="S92" s="41">
        <f t="shared" si="31"/>
        <v>84261.159688441083</v>
      </c>
      <c r="T92" s="41">
        <f t="shared" si="31"/>
        <v>68578.503416186053</v>
      </c>
      <c r="U92" s="41">
        <f t="shared" si="31"/>
        <v>81300.686457791089</v>
      </c>
      <c r="V92" s="41">
        <f t="shared" si="31"/>
        <v>58628.242444915821</v>
      </c>
    </row>
    <row r="93" spans="2:22" x14ac:dyDescent="0.2">
      <c r="B93" s="34"/>
      <c r="C93" s="76" t="s">
        <v>43</v>
      </c>
      <c r="D93" s="41">
        <f t="shared" ref="D93:V93" si="32">+D94+D95</f>
        <v>18548.063058217514</v>
      </c>
      <c r="E93" s="41">
        <f t="shared" si="32"/>
        <v>26959.976176755314</v>
      </c>
      <c r="F93" s="41">
        <f t="shared" si="32"/>
        <v>30536.241436028635</v>
      </c>
      <c r="G93" s="41">
        <f t="shared" si="32"/>
        <v>40025.796421619852</v>
      </c>
      <c r="H93" s="41">
        <f t="shared" si="32"/>
        <v>23804.370146242934</v>
      </c>
      <c r="I93" s="41">
        <f t="shared" si="32"/>
        <v>35139.771031266719</v>
      </c>
      <c r="J93" s="41">
        <f t="shared" si="32"/>
        <v>25306.909659606132</v>
      </c>
      <c r="K93" s="41">
        <f t="shared" si="32"/>
        <v>18486.832867198886</v>
      </c>
      <c r="L93" s="41">
        <f t="shared" si="32"/>
        <v>16893.184170285545</v>
      </c>
      <c r="M93" s="41">
        <f t="shared" si="32"/>
        <v>15503.251634134094</v>
      </c>
      <c r="N93" s="41">
        <f t="shared" si="32"/>
        <v>15417.11874589551</v>
      </c>
      <c r="O93" s="41">
        <f t="shared" si="32"/>
        <v>12916.378582309577</v>
      </c>
      <c r="P93" s="41">
        <f t="shared" si="32"/>
        <v>13364.196741681068</v>
      </c>
      <c r="Q93" s="41">
        <f t="shared" si="32"/>
        <v>13885.950701813606</v>
      </c>
      <c r="R93" s="41">
        <f t="shared" si="32"/>
        <v>17268.344075124442</v>
      </c>
      <c r="S93" s="41">
        <f t="shared" si="32"/>
        <v>20135.592372673353</v>
      </c>
      <c r="T93" s="41">
        <f t="shared" si="32"/>
        <v>16026.763763201299</v>
      </c>
      <c r="U93" s="41">
        <f t="shared" si="32"/>
        <v>23227.192972073706</v>
      </c>
      <c r="V93" s="41">
        <f t="shared" si="32"/>
        <v>15462.067123261664</v>
      </c>
    </row>
    <row r="94" spans="2:22" x14ac:dyDescent="0.2">
      <c r="B94" s="32"/>
      <c r="C94" s="77" t="s">
        <v>60</v>
      </c>
      <c r="D94" s="42">
        <f>2528.19439917843*Deflactores!$A$5</f>
        <v>9414.2702857329405</v>
      </c>
      <c r="E94" s="42">
        <f>4400.69780606549*Deflactores!$B$5</f>
        <v>15222.660186883755</v>
      </c>
      <c r="F94" s="42">
        <f>5650.68020492847*Deflactores!$C$5</f>
        <v>18269.180954745611</v>
      </c>
      <c r="G94" s="42">
        <f>7831.35986322709*Deflactores!$D$5</f>
        <v>23776.128986110849</v>
      </c>
      <c r="H94" s="42">
        <f>3998.81074597693*Deflactores!$E$5</f>
        <v>11507.865532049755</v>
      </c>
      <c r="I94" s="42">
        <f>8412.48963703729*Deflactores!$F$5</f>
        <v>23088.655329712041</v>
      </c>
      <c r="J94" s="42">
        <f>4943.37765192544*Deflactores!$G$5</f>
        <v>12985.935830655788</v>
      </c>
      <c r="K94" s="42">
        <f>3520.15184954198*Deflactores!$H$5</f>
        <v>8749.0043296823551</v>
      </c>
      <c r="L94" s="42">
        <f>3472.01625758266*Deflactores!$I$5</f>
        <v>8014.3192479008831</v>
      </c>
      <c r="M94" s="42">
        <f>2846.20163202057*Deflactores!$J$5</f>
        <v>6440.8425381573343</v>
      </c>
      <c r="N94" s="42">
        <f>3361.21751808032*Deflactores!$K$5</f>
        <v>7372.5047573640495</v>
      </c>
      <c r="O94" s="42">
        <f>2373.34432345691*Deflactores!$L$5</f>
        <v>5018.6706243062672</v>
      </c>
      <c r="P94" s="42">
        <f>3393.25689011586*Deflactores!$M$5</f>
        <v>7004.4673246151069</v>
      </c>
      <c r="Q94" s="42">
        <f>2909.26086612295*Deflactores!$N$5</f>
        <v>5891.100204178234</v>
      </c>
      <c r="R94" s="42">
        <f>4841.01869407645*Deflactores!$O$5</f>
        <v>9456.6932088716949</v>
      </c>
      <c r="S94" s="42">
        <f>5998.70627778673*Deflactores!$P$5</f>
        <v>10975.160880952493</v>
      </c>
      <c r="T94" s="42">
        <f>3415.46895859314*Deflactores!$Q$5</f>
        <v>5909.1261854081868</v>
      </c>
      <c r="U94" s="42">
        <f>7662.71728925486*Deflactores!$R$5</f>
        <v>12736.400755622873</v>
      </c>
      <c r="V94" s="42">
        <f>2964.89476357482*Deflactores!$S$5</f>
        <v>4776.1468625009893</v>
      </c>
    </row>
    <row r="95" spans="2:22" x14ac:dyDescent="0.2">
      <c r="B95" s="32"/>
      <c r="C95" s="77" t="s">
        <v>61</v>
      </c>
      <c r="D95" s="42">
        <f>2452.87239794328*Deflactores!$A$5</f>
        <v>9133.792772484574</v>
      </c>
      <c r="E95" s="42">
        <f>3393.12446652591*Deflactores!$B$5</f>
        <v>11737.315989871557</v>
      </c>
      <c r="F95" s="42">
        <f>3794.21693867674*Deflactores!$C$5</f>
        <v>12267.060481283024</v>
      </c>
      <c r="G95" s="42">
        <f>5352.30076433268*Deflactores!$D$5</f>
        <v>16249.667435509004</v>
      </c>
      <c r="H95" s="42">
        <f>4272.85100371105*Deflactores!$E$5</f>
        <v>12296.50461419318</v>
      </c>
      <c r="I95" s="42">
        <f>4390.89607022734*Deflactores!$F$5</f>
        <v>12051.115701554681</v>
      </c>
      <c r="J95" s="42">
        <f>4690.24546788597*Deflactores!$G$5</f>
        <v>12320.973828950344</v>
      </c>
      <c r="K95" s="42">
        <f>3918.00413454659*Deflactores!$H$5</f>
        <v>9737.8285375165287</v>
      </c>
      <c r="L95" s="42">
        <f>3846.56043836466*Deflactores!$I$5</f>
        <v>8878.8649223846642</v>
      </c>
      <c r="M95" s="42">
        <f>4004.66917273627*Deflactores!$J$5</f>
        <v>9062.40909597676</v>
      </c>
      <c r="N95" s="42">
        <f>3667.64055831056*Deflactores!$K$5</f>
        <v>8044.6139885314615</v>
      </c>
      <c r="O95" s="42">
        <f>3734.84967506482*Deflactores!$L$5</f>
        <v>7897.7079580033096</v>
      </c>
      <c r="P95" s="42">
        <f>3080.91888556528*Deflactores!$M$5</f>
        <v>6359.7294170659607</v>
      </c>
      <c r="Q95" s="42">
        <f>3948.17689007866*Deflactores!$N$5</f>
        <v>7994.8504976353715</v>
      </c>
      <c r="R95" s="42">
        <f>3998.89761038785*Deflactores!$O$5</f>
        <v>7811.6508662527449</v>
      </c>
      <c r="S95" s="42">
        <f>5006.82755293262*Deflactores!$P$5</f>
        <v>9160.4314917208612</v>
      </c>
      <c r="T95" s="42">
        <f>5847.9842868444*Deflactores!$Q$5</f>
        <v>10117.637577793113</v>
      </c>
      <c r="U95" s="42">
        <f>6311.67128275925*Deflactores!$R$5</f>
        <v>10490.792216450833</v>
      </c>
      <c r="V95" s="42">
        <f>6633.51231383975*Deflactores!$S$5</f>
        <v>10685.920260760675</v>
      </c>
    </row>
    <row r="96" spans="2:22" x14ac:dyDescent="0.2">
      <c r="B96" s="34"/>
      <c r="C96" s="76" t="s">
        <v>44</v>
      </c>
      <c r="D96" s="41">
        <f t="shared" ref="D96:V96" si="33">+D97+D98</f>
        <v>40050.313787542393</v>
      </c>
      <c r="E96" s="41">
        <f t="shared" si="33"/>
        <v>46046.152965067195</v>
      </c>
      <c r="F96" s="41">
        <f t="shared" si="33"/>
        <v>42441.208900304962</v>
      </c>
      <c r="G96" s="41">
        <f t="shared" si="33"/>
        <v>42002.192061814145</v>
      </c>
      <c r="H96" s="41">
        <f t="shared" si="33"/>
        <v>49422.233812373772</v>
      </c>
      <c r="I96" s="41">
        <f t="shared" si="33"/>
        <v>49562.198122108719</v>
      </c>
      <c r="J96" s="41">
        <f t="shared" si="33"/>
        <v>73410.434481145872</v>
      </c>
      <c r="K96" s="41">
        <f t="shared" si="33"/>
        <v>75967.473080908341</v>
      </c>
      <c r="L96" s="41">
        <f t="shared" si="33"/>
        <v>65184.339329486203</v>
      </c>
      <c r="M96" s="41">
        <f t="shared" si="33"/>
        <v>58559.024313265982</v>
      </c>
      <c r="N96" s="41">
        <f t="shared" si="33"/>
        <v>55237.58570379937</v>
      </c>
      <c r="O96" s="41">
        <f t="shared" si="33"/>
        <v>58328.508753388523</v>
      </c>
      <c r="P96" s="41">
        <f t="shared" si="33"/>
        <v>61442.773838916146</v>
      </c>
      <c r="Q96" s="41">
        <f t="shared" si="33"/>
        <v>62689.237880594184</v>
      </c>
      <c r="R96" s="41">
        <f t="shared" si="33"/>
        <v>60841.384047758402</v>
      </c>
      <c r="S96" s="41">
        <f t="shared" si="33"/>
        <v>64125.567315767723</v>
      </c>
      <c r="T96" s="41">
        <f t="shared" si="33"/>
        <v>52551.739652984761</v>
      </c>
      <c r="U96" s="41">
        <f t="shared" si="33"/>
        <v>58073.493485717379</v>
      </c>
      <c r="V96" s="41">
        <f t="shared" si="33"/>
        <v>43166.175321654155</v>
      </c>
    </row>
    <row r="97" spans="2:22" x14ac:dyDescent="0.2">
      <c r="B97" s="32"/>
      <c r="C97" s="77" t="s">
        <v>60</v>
      </c>
      <c r="D97" s="42">
        <f>6096.57281942159*Deflactores!$A$5</f>
        <v>22701.887306347551</v>
      </c>
      <c r="E97" s="42">
        <f>8299.71921352721*Deflactores!$B$5</f>
        <v>28709.948013229838</v>
      </c>
      <c r="F97" s="42">
        <f>7978.55782091956*Deflactores!$C$5</f>
        <v>25795.428391284342</v>
      </c>
      <c r="G97" s="42">
        <f>7097.41569989782*Deflactores!$D$5</f>
        <v>21547.863218646919</v>
      </c>
      <c r="H97" s="42">
        <f>9574.16824854075*Deflactores!$E$5</f>
        <v>27552.752001647968</v>
      </c>
      <c r="I97" s="42">
        <f>9499.94739798648*Deflactores!$F$5</f>
        <v>26073.257809058301</v>
      </c>
      <c r="J97" s="42">
        <f>17042.0838498208*Deflactores!$G$5</f>
        <v>44768.460529862467</v>
      </c>
      <c r="K97" s="42">
        <f>18284.0067513306*Deflactores!$H$5</f>
        <v>45443.168666757003</v>
      </c>
      <c r="L97" s="42">
        <f>16319.6666775809*Deflactores!$I$5</f>
        <v>37670.04791173547</v>
      </c>
      <c r="M97" s="42">
        <f>13697.2853268317*Deflactores!$J$5</f>
        <v>30996.418875533236</v>
      </c>
      <c r="N97" s="42">
        <f>13721.8843482966*Deflactores!$K$5</f>
        <v>30097.622987397073</v>
      </c>
      <c r="O97" s="42">
        <f>14339.7438762527*Deflactores!$L$5</f>
        <v>30322.802570425985</v>
      </c>
      <c r="P97" s="42">
        <f>16597.5153211496*Deflactores!$M$5</f>
        <v>34261.111817213903</v>
      </c>
      <c r="Q97" s="42">
        <f>17902.8713283008*Deflactores!$N$5</f>
        <v>36252.372609707483</v>
      </c>
      <c r="R97" s="42">
        <f>17332.1654576053*Deflactores!$O$5</f>
        <v>33857.537377108965</v>
      </c>
      <c r="S97" s="42">
        <f>20378.0256286111*Deflactores!$P$5</f>
        <v>37283.390676814081</v>
      </c>
      <c r="T97" s="42">
        <f>13863.0831808706*Deflactores!$Q$5</f>
        <v>23984.614946791167</v>
      </c>
      <c r="U97" s="42">
        <f>17064.1076072919*Deflactores!$R$5</f>
        <v>28362.694957871365</v>
      </c>
      <c r="V97" s="42">
        <f>8078.18611674733*Deflactores!$S$5</f>
        <v>13013.14426070292</v>
      </c>
    </row>
    <row r="98" spans="2:22" x14ac:dyDescent="0.2">
      <c r="B98" s="32"/>
      <c r="C98" s="77" t="s">
        <v>61</v>
      </c>
      <c r="D98" s="42">
        <f>4658.90539926227*Deflactores!$A$5</f>
        <v>17348.426481194841</v>
      </c>
      <c r="E98" s="42">
        <f>5011.69954268486*Deflactores!$B$5</f>
        <v>17336.204951837357</v>
      </c>
      <c r="F98" s="42">
        <f>5148.56044454877*Deflactores!$C$5</f>
        <v>16645.780509020624</v>
      </c>
      <c r="G98" s="42">
        <f>6737.22833625282*Deflactores!$D$5</f>
        <v>20454.32884316723</v>
      </c>
      <c r="H98" s="42">
        <f>7599.31706102414*Deflactores!$E$5</f>
        <v>21869.4818107258</v>
      </c>
      <c r="I98" s="42">
        <f>8558.33586437745*Deflactores!$F$5</f>
        <v>23488.940313050422</v>
      </c>
      <c r="J98" s="42">
        <f>10903.1875549207*Deflactores!$G$5</f>
        <v>28641.973951283409</v>
      </c>
      <c r="K98" s="42">
        <f>12281.4188438467*Deflactores!$H$5</f>
        <v>30524.304414151335</v>
      </c>
      <c r="L98" s="42">
        <f>11919.9228485088*Deflactores!$I$5</f>
        <v>27514.291417750737</v>
      </c>
      <c r="M98" s="42">
        <f>12179.8867329642*Deflactores!$J$5</f>
        <v>27562.605437732749</v>
      </c>
      <c r="N98" s="42">
        <f>11461.6247621751*Deflactores!$K$5</f>
        <v>25139.9627164023</v>
      </c>
      <c r="O98" s="42">
        <f>13243.9820760152*Deflactores!$L$5</f>
        <v>28005.706182962535</v>
      </c>
      <c r="P98" s="42">
        <f>13167.9337864582*Deflactores!$M$5</f>
        <v>27181.662021702243</v>
      </c>
      <c r="Q98" s="42">
        <f>13055.5812819151*Deflactores!$N$5</f>
        <v>26436.865270886698</v>
      </c>
      <c r="R98" s="42">
        <f>13813.4232850187*Deflactores!$O$5</f>
        <v>26983.846670649436</v>
      </c>
      <c r="S98" s="42">
        <f>14671.1592896101*Deflactores!$P$5</f>
        <v>26842.176638953642</v>
      </c>
      <c r="T98" s="42">
        <f>16511.7691869908*Deflactores!$Q$5</f>
        <v>28567.124706193594</v>
      </c>
      <c r="U98" s="42">
        <f>17875.1794894946*Deflactores!$R$5</f>
        <v>29710.798527846015</v>
      </c>
      <c r="V98" s="42">
        <f>18718.1354494006*Deflactores!$S$5</f>
        <v>30153.031060951238</v>
      </c>
    </row>
    <row r="99" spans="2:22" x14ac:dyDescent="0.2">
      <c r="B99" s="34" t="s">
        <v>45</v>
      </c>
      <c r="C99" s="76" t="s">
        <v>46</v>
      </c>
      <c r="D99" s="41">
        <f>5581.99048829882*Deflactores!$A$5</f>
        <v>20785.730403608373</v>
      </c>
      <c r="E99" s="41">
        <f>7555.19066943339*Deflactores!$B$5</f>
        <v>26134.514405733713</v>
      </c>
      <c r="F99" s="41">
        <f>5972.67121990339*Deflactores!$C$5</f>
        <v>19310.208212534566</v>
      </c>
      <c r="G99" s="41">
        <f>5976.30189347048*Deflactores!$D$5</f>
        <v>18144.144460313415</v>
      </c>
      <c r="H99" s="41">
        <f>7275.83445640455*Deflactores!$E$5</f>
        <v>20938.556455064838</v>
      </c>
      <c r="I99" s="41">
        <f>8461.05924694498*Deflactores!$F$5</f>
        <v>23221.957958427334</v>
      </c>
      <c r="J99" s="41">
        <f>9755.87068493296*Deflactores!$G$5</f>
        <v>25628.046167455988</v>
      </c>
      <c r="K99" s="41">
        <f>16687.53328392*Deflactores!$H$5</f>
        <v>41475.284928896173</v>
      </c>
      <c r="L99" s="41">
        <f>19157.6575629929*Deflactores!$I$5</f>
        <v>44220.871206025062</v>
      </c>
      <c r="M99" s="41">
        <f>26678.1905786701*Deflactores!$J$5</f>
        <v>60371.697769768114</v>
      </c>
      <c r="N99" s="41">
        <f>20476.8992045138*Deflactores!$K$5</f>
        <v>44914.093178820156</v>
      </c>
      <c r="O99" s="41">
        <f>27590.4748416657*Deflactores!$L$5</f>
        <v>58342.779945576127</v>
      </c>
      <c r="P99" s="41">
        <f>32789.8224625118*Deflactores!$M$5</f>
        <v>67685.780197664993</v>
      </c>
      <c r="Q99" s="41">
        <f>38799.7487277938*Deflactores!$N$5</f>
        <v>78567.450005602339</v>
      </c>
      <c r="R99" s="41">
        <f>38961.2009183642*Deflactores!$O$5</f>
        <v>76108.800113706384</v>
      </c>
      <c r="S99" s="41">
        <f>40346.9232374241*Deflactores!$P$5</f>
        <v>73818.245647718184</v>
      </c>
      <c r="T99" s="41">
        <f>35578.7360453404*Deflactores!$Q$5</f>
        <v>61555.014364951625</v>
      </c>
      <c r="U99" s="41">
        <f>35465.7740558358*Deflactores!$R$5</f>
        <v>58948.581088448598</v>
      </c>
      <c r="V99" s="41">
        <f>30074.2400329509*Deflactores!$S$5</f>
        <v>48446.571844692502</v>
      </c>
    </row>
    <row r="100" spans="2:22" x14ac:dyDescent="0.2">
      <c r="B100" s="36" t="s">
        <v>47</v>
      </c>
      <c r="C100" s="78" t="s">
        <v>48</v>
      </c>
      <c r="D100" s="43">
        <f t="shared" ref="D100:V100" si="34">+D87+D99</f>
        <v>112356.64379827018</v>
      </c>
      <c r="E100" s="43">
        <f t="shared" si="34"/>
        <v>122984.49139067149</v>
      </c>
      <c r="F100" s="43">
        <f t="shared" si="34"/>
        <v>119049.06452714503</v>
      </c>
      <c r="G100" s="43">
        <f t="shared" si="34"/>
        <v>118066.48829170514</v>
      </c>
      <c r="H100" s="43">
        <f t="shared" si="34"/>
        <v>137289.02826219029</v>
      </c>
      <c r="I100" s="43">
        <f t="shared" si="34"/>
        <v>150583.515823386</v>
      </c>
      <c r="J100" s="43">
        <f t="shared" si="34"/>
        <v>153881.6936455371</v>
      </c>
      <c r="K100" s="43">
        <f t="shared" si="34"/>
        <v>176014.99567735498</v>
      </c>
      <c r="L100" s="43">
        <f t="shared" si="34"/>
        <v>186754.64755931098</v>
      </c>
      <c r="M100" s="43">
        <f t="shared" si="34"/>
        <v>215971.64727642189</v>
      </c>
      <c r="N100" s="43">
        <f t="shared" si="34"/>
        <v>213054.52965761436</v>
      </c>
      <c r="O100" s="43">
        <f t="shared" si="34"/>
        <v>229684.54991495758</v>
      </c>
      <c r="P100" s="43">
        <f t="shared" si="34"/>
        <v>249509.33837061882</v>
      </c>
      <c r="Q100" s="43">
        <f t="shared" si="34"/>
        <v>275074.37995997194</v>
      </c>
      <c r="R100" s="43">
        <f t="shared" si="34"/>
        <v>280417.80016724905</v>
      </c>
      <c r="S100" s="43">
        <f t="shared" si="34"/>
        <v>272263.99468837155</v>
      </c>
      <c r="T100" s="43">
        <f t="shared" si="34"/>
        <v>262872.98284451454</v>
      </c>
      <c r="U100" s="43">
        <f t="shared" si="34"/>
        <v>280533.92372401716</v>
      </c>
      <c r="V100" s="43">
        <f t="shared" si="34"/>
        <v>270579.52012831089</v>
      </c>
    </row>
    <row r="101" spans="2:22" x14ac:dyDescent="0.2">
      <c r="B101" s="38" t="s">
        <v>49</v>
      </c>
      <c r="C101" s="79" t="s">
        <v>63</v>
      </c>
      <c r="D101" s="44">
        <f t="shared" ref="D101:V101" si="35">+D87+D92+D99</f>
        <v>170955.0206440301</v>
      </c>
      <c r="E101" s="44">
        <f t="shared" si="35"/>
        <v>195990.62053249401</v>
      </c>
      <c r="F101" s="44">
        <f t="shared" si="35"/>
        <v>192026.51486347863</v>
      </c>
      <c r="G101" s="44">
        <f t="shared" si="35"/>
        <v>200094.47677513916</v>
      </c>
      <c r="H101" s="44">
        <f t="shared" si="35"/>
        <v>210515.63222080699</v>
      </c>
      <c r="I101" s="44">
        <f t="shared" si="35"/>
        <v>235285.48497676145</v>
      </c>
      <c r="J101" s="44">
        <f t="shared" si="35"/>
        <v>252599.03778628912</v>
      </c>
      <c r="K101" s="44">
        <f t="shared" si="35"/>
        <v>270469.30162546219</v>
      </c>
      <c r="L101" s="44">
        <f t="shared" si="35"/>
        <v>268832.17105908273</v>
      </c>
      <c r="M101" s="44">
        <f t="shared" si="35"/>
        <v>290033.92322382197</v>
      </c>
      <c r="N101" s="44">
        <f t="shared" si="35"/>
        <v>283709.23410730925</v>
      </c>
      <c r="O101" s="44">
        <f t="shared" si="35"/>
        <v>300929.43725065573</v>
      </c>
      <c r="P101" s="44">
        <f t="shared" si="35"/>
        <v>324316.30895121605</v>
      </c>
      <c r="Q101" s="44">
        <f t="shared" si="35"/>
        <v>351649.56854237971</v>
      </c>
      <c r="R101" s="44">
        <f t="shared" si="35"/>
        <v>358527.52829013183</v>
      </c>
      <c r="S101" s="44">
        <f t="shared" si="35"/>
        <v>356525.15437681263</v>
      </c>
      <c r="T101" s="44">
        <f t="shared" si="35"/>
        <v>331451.48626070062</v>
      </c>
      <c r="U101" s="44">
        <f t="shared" si="35"/>
        <v>361834.61018180824</v>
      </c>
      <c r="V101" s="44">
        <f t="shared" si="35"/>
        <v>329207.7625732267</v>
      </c>
    </row>
    <row r="102" spans="2:22" x14ac:dyDescent="0.2">
      <c r="B102" s="36" t="s">
        <v>64</v>
      </c>
      <c r="C102" s="78" t="s">
        <v>65</v>
      </c>
      <c r="D102" s="43">
        <f t="shared" ref="D102:V102" si="36">+D26</f>
        <v>126782.54276388661</v>
      </c>
      <c r="E102" s="43">
        <f t="shared" si="36"/>
        <v>143032.59975484706</v>
      </c>
      <c r="F102" s="43">
        <f t="shared" si="36"/>
        <v>141588.89093151753</v>
      </c>
      <c r="G102" s="43">
        <f t="shared" si="36"/>
        <v>134808.73944146308</v>
      </c>
      <c r="H102" s="43">
        <f t="shared" si="36"/>
        <v>157759.43939251304</v>
      </c>
      <c r="I102" s="43">
        <f t="shared" si="36"/>
        <v>169935.79883996848</v>
      </c>
      <c r="J102" s="43">
        <f t="shared" si="36"/>
        <v>175986.45012866412</v>
      </c>
      <c r="K102" s="43">
        <f t="shared" si="36"/>
        <v>193512.06782907734</v>
      </c>
      <c r="L102" s="43">
        <f t="shared" si="36"/>
        <v>199449.5292502612</v>
      </c>
      <c r="M102" s="43">
        <f t="shared" si="36"/>
        <v>237636.1197012816</v>
      </c>
      <c r="N102" s="43">
        <f t="shared" si="36"/>
        <v>240985.16621018582</v>
      </c>
      <c r="O102" s="43">
        <f t="shared" si="36"/>
        <v>245558.00420047733</v>
      </c>
      <c r="P102" s="43">
        <f t="shared" si="36"/>
        <v>266715.59808947309</v>
      </c>
      <c r="Q102" s="43">
        <f t="shared" si="36"/>
        <v>292442.27969554323</v>
      </c>
      <c r="R102" s="43">
        <f t="shared" si="36"/>
        <v>304756.02202224766</v>
      </c>
      <c r="S102" s="43">
        <f t="shared" si="36"/>
        <v>293864.68178185861</v>
      </c>
      <c r="T102" s="43">
        <f t="shared" si="36"/>
        <v>283252.97657648916</v>
      </c>
      <c r="U102" s="43">
        <f t="shared" si="36"/>
        <v>298034.32586956298</v>
      </c>
      <c r="V102" s="43">
        <f t="shared" si="36"/>
        <v>298548.3388057971</v>
      </c>
    </row>
    <row r="103" spans="2:22" x14ac:dyDescent="0.2">
      <c r="B103" s="38" t="s">
        <v>66</v>
      </c>
      <c r="C103" s="79" t="s">
        <v>70</v>
      </c>
      <c r="D103" s="45">
        <f t="shared" ref="D103:V103" si="37">+D100/D$26*100</f>
        <v>88.62154153787364</v>
      </c>
      <c r="E103" s="45">
        <f t="shared" si="37"/>
        <v>85.983539138254258</v>
      </c>
      <c r="F103" s="45">
        <f t="shared" si="37"/>
        <v>84.080794576408991</v>
      </c>
      <c r="G103" s="45">
        <f t="shared" si="37"/>
        <v>87.580737555202944</v>
      </c>
      <c r="H103" s="45">
        <f t="shared" si="37"/>
        <v>87.024287605769572</v>
      </c>
      <c r="I103" s="45">
        <f t="shared" si="37"/>
        <v>88.612003386757337</v>
      </c>
      <c r="J103" s="45">
        <f t="shared" si="37"/>
        <v>87.4395122653101</v>
      </c>
      <c r="K103" s="45">
        <f t="shared" si="37"/>
        <v>90.958149355740986</v>
      </c>
      <c r="L103" s="45">
        <f t="shared" si="37"/>
        <v>93.635040534479671</v>
      </c>
      <c r="M103" s="45">
        <f t="shared" si="37"/>
        <v>90.883341954879242</v>
      </c>
      <c r="N103" s="45">
        <f t="shared" si="37"/>
        <v>88.40981086437057</v>
      </c>
      <c r="O103" s="45">
        <f t="shared" si="37"/>
        <v>93.535761810248133</v>
      </c>
      <c r="P103" s="45">
        <f t="shared" si="37"/>
        <v>93.548836347740632</v>
      </c>
      <c r="Q103" s="45">
        <f t="shared" si="37"/>
        <v>94.061084548495273</v>
      </c>
      <c r="R103" s="45">
        <f t="shared" si="37"/>
        <v>92.013866799579802</v>
      </c>
      <c r="S103" s="45">
        <f t="shared" si="37"/>
        <v>92.649444308002387</v>
      </c>
      <c r="T103" s="45">
        <f t="shared" si="37"/>
        <v>92.805020452637237</v>
      </c>
      <c r="U103" s="45">
        <f t="shared" si="37"/>
        <v>94.128058204542185</v>
      </c>
      <c r="V103" s="45">
        <f t="shared" si="37"/>
        <v>90.631728587282595</v>
      </c>
    </row>
    <row r="104" spans="2:22" x14ac:dyDescent="0.2">
      <c r="B104" s="1" t="s">
        <v>52</v>
      </c>
      <c r="C104" s="15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customHeight="1" x14ac:dyDescent="0.2">
      <c r="C110" s="131"/>
      <c r="D110" s="155" t="s">
        <v>71</v>
      </c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</row>
    <row r="111" spans="2:22" x14ac:dyDescent="0.2">
      <c r="U111" s="29"/>
      <c r="V111" s="29"/>
    </row>
    <row r="112" spans="2:22" x14ac:dyDescent="0.2">
      <c r="B112" s="158"/>
      <c r="C112" s="159" t="s">
        <v>38</v>
      </c>
      <c r="D112" s="153">
        <v>2000</v>
      </c>
      <c r="E112" s="153">
        <v>2001</v>
      </c>
      <c r="F112" s="153">
        <v>2002</v>
      </c>
      <c r="G112" s="153">
        <v>2003</v>
      </c>
      <c r="H112" s="153">
        <v>2004</v>
      </c>
      <c r="I112" s="153">
        <v>2005</v>
      </c>
      <c r="J112" s="153">
        <v>2006</v>
      </c>
      <c r="K112" s="153">
        <v>2007</v>
      </c>
      <c r="L112" s="153">
        <v>2008</v>
      </c>
      <c r="M112" s="153">
        <v>2009</v>
      </c>
      <c r="N112" s="153">
        <v>2010</v>
      </c>
      <c r="O112" s="153">
        <v>2011</v>
      </c>
      <c r="P112" s="153">
        <v>2012</v>
      </c>
      <c r="Q112" s="153">
        <v>2013</v>
      </c>
      <c r="R112" s="153">
        <v>2014</v>
      </c>
      <c r="S112" s="153">
        <v>2015</v>
      </c>
      <c r="T112" s="153">
        <v>2016</v>
      </c>
      <c r="U112" s="153">
        <v>2017</v>
      </c>
      <c r="V112" s="153">
        <v>2018</v>
      </c>
    </row>
    <row r="113" spans="2:22" ht="12" customHeight="1" thickBot="1" x14ac:dyDescent="0.25">
      <c r="B113" s="154"/>
      <c r="C113" s="160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</row>
    <row r="114" spans="2:22" x14ac:dyDescent="0.2">
      <c r="B114" s="34" t="s">
        <v>39</v>
      </c>
      <c r="C114" s="76" t="s">
        <v>40</v>
      </c>
      <c r="D114" s="46">
        <f t="shared" ref="D114:V114" si="38">+IFERROR(IF(D87&gt;0,+((D87/D13)*100)," "),"")</f>
        <v>93.055380528903925</v>
      </c>
      <c r="E114" s="46">
        <f t="shared" si="38"/>
        <v>93.693791271244194</v>
      </c>
      <c r="F114" s="46">
        <f t="shared" si="38"/>
        <v>93.029131508753579</v>
      </c>
      <c r="G114" s="46">
        <f t="shared" si="38"/>
        <v>92.866897529865511</v>
      </c>
      <c r="H114" s="46">
        <f t="shared" si="38"/>
        <v>92.637108851495071</v>
      </c>
      <c r="I114" s="46">
        <f t="shared" si="38"/>
        <v>94.092038877653778</v>
      </c>
      <c r="J114" s="46">
        <f t="shared" si="38"/>
        <v>93.869185167428768</v>
      </c>
      <c r="K114" s="46">
        <f t="shared" si="38"/>
        <v>95.190119753163387</v>
      </c>
      <c r="L114" s="46">
        <f t="shared" si="38"/>
        <v>96.008393508843824</v>
      </c>
      <c r="M114" s="46">
        <f t="shared" si="38"/>
        <v>93.143211644840804</v>
      </c>
      <c r="N114" s="46">
        <f t="shared" si="38"/>
        <v>91.05975470308617</v>
      </c>
      <c r="O114" s="46">
        <f t="shared" si="38"/>
        <v>97.314152988721972</v>
      </c>
      <c r="P114" s="46">
        <f t="shared" si="38"/>
        <v>96.658630987606827</v>
      </c>
      <c r="Q114" s="46">
        <f t="shared" si="38"/>
        <v>96.297526450590723</v>
      </c>
      <c r="R114" s="46">
        <f t="shared" si="38"/>
        <v>93.781170160996709</v>
      </c>
      <c r="S114" s="46">
        <f t="shared" si="38"/>
        <v>94.704798159070307</v>
      </c>
      <c r="T114" s="46">
        <f t="shared" si="38"/>
        <v>94.927919240550111</v>
      </c>
      <c r="U114" s="46">
        <f t="shared" si="38"/>
        <v>95.985197317316036</v>
      </c>
      <c r="V114" s="46">
        <f t="shared" si="38"/>
        <v>93.991639317717912</v>
      </c>
    </row>
    <row r="115" spans="2:22" x14ac:dyDescent="0.2">
      <c r="B115" s="40"/>
      <c r="C115" s="77" t="s">
        <v>56</v>
      </c>
      <c r="D115" s="47">
        <f t="shared" ref="D115:V115" si="39">+IFERROR(IF(D88&gt;0,+((D88/D14)*100)," "),"")</f>
        <v>97.979628742553587</v>
      </c>
      <c r="E115" s="47">
        <f t="shared" si="39"/>
        <v>97.377735101089229</v>
      </c>
      <c r="F115" s="47">
        <f t="shared" si="39"/>
        <v>98.112652198823568</v>
      </c>
      <c r="G115" s="47">
        <f t="shared" si="39"/>
        <v>98.245279351602036</v>
      </c>
      <c r="H115" s="47">
        <f t="shared" si="39"/>
        <v>96.308971652689152</v>
      </c>
      <c r="I115" s="47">
        <f t="shared" si="39"/>
        <v>98.327053832256354</v>
      </c>
      <c r="J115" s="47">
        <f t="shared" si="39"/>
        <v>97.817642108944696</v>
      </c>
      <c r="K115" s="47">
        <f t="shared" si="39"/>
        <v>97.343797975086062</v>
      </c>
      <c r="L115" s="47">
        <f t="shared" si="39"/>
        <v>97.29634889347885</v>
      </c>
      <c r="M115" s="47">
        <f t="shared" si="39"/>
        <v>97.211167987289699</v>
      </c>
      <c r="N115" s="47">
        <f t="shared" si="39"/>
        <v>95.369786602101982</v>
      </c>
      <c r="O115" s="47">
        <f t="shared" si="39"/>
        <v>98.299585533188619</v>
      </c>
      <c r="P115" s="47">
        <f t="shared" si="39"/>
        <v>97.079721569446221</v>
      </c>
      <c r="Q115" s="47">
        <f t="shared" si="39"/>
        <v>95.459288077698034</v>
      </c>
      <c r="R115" s="47">
        <f t="shared" si="39"/>
        <v>94.494010682704271</v>
      </c>
      <c r="S115" s="47">
        <f t="shared" si="39"/>
        <v>95.890543061131908</v>
      </c>
      <c r="T115" s="47">
        <f t="shared" si="39"/>
        <v>98.462005066465196</v>
      </c>
      <c r="U115" s="47">
        <f t="shared" si="39"/>
        <v>98.649054678756741</v>
      </c>
      <c r="V115" s="47">
        <f t="shared" si="39"/>
        <v>96.326834234001851</v>
      </c>
    </row>
    <row r="116" spans="2:22" x14ac:dyDescent="0.2">
      <c r="B116" s="40"/>
      <c r="C116" s="77" t="s">
        <v>57</v>
      </c>
      <c r="D116" s="47">
        <f t="shared" ref="D116:V116" si="40">+IFERROR(IF(D89&gt;0,+((D89/D15)*100)," "),"")</f>
        <v>88.077593980205094</v>
      </c>
      <c r="E116" s="47">
        <f t="shared" si="40"/>
        <v>81.946942900145629</v>
      </c>
      <c r="F116" s="47">
        <f t="shared" si="40"/>
        <v>77.395577769628389</v>
      </c>
      <c r="G116" s="47">
        <f t="shared" si="40"/>
        <v>76.998449701319785</v>
      </c>
      <c r="H116" s="47">
        <f t="shared" si="40"/>
        <v>72.398604118645352</v>
      </c>
      <c r="I116" s="47">
        <f t="shared" si="40"/>
        <v>73.109965333485604</v>
      </c>
      <c r="J116" s="47">
        <f t="shared" si="40"/>
        <v>76.734926153436191</v>
      </c>
      <c r="K116" s="47">
        <f t="shared" si="40"/>
        <v>91.594861732944224</v>
      </c>
      <c r="L116" s="47">
        <f t="shared" si="40"/>
        <v>93.948824240392241</v>
      </c>
      <c r="M116" s="47">
        <f t="shared" si="40"/>
        <v>92.239612268412372</v>
      </c>
      <c r="N116" s="47">
        <f t="shared" si="40"/>
        <v>92.415044089779769</v>
      </c>
      <c r="O116" s="47">
        <f t="shared" si="40"/>
        <v>91.049594671492173</v>
      </c>
      <c r="P116" s="47">
        <f t="shared" si="40"/>
        <v>92.015698445190282</v>
      </c>
      <c r="Q116" s="47">
        <f t="shared" si="40"/>
        <v>93.682059522053919</v>
      </c>
      <c r="R116" s="47">
        <f t="shared" si="40"/>
        <v>93.460973450568446</v>
      </c>
      <c r="S116" s="47">
        <f t="shared" si="40"/>
        <v>94.084622158462508</v>
      </c>
      <c r="T116" s="47">
        <f t="shared" si="40"/>
        <v>94.719561461408404</v>
      </c>
      <c r="U116" s="47">
        <f t="shared" si="40"/>
        <v>95.401429757356965</v>
      </c>
      <c r="V116" s="47">
        <f t="shared" si="40"/>
        <v>85.846292077240051</v>
      </c>
    </row>
    <row r="117" spans="2:22" x14ac:dyDescent="0.2">
      <c r="B117" s="40"/>
      <c r="C117" s="77" t="s">
        <v>58</v>
      </c>
      <c r="D117" s="47">
        <f t="shared" ref="D117:V117" si="41">+IFERROR(IF(D90&gt;0,+((D90/D16)*100)," "),"")</f>
        <v>91.93199680311281</v>
      </c>
      <c r="E117" s="47">
        <f t="shared" si="41"/>
        <v>93.980845274157375</v>
      </c>
      <c r="F117" s="47">
        <f t="shared" si="41"/>
        <v>93.264004939842479</v>
      </c>
      <c r="G117" s="47">
        <f t="shared" si="41"/>
        <v>93.007318845677247</v>
      </c>
      <c r="H117" s="47">
        <f t="shared" si="41"/>
        <v>93.691705296802098</v>
      </c>
      <c r="I117" s="47">
        <f t="shared" si="41"/>
        <v>95.186646646490018</v>
      </c>
      <c r="J117" s="47">
        <f t="shared" si="41"/>
        <v>95.081986221983811</v>
      </c>
      <c r="K117" s="47">
        <f t="shared" si="41"/>
        <v>95.084049189868821</v>
      </c>
      <c r="L117" s="47">
        <f t="shared" si="41"/>
        <v>95.971787488572033</v>
      </c>
      <c r="M117" s="47">
        <f t="shared" si="41"/>
        <v>92.286890664999419</v>
      </c>
      <c r="N117" s="47">
        <f t="shared" si="41"/>
        <v>89.923802913909796</v>
      </c>
      <c r="O117" s="47">
        <f t="shared" si="41"/>
        <v>98.041341221742172</v>
      </c>
      <c r="P117" s="47">
        <f t="shared" si="41"/>
        <v>97.488367497795565</v>
      </c>
      <c r="Q117" s="47">
        <f t="shared" si="41"/>
        <v>97.174018601782535</v>
      </c>
      <c r="R117" s="47">
        <f t="shared" si="41"/>
        <v>93.704307409693371</v>
      </c>
      <c r="S117" s="47">
        <f t="shared" si="41"/>
        <v>94.645581704714289</v>
      </c>
      <c r="T117" s="47">
        <f t="shared" si="41"/>
        <v>94.011600655172415</v>
      </c>
      <c r="U117" s="47">
        <f t="shared" si="41"/>
        <v>95.336980732589055</v>
      </c>
      <c r="V117" s="47">
        <f t="shared" si="41"/>
        <v>94.024692909801715</v>
      </c>
    </row>
    <row r="118" spans="2:22" x14ac:dyDescent="0.2">
      <c r="B118" s="40"/>
      <c r="C118" s="77" t="s">
        <v>59</v>
      </c>
      <c r="D118" s="47">
        <f t="shared" ref="D118:V118" si="42">+IFERROR(IF(D91&gt;0,+((D91/D17)*100)," "),"")</f>
        <v>86.516148263220984</v>
      </c>
      <c r="E118" s="47">
        <f t="shared" si="42"/>
        <v>72.909339506271081</v>
      </c>
      <c r="F118" s="47">
        <f t="shared" si="42"/>
        <v>80.017429227012016</v>
      </c>
      <c r="G118" s="47">
        <f t="shared" si="42"/>
        <v>81.181412595367192</v>
      </c>
      <c r="H118" s="47">
        <f t="shared" si="42"/>
        <v>81.431600361032068</v>
      </c>
      <c r="I118" s="47">
        <f t="shared" si="42"/>
        <v>78.185710886100239</v>
      </c>
      <c r="J118" s="47">
        <f t="shared" si="42"/>
        <v>65.977814747410449</v>
      </c>
      <c r="K118" s="47">
        <f t="shared" si="42"/>
        <v>87.53696966589024</v>
      </c>
      <c r="L118" s="47">
        <f t="shared" si="42"/>
        <v>89.096242153102409</v>
      </c>
      <c r="M118" s="47">
        <f t="shared" si="42"/>
        <v>85.600694349703488</v>
      </c>
      <c r="N118" s="47">
        <f t="shared" si="42"/>
        <v>87.356469628460758</v>
      </c>
      <c r="O118" s="47">
        <f t="shared" si="42"/>
        <v>82.060807214210897</v>
      </c>
      <c r="P118" s="47">
        <f t="shared" si="42"/>
        <v>77.635847048384676</v>
      </c>
      <c r="Q118" s="47">
        <f t="shared" si="42"/>
        <v>80.697733616464092</v>
      </c>
      <c r="R118" s="47">
        <f t="shared" si="42"/>
        <v>88.618344389408605</v>
      </c>
      <c r="S118" s="47">
        <f t="shared" si="42"/>
        <v>83.445489923784066</v>
      </c>
      <c r="T118" s="47">
        <f t="shared" si="42"/>
        <v>88.668139119897305</v>
      </c>
      <c r="U118" s="47">
        <f t="shared" si="42"/>
        <v>93.224045520874995</v>
      </c>
      <c r="V118" s="47">
        <f t="shared" si="42"/>
        <v>89.709292019173375</v>
      </c>
    </row>
    <row r="119" spans="2:22" x14ac:dyDescent="0.2">
      <c r="B119" s="34" t="s">
        <v>41</v>
      </c>
      <c r="C119" s="76" t="s">
        <v>42</v>
      </c>
      <c r="D119" s="46">
        <f t="shared" ref="D119:V119" si="43">+IFERROR(IF(D92&gt;0,+((D92/D18)*100)," "),"")</f>
        <v>95.101744565790028</v>
      </c>
      <c r="E119" s="46">
        <f t="shared" si="43"/>
        <v>98.608578140598368</v>
      </c>
      <c r="F119" s="46">
        <f t="shared" si="43"/>
        <v>98.291302774796549</v>
      </c>
      <c r="G119" s="46">
        <f t="shared" si="43"/>
        <v>98.820033641692774</v>
      </c>
      <c r="H119" s="46">
        <f t="shared" si="43"/>
        <v>94.63350119370844</v>
      </c>
      <c r="I119" s="46">
        <f t="shared" si="43"/>
        <v>97.793353340478419</v>
      </c>
      <c r="J119" s="46">
        <f t="shared" si="43"/>
        <v>96.529499255135079</v>
      </c>
      <c r="K119" s="46">
        <f t="shared" si="43"/>
        <v>96.65254692849696</v>
      </c>
      <c r="L119" s="46">
        <f t="shared" si="43"/>
        <v>91.445978899489674</v>
      </c>
      <c r="M119" s="46">
        <f t="shared" si="43"/>
        <v>88.372220883912007</v>
      </c>
      <c r="N119" s="46">
        <f t="shared" si="43"/>
        <v>80.750717601495964</v>
      </c>
      <c r="O119" s="46">
        <f t="shared" si="43"/>
        <v>95.751875729227606</v>
      </c>
      <c r="P119" s="46">
        <f t="shared" si="43"/>
        <v>99.529244319165272</v>
      </c>
      <c r="Q119" s="46">
        <f t="shared" si="43"/>
        <v>84.901653509687264</v>
      </c>
      <c r="R119" s="46">
        <f t="shared" si="43"/>
        <v>97.639362048317508</v>
      </c>
      <c r="S119" s="46">
        <f t="shared" si="43"/>
        <v>98.036737468111298</v>
      </c>
      <c r="T119" s="46">
        <f t="shared" si="43"/>
        <v>84.867324137840257</v>
      </c>
      <c r="U119" s="46">
        <f t="shared" si="43"/>
        <v>97.813726372047</v>
      </c>
      <c r="V119" s="46">
        <f t="shared" si="43"/>
        <v>75.933105762449145</v>
      </c>
    </row>
    <row r="120" spans="2:22" x14ac:dyDescent="0.2">
      <c r="B120" s="34"/>
      <c r="C120" s="76" t="s">
        <v>43</v>
      </c>
      <c r="D120" s="46">
        <f t="shared" ref="D120:V120" si="44">+IFERROR(IF(D93&gt;0,+((D93/D19)*100)," "),"")</f>
        <v>97.188738044958427</v>
      </c>
      <c r="E120" s="46">
        <f t="shared" si="44"/>
        <v>98.22725697163321</v>
      </c>
      <c r="F120" s="46">
        <f t="shared" si="44"/>
        <v>98.428720960552326</v>
      </c>
      <c r="G120" s="46">
        <f t="shared" si="44"/>
        <v>98.758523876043242</v>
      </c>
      <c r="H120" s="46">
        <f t="shared" si="44"/>
        <v>87.934827309569172</v>
      </c>
      <c r="I120" s="46">
        <f t="shared" si="44"/>
        <v>97.719218567416121</v>
      </c>
      <c r="J120" s="46">
        <f t="shared" si="44"/>
        <v>90.718025350197664</v>
      </c>
      <c r="K120" s="46">
        <f t="shared" si="44"/>
        <v>96.397063107418376</v>
      </c>
      <c r="L120" s="46">
        <f t="shared" si="44"/>
        <v>89.332480426770999</v>
      </c>
      <c r="M120" s="46">
        <f t="shared" si="44"/>
        <v>82.84464510658411</v>
      </c>
      <c r="N120" s="46">
        <f t="shared" si="44"/>
        <v>81.524851802445568</v>
      </c>
      <c r="O120" s="46">
        <f t="shared" si="44"/>
        <v>86.876974209165724</v>
      </c>
      <c r="P120" s="46">
        <f t="shared" si="44"/>
        <v>98.667044293806441</v>
      </c>
      <c r="Q120" s="46">
        <f t="shared" si="44"/>
        <v>97.133104465074339</v>
      </c>
      <c r="R120" s="46">
        <f t="shared" si="44"/>
        <v>98.085618762021909</v>
      </c>
      <c r="S120" s="46">
        <f t="shared" si="44"/>
        <v>98.810627289613407</v>
      </c>
      <c r="T120" s="46">
        <f t="shared" si="44"/>
        <v>95.720010623344237</v>
      </c>
      <c r="U120" s="46">
        <f t="shared" si="44"/>
        <v>97.00296594835352</v>
      </c>
      <c r="V120" s="46">
        <f t="shared" si="44"/>
        <v>85.895659392676478</v>
      </c>
    </row>
    <row r="121" spans="2:22" x14ac:dyDescent="0.2">
      <c r="B121" s="32"/>
      <c r="C121" s="77" t="s">
        <v>60</v>
      </c>
      <c r="D121" s="47">
        <f t="shared" ref="D121:V121" si="45">+IFERROR(IF(D94&gt;0,+((D94/D20)*100)," "),"")</f>
        <v>97.320153946589542</v>
      </c>
      <c r="E121" s="47">
        <f t="shared" si="45"/>
        <v>98.472737008231093</v>
      </c>
      <c r="F121" s="47">
        <f t="shared" si="45"/>
        <v>98.883328719788949</v>
      </c>
      <c r="G121" s="47">
        <f t="shared" si="45"/>
        <v>98.975299949445784</v>
      </c>
      <c r="H121" s="47">
        <f t="shared" si="45"/>
        <v>89.420785779121843</v>
      </c>
      <c r="I121" s="47">
        <f t="shared" si="45"/>
        <v>98.164360828373532</v>
      </c>
      <c r="J121" s="47">
        <f t="shared" si="45"/>
        <v>91.184447002212494</v>
      </c>
      <c r="K121" s="47">
        <f t="shared" si="45"/>
        <v>94.584234278108326</v>
      </c>
      <c r="L121" s="47">
        <f t="shared" si="45"/>
        <v>84.003114893863682</v>
      </c>
      <c r="M121" s="47">
        <f t="shared" si="45"/>
        <v>83.58344954789186</v>
      </c>
      <c r="N121" s="47">
        <f t="shared" si="45"/>
        <v>86.623974375915353</v>
      </c>
      <c r="O121" s="47">
        <f t="shared" si="45"/>
        <v>78.477459041415727</v>
      </c>
      <c r="P121" s="47">
        <f t="shared" si="45"/>
        <v>99.9720711122349</v>
      </c>
      <c r="Q121" s="47">
        <f t="shared" si="45"/>
        <v>98.172195874031914</v>
      </c>
      <c r="R121" s="47">
        <f t="shared" si="45"/>
        <v>97.123754734755067</v>
      </c>
      <c r="S121" s="47">
        <f t="shared" si="45"/>
        <v>98.669180250556991</v>
      </c>
      <c r="T121" s="47">
        <f t="shared" si="45"/>
        <v>96.016559828926248</v>
      </c>
      <c r="U121" s="47">
        <f t="shared" si="45"/>
        <v>97.185137731188547</v>
      </c>
      <c r="V121" s="47">
        <f t="shared" si="45"/>
        <v>96.430814576422364</v>
      </c>
    </row>
    <row r="122" spans="2:22" x14ac:dyDescent="0.2">
      <c r="B122" s="32"/>
      <c r="C122" s="77" t="s">
        <v>61</v>
      </c>
      <c r="D122" s="47">
        <f t="shared" ref="D122:V122" si="46">+IFERROR(IF(D95&gt;0,+((D95/D21)*100)," "),"")</f>
        <v>97.053657579810562</v>
      </c>
      <c r="E122" s="47">
        <f t="shared" si="46"/>
        <v>97.910699855237013</v>
      </c>
      <c r="F122" s="47">
        <f t="shared" si="46"/>
        <v>97.759374836523506</v>
      </c>
      <c r="G122" s="47">
        <f t="shared" si="46"/>
        <v>98.443047937250611</v>
      </c>
      <c r="H122" s="47">
        <f t="shared" si="46"/>
        <v>86.58822263905644</v>
      </c>
      <c r="I122" s="47">
        <f t="shared" si="46"/>
        <v>96.877553060080118</v>
      </c>
      <c r="J122" s="47">
        <f t="shared" si="46"/>
        <v>90.231568126779038</v>
      </c>
      <c r="K122" s="47">
        <f t="shared" si="46"/>
        <v>98.086111421672399</v>
      </c>
      <c r="L122" s="47">
        <f t="shared" si="46"/>
        <v>94.75884629683118</v>
      </c>
      <c r="M122" s="47">
        <f t="shared" si="46"/>
        <v>82.32745179641465</v>
      </c>
      <c r="N122" s="47">
        <f t="shared" si="46"/>
        <v>77.351947271157499</v>
      </c>
      <c r="O122" s="47">
        <f t="shared" si="46"/>
        <v>93.217015767661749</v>
      </c>
      <c r="P122" s="47">
        <f t="shared" si="46"/>
        <v>97.2685850286869</v>
      </c>
      <c r="Q122" s="47">
        <f t="shared" si="46"/>
        <v>96.381404444130126</v>
      </c>
      <c r="R122" s="47">
        <f t="shared" si="46"/>
        <v>99.275841580040208</v>
      </c>
      <c r="S122" s="47">
        <f t="shared" si="46"/>
        <v>98.980630655977407</v>
      </c>
      <c r="T122" s="47">
        <f t="shared" si="46"/>
        <v>95.547659221215952</v>
      </c>
      <c r="U122" s="47">
        <f t="shared" si="46"/>
        <v>96.782715152538643</v>
      </c>
      <c r="V122" s="47">
        <f t="shared" si="46"/>
        <v>81.896609981357287</v>
      </c>
    </row>
    <row r="123" spans="2:22" x14ac:dyDescent="0.2">
      <c r="B123" s="34"/>
      <c r="C123" s="76" t="s">
        <v>44</v>
      </c>
      <c r="D123" s="46">
        <f t="shared" ref="D123:V123" si="47">+IFERROR(IF(D96&gt;0,+((D96/D22)*100)," "),"")</f>
        <v>94.165285886809968</v>
      </c>
      <c r="E123" s="46">
        <f t="shared" si="47"/>
        <v>98.83321860608288</v>
      </c>
      <c r="F123" s="46">
        <f t="shared" si="47"/>
        <v>98.192668179969829</v>
      </c>
      <c r="G123" s="46">
        <f t="shared" si="47"/>
        <v>98.878720430370166</v>
      </c>
      <c r="H123" s="46">
        <f t="shared" si="47"/>
        <v>98.23797303382247</v>
      </c>
      <c r="I123" s="46">
        <f t="shared" si="47"/>
        <v>97.845983337709214</v>
      </c>
      <c r="J123" s="46">
        <f t="shared" si="47"/>
        <v>98.709378525794975</v>
      </c>
      <c r="K123" s="46">
        <f t="shared" si="47"/>
        <v>96.714924423691059</v>
      </c>
      <c r="L123" s="46">
        <f t="shared" si="47"/>
        <v>92.0101313053826</v>
      </c>
      <c r="M123" s="46">
        <f t="shared" si="47"/>
        <v>89.961335124293456</v>
      </c>
      <c r="N123" s="46">
        <f t="shared" si="47"/>
        <v>80.537269808361216</v>
      </c>
      <c r="O123" s="46">
        <f t="shared" si="47"/>
        <v>97.968046364634674</v>
      </c>
      <c r="P123" s="46">
        <f t="shared" si="47"/>
        <v>99.718777348710333</v>
      </c>
      <c r="Q123" s="46">
        <f t="shared" si="47"/>
        <v>82.597764096791877</v>
      </c>
      <c r="R123" s="46">
        <f t="shared" si="47"/>
        <v>97.513441814712493</v>
      </c>
      <c r="S123" s="46">
        <f t="shared" si="47"/>
        <v>97.796228776052288</v>
      </c>
      <c r="T123" s="46">
        <f t="shared" si="47"/>
        <v>82.030902771071297</v>
      </c>
      <c r="U123" s="46">
        <f t="shared" si="47"/>
        <v>98.141806822461064</v>
      </c>
      <c r="V123" s="46">
        <f t="shared" si="47"/>
        <v>72.904265450337675</v>
      </c>
    </row>
    <row r="124" spans="2:22" x14ac:dyDescent="0.2">
      <c r="B124" s="32"/>
      <c r="C124" s="77" t="s">
        <v>60</v>
      </c>
      <c r="D124" s="47">
        <f t="shared" ref="D124:V124" si="48">+IFERROR(IF(D97&gt;0,+((D97/D23)*100)," "),"")</f>
        <v>95.15869975235465</v>
      </c>
      <c r="E124" s="47">
        <f t="shared" si="48"/>
        <v>98.674932714703033</v>
      </c>
      <c r="F124" s="47">
        <f t="shared" si="48"/>
        <v>98.260182834388203</v>
      </c>
      <c r="G124" s="47">
        <f t="shared" si="48"/>
        <v>99.307495108725362</v>
      </c>
      <c r="H124" s="47">
        <f t="shared" si="48"/>
        <v>98.785065728630585</v>
      </c>
      <c r="I124" s="47">
        <f t="shared" si="48"/>
        <v>98.693060886460131</v>
      </c>
      <c r="J124" s="47">
        <f t="shared" si="48"/>
        <v>99.528093069812414</v>
      </c>
      <c r="K124" s="47">
        <f t="shared" si="48"/>
        <v>95.589605112067929</v>
      </c>
      <c r="L124" s="47">
        <f t="shared" si="48"/>
        <v>87.860149094937583</v>
      </c>
      <c r="M124" s="47">
        <f t="shared" si="48"/>
        <v>85.349034994272273</v>
      </c>
      <c r="N124" s="47">
        <f t="shared" si="48"/>
        <v>75.557307839566022</v>
      </c>
      <c r="O124" s="47">
        <f t="shared" si="48"/>
        <v>96.927083622465048</v>
      </c>
      <c r="P124" s="47">
        <f t="shared" si="48"/>
        <v>99.548281168110734</v>
      </c>
      <c r="Q124" s="47">
        <f t="shared" si="48"/>
        <v>78.489099458989671</v>
      </c>
      <c r="R124" s="47">
        <f t="shared" si="48"/>
        <v>97.46092224970667</v>
      </c>
      <c r="S124" s="47">
        <f t="shared" si="48"/>
        <v>99.895478393148409</v>
      </c>
      <c r="T124" s="47">
        <f t="shared" si="48"/>
        <v>69.593905862466869</v>
      </c>
      <c r="U124" s="47">
        <f t="shared" si="48"/>
        <v>99.756062114259379</v>
      </c>
      <c r="V124" s="47">
        <f t="shared" si="48"/>
        <v>50.129681268643779</v>
      </c>
    </row>
    <row r="125" spans="2:22" x14ac:dyDescent="0.2">
      <c r="B125" s="32"/>
      <c r="C125" s="77" t="s">
        <v>61</v>
      </c>
      <c r="D125" s="47">
        <f t="shared" ref="D125:V125" si="49">+IFERROR(IF(D98&gt;0,+((D98/D24)*100)," "),"")</f>
        <v>92.896227310335249</v>
      </c>
      <c r="E125" s="47">
        <f t="shared" si="49"/>
        <v>99.096470757119377</v>
      </c>
      <c r="F125" s="47">
        <f t="shared" si="49"/>
        <v>98.088225996615378</v>
      </c>
      <c r="G125" s="47">
        <f t="shared" si="49"/>
        <v>98.431009171186844</v>
      </c>
      <c r="H125" s="47">
        <f t="shared" si="49"/>
        <v>97.557273010885595</v>
      </c>
      <c r="I125" s="47">
        <f t="shared" si="49"/>
        <v>96.922575885678427</v>
      </c>
      <c r="J125" s="47">
        <f t="shared" si="49"/>
        <v>97.456335127284106</v>
      </c>
      <c r="K125" s="47">
        <f t="shared" si="49"/>
        <v>98.440207875353963</v>
      </c>
      <c r="L125" s="47">
        <f t="shared" si="49"/>
        <v>98.371670156194668</v>
      </c>
      <c r="M125" s="47">
        <f t="shared" si="49"/>
        <v>95.782306856459471</v>
      </c>
      <c r="N125" s="47">
        <f t="shared" si="49"/>
        <v>87.436659516861141</v>
      </c>
      <c r="O125" s="47">
        <f t="shared" si="49"/>
        <v>99.120641961444704</v>
      </c>
      <c r="P125" s="47">
        <f t="shared" si="49"/>
        <v>99.934512956762205</v>
      </c>
      <c r="Q125" s="47">
        <f t="shared" si="49"/>
        <v>88.98534341632606</v>
      </c>
      <c r="R125" s="47">
        <f t="shared" si="49"/>
        <v>97.579419996355711</v>
      </c>
      <c r="S125" s="47">
        <f t="shared" si="49"/>
        <v>95.022634140221484</v>
      </c>
      <c r="T125" s="47">
        <f t="shared" si="49"/>
        <v>96.511622650620524</v>
      </c>
      <c r="U125" s="47">
        <f t="shared" si="49"/>
        <v>96.648797408586958</v>
      </c>
      <c r="V125" s="47">
        <f t="shared" si="49"/>
        <v>90.684620152102113</v>
      </c>
    </row>
    <row r="126" spans="2:22" x14ac:dyDescent="0.2">
      <c r="B126" s="34" t="s">
        <v>45</v>
      </c>
      <c r="C126" s="76" t="s">
        <v>46</v>
      </c>
      <c r="D126" s="46">
        <f t="shared" ref="D126:V126" si="50">+IFERROR(IF(D99&gt;0,+((D99/D25)*100)," "),"")</f>
        <v>73.246463002290909</v>
      </c>
      <c r="E126" s="46">
        <f t="shared" si="50"/>
        <v>65.889789945538098</v>
      </c>
      <c r="F126" s="46">
        <f t="shared" si="50"/>
        <v>56.172875923751022</v>
      </c>
      <c r="G126" s="46">
        <f t="shared" si="50"/>
        <v>66.678554058845847</v>
      </c>
      <c r="H126" s="46">
        <f t="shared" si="50"/>
        <v>65.104790881448693</v>
      </c>
      <c r="I126" s="46">
        <f t="shared" si="50"/>
        <v>67.15951890793535</v>
      </c>
      <c r="J126" s="46">
        <f t="shared" si="50"/>
        <v>65.118095767545711</v>
      </c>
      <c r="K126" s="46">
        <f t="shared" si="50"/>
        <v>79.493899081491321</v>
      </c>
      <c r="L126" s="46">
        <f t="shared" si="50"/>
        <v>86.724891816867483</v>
      </c>
      <c r="M126" s="46">
        <f t="shared" si="50"/>
        <v>85.534618155728367</v>
      </c>
      <c r="N126" s="46">
        <f t="shared" si="50"/>
        <v>79.724388810463566</v>
      </c>
      <c r="O126" s="46">
        <f t="shared" si="50"/>
        <v>83.961857553564613</v>
      </c>
      <c r="P126" s="46">
        <f t="shared" si="50"/>
        <v>86.106966448851367</v>
      </c>
      <c r="Q126" s="46">
        <f t="shared" si="50"/>
        <v>88.897320690505339</v>
      </c>
      <c r="R126" s="46">
        <f t="shared" si="50"/>
        <v>87.583201970333874</v>
      </c>
      <c r="S126" s="46">
        <f t="shared" si="50"/>
        <v>87.541938622862247</v>
      </c>
      <c r="T126" s="46">
        <f t="shared" si="50"/>
        <v>86.479889032492352</v>
      </c>
      <c r="U126" s="46">
        <f t="shared" si="50"/>
        <v>87.746350472972438</v>
      </c>
      <c r="V126" s="46">
        <f t="shared" si="50"/>
        <v>77.868759927326508</v>
      </c>
    </row>
    <row r="127" spans="2:22" x14ac:dyDescent="0.2">
      <c r="B127" s="36" t="s">
        <v>47</v>
      </c>
      <c r="C127" s="78" t="s">
        <v>48</v>
      </c>
      <c r="D127" s="48">
        <f t="shared" ref="D127:V127" si="51">+IFERROR(IF(D100&gt;0,+((D100/D26)*100)," "),"")</f>
        <v>88.62154153787364</v>
      </c>
      <c r="E127" s="48">
        <f t="shared" si="51"/>
        <v>85.983539138254258</v>
      </c>
      <c r="F127" s="48">
        <f t="shared" si="51"/>
        <v>84.080794576408991</v>
      </c>
      <c r="G127" s="48">
        <f t="shared" si="51"/>
        <v>87.580737555202944</v>
      </c>
      <c r="H127" s="48">
        <f t="shared" si="51"/>
        <v>87.024287605769572</v>
      </c>
      <c r="I127" s="48">
        <f t="shared" si="51"/>
        <v>88.612003386757337</v>
      </c>
      <c r="J127" s="48">
        <f t="shared" si="51"/>
        <v>87.4395122653101</v>
      </c>
      <c r="K127" s="48">
        <f t="shared" si="51"/>
        <v>90.958149355740986</v>
      </c>
      <c r="L127" s="48">
        <f t="shared" si="51"/>
        <v>93.635040534479671</v>
      </c>
      <c r="M127" s="48">
        <f t="shared" si="51"/>
        <v>90.883341954879242</v>
      </c>
      <c r="N127" s="48">
        <f t="shared" si="51"/>
        <v>88.40981086437057</v>
      </c>
      <c r="O127" s="48">
        <f t="shared" si="51"/>
        <v>93.535761810248133</v>
      </c>
      <c r="P127" s="48">
        <f t="shared" si="51"/>
        <v>93.548836347740632</v>
      </c>
      <c r="Q127" s="48">
        <f t="shared" si="51"/>
        <v>94.061084548495273</v>
      </c>
      <c r="R127" s="48">
        <f t="shared" si="51"/>
        <v>92.013866799579802</v>
      </c>
      <c r="S127" s="48">
        <f t="shared" si="51"/>
        <v>92.649444308002387</v>
      </c>
      <c r="T127" s="48">
        <f t="shared" si="51"/>
        <v>92.805020452637237</v>
      </c>
      <c r="U127" s="48">
        <f t="shared" si="51"/>
        <v>94.128058204542185</v>
      </c>
      <c r="V127" s="48">
        <f t="shared" si="51"/>
        <v>90.631728587282595</v>
      </c>
    </row>
    <row r="128" spans="2:22" x14ac:dyDescent="0.2">
      <c r="B128" s="38" t="s">
        <v>49</v>
      </c>
      <c r="C128" s="79" t="s">
        <v>63</v>
      </c>
      <c r="D128" s="45">
        <f t="shared" ref="D128:V128" si="52">+IFERROR(IF(D101&gt;0,+((D101/D27)*100)," "),"")</f>
        <v>90.740912590534734</v>
      </c>
      <c r="E128" s="45">
        <f t="shared" si="52"/>
        <v>90.289596161822899</v>
      </c>
      <c r="F128" s="45">
        <f t="shared" si="52"/>
        <v>88.969134166323144</v>
      </c>
      <c r="G128" s="45">
        <f t="shared" si="52"/>
        <v>91.863914574987675</v>
      </c>
      <c r="H128" s="45">
        <f t="shared" si="52"/>
        <v>89.528319414174263</v>
      </c>
      <c r="I128" s="45">
        <f t="shared" si="52"/>
        <v>91.71170833837472</v>
      </c>
      <c r="J128" s="45">
        <f t="shared" si="52"/>
        <v>90.780361577448289</v>
      </c>
      <c r="K128" s="45">
        <f t="shared" si="52"/>
        <v>92.86892044410132</v>
      </c>
      <c r="L128" s="45">
        <f t="shared" si="52"/>
        <v>92.955661365684321</v>
      </c>
      <c r="M128" s="45">
        <f t="shared" si="52"/>
        <v>90.228638633288483</v>
      </c>
      <c r="N128" s="45">
        <f t="shared" si="52"/>
        <v>86.369671443468931</v>
      </c>
      <c r="O128" s="45">
        <f t="shared" si="52"/>
        <v>94.05110641194868</v>
      </c>
      <c r="P128" s="45">
        <f t="shared" si="52"/>
        <v>94.863616260385655</v>
      </c>
      <c r="Q128" s="45">
        <f t="shared" si="52"/>
        <v>91.902069710644767</v>
      </c>
      <c r="R128" s="45">
        <f t="shared" si="52"/>
        <v>93.183521217807751</v>
      </c>
      <c r="S128" s="45">
        <f t="shared" si="52"/>
        <v>93.868543643178128</v>
      </c>
      <c r="T128" s="45">
        <f t="shared" si="52"/>
        <v>91.04316868145844</v>
      </c>
      <c r="U128" s="45">
        <f t="shared" si="52"/>
        <v>94.931791968876496</v>
      </c>
      <c r="V128" s="45">
        <f t="shared" si="52"/>
        <v>87.611475850088922</v>
      </c>
    </row>
    <row r="129" spans="2:22" x14ac:dyDescent="0.2">
      <c r="B129" s="1" t="s">
        <v>52</v>
      </c>
      <c r="C129" s="15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5"/>
      <c r="D130" s="26">
        <f t="shared" ref="D130:V130" si="53">+D127-D103</f>
        <v>0</v>
      </c>
      <c r="E130" s="26">
        <f t="shared" si="53"/>
        <v>0</v>
      </c>
      <c r="F130" s="26">
        <f t="shared" si="53"/>
        <v>0</v>
      </c>
      <c r="G130" s="26">
        <f t="shared" si="53"/>
        <v>0</v>
      </c>
      <c r="H130" s="26">
        <f t="shared" si="53"/>
        <v>0</v>
      </c>
      <c r="I130" s="26">
        <f t="shared" si="53"/>
        <v>0</v>
      </c>
      <c r="J130" s="26">
        <f t="shared" si="53"/>
        <v>0</v>
      </c>
      <c r="K130" s="26">
        <f t="shared" si="53"/>
        <v>0</v>
      </c>
      <c r="L130" s="26">
        <f t="shared" si="53"/>
        <v>0</v>
      </c>
      <c r="M130" s="26">
        <f t="shared" si="53"/>
        <v>0</v>
      </c>
      <c r="N130" s="26">
        <f t="shared" si="53"/>
        <v>0</v>
      </c>
      <c r="O130" s="26">
        <f t="shared" si="53"/>
        <v>0</v>
      </c>
      <c r="P130" s="26">
        <f t="shared" si="53"/>
        <v>0</v>
      </c>
      <c r="Q130" s="26">
        <f t="shared" si="53"/>
        <v>0</v>
      </c>
      <c r="R130" s="26">
        <f t="shared" si="53"/>
        <v>0</v>
      </c>
      <c r="S130" s="26">
        <f t="shared" si="53"/>
        <v>0</v>
      </c>
      <c r="T130" s="26">
        <f t="shared" si="53"/>
        <v>0</v>
      </c>
      <c r="U130" s="26">
        <f t="shared" si="53"/>
        <v>0</v>
      </c>
      <c r="V130" s="26">
        <f t="shared" si="53"/>
        <v>0</v>
      </c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customHeight="1" x14ac:dyDescent="0.2">
      <c r="C134" s="131"/>
      <c r="D134" s="155" t="s">
        <v>72</v>
      </c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</row>
    <row r="135" spans="2:22" x14ac:dyDescent="0.2">
      <c r="B135" s="157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</row>
    <row r="136" spans="2:22" x14ac:dyDescent="0.2">
      <c r="B136" s="158"/>
      <c r="C136" s="159" t="s">
        <v>38</v>
      </c>
      <c r="D136" s="153">
        <v>2000</v>
      </c>
      <c r="E136" s="153">
        <v>2001</v>
      </c>
      <c r="F136" s="153">
        <v>2002</v>
      </c>
      <c r="G136" s="153">
        <v>2003</v>
      </c>
      <c r="H136" s="153">
        <v>2004</v>
      </c>
      <c r="I136" s="153">
        <v>2005</v>
      </c>
      <c r="J136" s="153">
        <v>2006</v>
      </c>
      <c r="K136" s="153">
        <v>2007</v>
      </c>
      <c r="L136" s="153">
        <v>2008</v>
      </c>
      <c r="M136" s="153">
        <v>2009</v>
      </c>
      <c r="N136" s="153">
        <v>2010</v>
      </c>
      <c r="O136" s="153">
        <v>2011</v>
      </c>
      <c r="P136" s="153">
        <v>2012</v>
      </c>
      <c r="Q136" s="153">
        <v>2013</v>
      </c>
      <c r="R136" s="153">
        <v>2014</v>
      </c>
      <c r="S136" s="153">
        <v>2015</v>
      </c>
      <c r="T136" s="153">
        <v>2016</v>
      </c>
      <c r="U136" s="153">
        <v>2017</v>
      </c>
      <c r="V136" s="153">
        <v>2018</v>
      </c>
    </row>
    <row r="137" spans="2:22" ht="12" customHeight="1" thickBot="1" x14ac:dyDescent="0.25">
      <c r="B137" s="154"/>
      <c r="C137" s="160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</row>
    <row r="138" spans="2:22" x14ac:dyDescent="0.2">
      <c r="B138" s="34" t="s">
        <v>39</v>
      </c>
      <c r="C138" s="76" t="s">
        <v>40</v>
      </c>
      <c r="D138" s="41">
        <f t="shared" ref="D138:V138" si="54">+D139+D140+D141+D142</f>
        <v>82048.900938024439</v>
      </c>
      <c r="E138" s="41">
        <f t="shared" si="54"/>
        <v>94057.607536189535</v>
      </c>
      <c r="F138" s="41">
        <f t="shared" si="54"/>
        <v>96480.951016009261</v>
      </c>
      <c r="G138" s="41">
        <f t="shared" si="54"/>
        <v>98180.464657975506</v>
      </c>
      <c r="H138" s="41">
        <f t="shared" si="54"/>
        <v>112727.83936807545</v>
      </c>
      <c r="I138" s="41">
        <f t="shared" si="54"/>
        <v>125606.40906710866</v>
      </c>
      <c r="J138" s="41">
        <f t="shared" si="54"/>
        <v>125603.78889139603</v>
      </c>
      <c r="K138" s="41">
        <f t="shared" si="54"/>
        <v>131859.73855163853</v>
      </c>
      <c r="L138" s="41">
        <f t="shared" si="54"/>
        <v>138837.23962591533</v>
      </c>
      <c r="M138" s="41">
        <f t="shared" si="54"/>
        <v>149111.35088474481</v>
      </c>
      <c r="N138" s="41">
        <f t="shared" si="54"/>
        <v>156313.84749684285</v>
      </c>
      <c r="O138" s="41">
        <f t="shared" si="54"/>
        <v>157884.37331549029</v>
      </c>
      <c r="P138" s="41">
        <f t="shared" si="54"/>
        <v>166258.58196992602</v>
      </c>
      <c r="Q138" s="41">
        <f t="shared" si="54"/>
        <v>182407.67026402071</v>
      </c>
      <c r="R138" s="41">
        <f t="shared" si="54"/>
        <v>192962.31141046813</v>
      </c>
      <c r="S138" s="41">
        <f t="shared" si="54"/>
        <v>192505.56843961627</v>
      </c>
      <c r="T138" s="41">
        <f t="shared" si="54"/>
        <v>196978.71647951659</v>
      </c>
      <c r="U138" s="41">
        <f t="shared" si="54"/>
        <v>216602.14435913583</v>
      </c>
      <c r="V138" s="41">
        <f t="shared" si="54"/>
        <v>221545.77899597271</v>
      </c>
    </row>
    <row r="139" spans="2:22" x14ac:dyDescent="0.2">
      <c r="B139" s="40"/>
      <c r="C139" s="77" t="s">
        <v>56</v>
      </c>
      <c r="D139" s="42">
        <f>5967.77458726522*Deflactores!$A$5</f>
        <v>22222.279658202031</v>
      </c>
      <c r="E139" s="42">
        <f>6541.97449637495*Deflactores!$B$5</f>
        <v>22629.650818630613</v>
      </c>
      <c r="F139" s="42">
        <f>7069.74548586312*Deflactores!$C$5</f>
        <v>22857.152572990854</v>
      </c>
      <c r="G139" s="42">
        <f>7665.80886152329*Deflactores!$D$5</f>
        <v>23273.513598868587</v>
      </c>
      <c r="H139" s="42">
        <f>8287.44996855581*Deflactores!$E$5</f>
        <v>23849.805829815694</v>
      </c>
      <c r="I139" s="42">
        <f>9037.76223317708*Deflactores!$F$5</f>
        <v>24804.758895037816</v>
      </c>
      <c r="J139" s="42">
        <f>10095.0541916827*Deflactores!$G$5</f>
        <v>26519.059471234905</v>
      </c>
      <c r="K139" s="42">
        <f>11083.8528035876*Deflactores!$H$5</f>
        <v>27547.867340088553</v>
      </c>
      <c r="L139" s="42">
        <f>12399.282244006*Deflactores!$I$5</f>
        <v>28620.777950354157</v>
      </c>
      <c r="M139" s="42">
        <f>13905.470378143*Deflactores!$J$5</f>
        <v>31467.533472337953</v>
      </c>
      <c r="N139" s="42">
        <f>15010.0073317177*Deflactores!$K$5</f>
        <v>32922.99586858027</v>
      </c>
      <c r="O139" s="42">
        <f>15731.7324202978*Deflactores!$L$5</f>
        <v>33266.299620695783</v>
      </c>
      <c r="P139" s="42">
        <f>17661.4598631146*Deflactores!$M$5</f>
        <v>36457.339518424575</v>
      </c>
      <c r="Q139" s="42">
        <f>19756.647389026*Deflactores!$N$5</f>
        <v>40006.171609655052</v>
      </c>
      <c r="R139" s="42">
        <f>21870.6671832615*Deflactores!$O$5</f>
        <v>42723.278486512674</v>
      </c>
      <c r="S139" s="42">
        <f>23250.5755332975*Deflactores!$P$5</f>
        <v>42538.973444592135</v>
      </c>
      <c r="T139" s="42">
        <f>25045.394923525*Deflactores!$Q$5</f>
        <v>43331.208908849752</v>
      </c>
      <c r="U139" s="42">
        <f>27123.4534641143*Deflactores!$R$5</f>
        <v>45082.594092289692</v>
      </c>
      <c r="V139" s="42">
        <f>30423.7658930889*Deflactores!$S$5</f>
        <v>49009.622803792401</v>
      </c>
    </row>
    <row r="140" spans="2:22" x14ac:dyDescent="0.2">
      <c r="B140" s="40"/>
      <c r="C140" s="77" t="s">
        <v>57</v>
      </c>
      <c r="D140" s="42">
        <f>1108.09065566282*Deflactores!$A$5</f>
        <v>4126.2115511745415</v>
      </c>
      <c r="E140" s="42">
        <f>1451.04372439792*Deflactores!$B$5</f>
        <v>5019.3734053664812</v>
      </c>
      <c r="F140" s="42">
        <f>1567.11229752339*Deflactores!$C$5</f>
        <v>5066.6215573288437</v>
      </c>
      <c r="G140" s="42">
        <f>1738.53449300691*Deflactores!$D$5</f>
        <v>5278.2174583280912</v>
      </c>
      <c r="H140" s="42">
        <f>1812.24426998767*Deflactores!$E$5</f>
        <v>5215.3164265719151</v>
      </c>
      <c r="I140" s="42">
        <f>2050.07895191691*Deflactores!$F$5</f>
        <v>5626.5824222966612</v>
      </c>
      <c r="J140" s="42">
        <f>2495.21726252012*Deflactores!$G$5</f>
        <v>6554.7756081330454</v>
      </c>
      <c r="K140" s="42">
        <f>3183.05357121216*Deflactores!$H$5</f>
        <v>7911.1784566252581</v>
      </c>
      <c r="L140" s="42">
        <f>3519.95574331124*Deflactores!$I$5</f>
        <v>8124.9760866671068</v>
      </c>
      <c r="M140" s="42">
        <f>3930.13450142483*Deflactores!$J$5</f>
        <v>8893.740061376604</v>
      </c>
      <c r="N140" s="42">
        <f>4388.17580224797*Deflactores!$K$5</f>
        <v>9625.038190536372</v>
      </c>
      <c r="O140" s="42">
        <f>4722.12436567546*Deflactores!$L$5</f>
        <v>9985.397653475613</v>
      </c>
      <c r="P140" s="42">
        <f>5423.72219387453*Deflactores!$M$5</f>
        <v>11195.817503662905</v>
      </c>
      <c r="Q140" s="42">
        <f>6415.67896413992*Deflactores!$N$5</f>
        <v>12991.412387832735</v>
      </c>
      <c r="R140" s="42">
        <f>6634.27038061814*Deflactores!$O$5</f>
        <v>12959.722657336104</v>
      </c>
      <c r="S140" s="42">
        <f>6504.94437885458*Deflactores!$P$5</f>
        <v>11901.368023959581</v>
      </c>
      <c r="T140" s="42">
        <f>6407.89106559151*Deflactores!$Q$5</f>
        <v>11086.33612191483</v>
      </c>
      <c r="U140" s="42">
        <f>6498.35823744682*Deflactores!$R$5</f>
        <v>10801.089436221928</v>
      </c>
      <c r="V140" s="42">
        <f>7325.62806192969*Deflactores!$S$5</f>
        <v>11800.84902630702</v>
      </c>
    </row>
    <row r="141" spans="2:22" x14ac:dyDescent="0.2">
      <c r="B141" s="40"/>
      <c r="C141" s="77" t="s">
        <v>58</v>
      </c>
      <c r="D141" s="42">
        <f>14694.9638339296*Deflactores!$A$5</f>
        <v>54719.827485038259</v>
      </c>
      <c r="E141" s="42">
        <f>18908.4665323766*Deflactores!$B$5</f>
        <v>65407.163445921389</v>
      </c>
      <c r="F141" s="42">
        <f>20814.8274594753*Deflactores!$C$5</f>
        <v>67296.296305583586</v>
      </c>
      <c r="G141" s="42">
        <f>22477.8460250277*Deflactores!$D$5</f>
        <v>68243.086227015883</v>
      </c>
      <c r="H141" s="42">
        <f>28636.4467467283*Deflactores!$E$5</f>
        <v>82410.596402592084</v>
      </c>
      <c r="I141" s="42">
        <f>34101.1909866836*Deflactores!$F$5</f>
        <v>93593.059723697865</v>
      </c>
      <c r="J141" s="42">
        <f>34687.3341226263*Deflactores!$G$5</f>
        <v>91121.400542297895</v>
      </c>
      <c r="K141" s="42">
        <f>38135.5395183975*Deflactores!$H$5</f>
        <v>94782.274919374409</v>
      </c>
      <c r="L141" s="42">
        <f>43451.9461890355*Deflactores!$I$5</f>
        <v>100298.42686969331</v>
      </c>
      <c r="M141" s="42">
        <f>47127.2721401527*Deflactores!$J$5</f>
        <v>106647.16641741383</v>
      </c>
      <c r="N141" s="42">
        <f>50688.1545203723*Deflactores!$K$5</f>
        <v>111179.55274637447</v>
      </c>
      <c r="O141" s="42">
        <f>53079.5415927111*Deflactores!$L$5</f>
        <v>112241.92524874421</v>
      </c>
      <c r="P141" s="42">
        <f>56340.1889885043*Deflactores!$M$5</f>
        <v>116299.18559426951</v>
      </c>
      <c r="Q141" s="42">
        <f>62782.5015307432*Deflactores!$N$5</f>
        <v>127131.26275247906</v>
      </c>
      <c r="R141" s="42">
        <f>69070.5317275132*Deflactores!$O$5</f>
        <v>134925.90497945636</v>
      </c>
      <c r="S141" s="42">
        <f>74166.671112697*Deflactores!$P$5</f>
        <v>135694.44973172946</v>
      </c>
      <c r="T141" s="42">
        <f>81003.6135252261*Deflactores!$Q$5</f>
        <v>140144.90531097158</v>
      </c>
      <c r="U141" s="42">
        <f>95377.8375801272*Deflactores!$R$5</f>
        <v>158529.97269371201</v>
      </c>
      <c r="V141" s="42">
        <f>98514.6949221302*Deflactores!$S$5</f>
        <v>158697.25186983036</v>
      </c>
    </row>
    <row r="142" spans="2:22" x14ac:dyDescent="0.2">
      <c r="B142" s="40"/>
      <c r="C142" s="77" t="s">
        <v>59</v>
      </c>
      <c r="D142" s="42">
        <f>263.33454011668*Deflactores!$A$5</f>
        <v>980.58224360959991</v>
      </c>
      <c r="E142" s="42">
        <f>289.499085859289*Deflactores!$B$5</f>
        <v>1001.4198662710578</v>
      </c>
      <c r="F142" s="42">
        <f>389.99191876376*Deflactores!$C$5</f>
        <v>1260.8805801059791</v>
      </c>
      <c r="G142" s="42">
        <f>456.40327884376*Deflactores!$D$5</f>
        <v>1385.6473737629451</v>
      </c>
      <c r="H142" s="42">
        <f>435.09317456376*Deflactores!$E$5</f>
        <v>1252.1207090957655</v>
      </c>
      <c r="I142" s="42">
        <f>576.41408453746*Deflactores!$F$5</f>
        <v>1582.0080260763261</v>
      </c>
      <c r="J142" s="42">
        <f>536.19630082364*Deflactores!$G$5</f>
        <v>1408.553269730204</v>
      </c>
      <c r="K142" s="42">
        <f>651.16855843995*Deflactores!$H$5</f>
        <v>1618.4178355503066</v>
      </c>
      <c r="L142" s="42">
        <f>776.80072770946*Deflactores!$I$5</f>
        <v>1793.0587192007481</v>
      </c>
      <c r="M142" s="42">
        <f>929.27415874466*Deflactores!$J$5</f>
        <v>2102.9109336164279</v>
      </c>
      <c r="N142" s="42">
        <f>1179.10873281037*Deflactores!$K$5</f>
        <v>2586.2606913517279</v>
      </c>
      <c r="O142" s="42">
        <f>1130.59318833891*Deflactores!$L$5</f>
        <v>2390.7507925746909</v>
      </c>
      <c r="P142" s="42">
        <f>1117.23878691724*Deflactores!$M$5</f>
        <v>2306.2393535690212</v>
      </c>
      <c r="Q142" s="42">
        <f>1125.37418147049*Deflactores!$N$5</f>
        <v>2278.8235140538736</v>
      </c>
      <c r="R142" s="42">
        <f>1204.74237011372*Deflactores!$O$5</f>
        <v>2353.4052871629933</v>
      </c>
      <c r="S142" s="42">
        <f>1295.79843640516*Deflactores!$P$5</f>
        <v>2370.7772393350933</v>
      </c>
      <c r="T142" s="42">
        <f>1396.59938379177*Deflactores!$Q$5</f>
        <v>2416.266137780457</v>
      </c>
      <c r="U142" s="42">
        <f>1316.68013639119*Deflactores!$R$5</f>
        <v>2188.488136912214</v>
      </c>
      <c r="V142" s="42">
        <f>1265.16617873627*Deflactores!$S$5</f>
        <v>2038.0552960429263</v>
      </c>
    </row>
    <row r="143" spans="2:22" x14ac:dyDescent="0.2">
      <c r="B143" s="34" t="s">
        <v>41</v>
      </c>
      <c r="C143" s="76" t="s">
        <v>42</v>
      </c>
      <c r="D143" s="41">
        <f t="shared" ref="D143:V143" si="55">+D144+D147</f>
        <v>57782.142803892166</v>
      </c>
      <c r="E143" s="41">
        <f t="shared" si="55"/>
        <v>70677.125576833059</v>
      </c>
      <c r="F143" s="41">
        <f t="shared" si="55"/>
        <v>70164.290215657369</v>
      </c>
      <c r="G143" s="41">
        <f t="shared" si="55"/>
        <v>77401.703753118127</v>
      </c>
      <c r="H143" s="41">
        <f t="shared" si="55"/>
        <v>68715.997088072007</v>
      </c>
      <c r="I143" s="41">
        <f t="shared" si="55"/>
        <v>82359.951982264814</v>
      </c>
      <c r="J143" s="41">
        <f t="shared" si="55"/>
        <v>94366.86692937465</v>
      </c>
      <c r="K143" s="41">
        <f t="shared" si="55"/>
        <v>90656.183613698435</v>
      </c>
      <c r="L143" s="41">
        <f t="shared" si="55"/>
        <v>79634.686978351689</v>
      </c>
      <c r="M143" s="41">
        <f t="shared" si="55"/>
        <v>71753.864678981699</v>
      </c>
      <c r="N143" s="41">
        <f t="shared" si="55"/>
        <v>69069.943652571776</v>
      </c>
      <c r="O143" s="41">
        <f t="shared" si="55"/>
        <v>69326.376762468077</v>
      </c>
      <c r="P143" s="41">
        <f t="shared" si="55"/>
        <v>74620.600251611482</v>
      </c>
      <c r="Q143" s="41">
        <f t="shared" si="55"/>
        <v>75420.371035428019</v>
      </c>
      <c r="R143" s="41">
        <f t="shared" si="55"/>
        <v>76769.922774421881</v>
      </c>
      <c r="S143" s="41">
        <f t="shared" si="55"/>
        <v>83789.890647218432</v>
      </c>
      <c r="T143" s="41">
        <f t="shared" si="55"/>
        <v>68448.195826859213</v>
      </c>
      <c r="U143" s="41">
        <f t="shared" si="55"/>
        <v>81275.772793016644</v>
      </c>
      <c r="V143" s="41">
        <f t="shared" si="55"/>
        <v>58604.076007202413</v>
      </c>
    </row>
    <row r="144" spans="2:22" x14ac:dyDescent="0.2">
      <c r="B144" s="34"/>
      <c r="C144" s="76" t="s">
        <v>43</v>
      </c>
      <c r="D144" s="41">
        <f t="shared" ref="D144:V144" si="56">+D145+D146</f>
        <v>18353.134459491135</v>
      </c>
      <c r="E144" s="41">
        <f t="shared" si="56"/>
        <v>26478.210235051702</v>
      </c>
      <c r="F144" s="41">
        <f t="shared" si="56"/>
        <v>29953.059828777376</v>
      </c>
      <c r="G144" s="41">
        <f t="shared" si="56"/>
        <v>36712.692336893611</v>
      </c>
      <c r="H144" s="41">
        <f t="shared" si="56"/>
        <v>21046.004944332344</v>
      </c>
      <c r="I144" s="41">
        <f t="shared" si="56"/>
        <v>33233.545073541449</v>
      </c>
      <c r="J144" s="41">
        <f t="shared" si="56"/>
        <v>23081.15365941836</v>
      </c>
      <c r="K144" s="41">
        <f t="shared" si="56"/>
        <v>17021.550055683016</v>
      </c>
      <c r="L144" s="41">
        <f t="shared" si="56"/>
        <v>15612.789586725208</v>
      </c>
      <c r="M144" s="41">
        <f t="shared" si="56"/>
        <v>14232.557466442342</v>
      </c>
      <c r="N144" s="41">
        <f t="shared" si="56"/>
        <v>14338.998857090886</v>
      </c>
      <c r="O144" s="41">
        <f t="shared" si="56"/>
        <v>11419.719379617502</v>
      </c>
      <c r="P144" s="41">
        <f t="shared" si="56"/>
        <v>13364.118241430824</v>
      </c>
      <c r="Q144" s="41">
        <f t="shared" si="56"/>
        <v>12949.308762750281</v>
      </c>
      <c r="R144" s="41">
        <f t="shared" si="56"/>
        <v>16123.97957818473</v>
      </c>
      <c r="S144" s="41">
        <f t="shared" si="56"/>
        <v>19867.410071266</v>
      </c>
      <c r="T144" s="41">
        <f t="shared" si="56"/>
        <v>16026.763763201299</v>
      </c>
      <c r="U144" s="41">
        <f t="shared" si="56"/>
        <v>23227.192972073706</v>
      </c>
      <c r="V144" s="41">
        <f t="shared" si="56"/>
        <v>15462.067123261664</v>
      </c>
    </row>
    <row r="145" spans="2:22" x14ac:dyDescent="0.2">
      <c r="B145" s="32"/>
      <c r="C145" s="77" t="s">
        <v>60</v>
      </c>
      <c r="D145" s="42">
        <f>2497.25830394402*Deflactores!$A$5</f>
        <v>9299.0731465348817</v>
      </c>
      <c r="E145" s="42">
        <f>4322.52099781054*Deflactores!$B$5</f>
        <v>14952.235122722339</v>
      </c>
      <c r="F145" s="42">
        <f>5546.85434544663*Deflactores!$C$5</f>
        <v>17933.502178763676</v>
      </c>
      <c r="G145" s="42">
        <f>7547.54389011074*Deflactores!$D$5</f>
        <v>22914.459326819746</v>
      </c>
      <c r="H145" s="42">
        <f>3749.87036095508*Deflactores!$E$5</f>
        <v>10791.45941575373</v>
      </c>
      <c r="I145" s="42">
        <f>8191.23993153419*Deflactores!$F$5</f>
        <v>22481.420324075774</v>
      </c>
      <c r="J145" s="42">
        <f>4718.16165433809*Deflactores!$G$5</f>
        <v>12394.307859127593</v>
      </c>
      <c r="K145" s="42">
        <f>3341.18641536606*Deflactores!$H$5</f>
        <v>8304.2026775398954</v>
      </c>
      <c r="L145" s="42">
        <f>3374.54579952573*Deflactores!$I$5</f>
        <v>7789.3320041339903</v>
      </c>
      <c r="M145" s="42">
        <f>2751.18217286863*Deflactores!$J$5</f>
        <v>6225.8172330021116</v>
      </c>
      <c r="N145" s="42">
        <f>3278.52578677388*Deflactores!$K$5</f>
        <v>7191.1284616699868</v>
      </c>
      <c r="O145" s="42">
        <f>2189.09712651191*Deflactores!$L$5</f>
        <v>4629.0617564401</v>
      </c>
      <c r="P145" s="42">
        <f>3393.25689011586*Deflactores!$M$5</f>
        <v>7004.4673246151069</v>
      </c>
      <c r="Q145" s="42">
        <f>2851.47462092845*Deflactores!$N$5</f>
        <v>5774.0860976647527</v>
      </c>
      <c r="R145" s="42">
        <f>4767.44556496042*Deflactores!$O$5</f>
        <v>9312.9717001490917</v>
      </c>
      <c r="S145" s="42">
        <f>5975.80032625673*Deflactores!$P$5</f>
        <v>10933.252427440779</v>
      </c>
      <c r="T145" s="42">
        <f>3415.46895859314*Deflactores!$Q$5</f>
        <v>5909.1261854081868</v>
      </c>
      <c r="U145" s="42">
        <f>7662.71728925486*Deflactores!$R$5</f>
        <v>12736.400755622873</v>
      </c>
      <c r="V145" s="42">
        <f>2964.89476357482*Deflactores!$S$5</f>
        <v>4776.1468625009893</v>
      </c>
    </row>
    <row r="146" spans="2:22" x14ac:dyDescent="0.2">
      <c r="B146" s="32"/>
      <c r="C146" s="77" t="s">
        <v>61</v>
      </c>
      <c r="D146" s="42">
        <f>2431.46058127563*Deflactores!$A$5</f>
        <v>9054.0613129562553</v>
      </c>
      <c r="E146" s="42">
        <f>3332.02822416656*Deflactores!$B$5</f>
        <v>11525.975112329364</v>
      </c>
      <c r="F146" s="42">
        <f>3717.66400766239*Deflactores!$C$5</f>
        <v>12019.557650013699</v>
      </c>
      <c r="G146" s="42">
        <f>4544.84951026602*Deflactores!$D$5</f>
        <v>13798.233010073869</v>
      </c>
      <c r="H146" s="42">
        <f>3563.3008345976*Deflactores!$E$5</f>
        <v>10254.545528578616</v>
      </c>
      <c r="I146" s="42">
        <f>3917.60094900859*Deflactores!$F$5</f>
        <v>10752.124749465671</v>
      </c>
      <c r="J146" s="42">
        <f>4068.17925081821*Deflactores!$G$5</f>
        <v>10686.845800290766</v>
      </c>
      <c r="K146" s="42">
        <f>3507.41471142746*Deflactores!$H$5</f>
        <v>8717.3473781431203</v>
      </c>
      <c r="L146" s="42">
        <f>3389.32990776224*Deflactores!$I$5</f>
        <v>7823.4575825912189</v>
      </c>
      <c r="M146" s="42">
        <f>3538.1701981651*Deflactores!$J$5</f>
        <v>8006.7402334402304</v>
      </c>
      <c r="N146" s="42">
        <f>3258.80389104645*Deflactores!$K$5</f>
        <v>7147.8703954208986</v>
      </c>
      <c r="O146" s="42">
        <f>3211.32226618982*Deflactores!$L$5</f>
        <v>6790.6576231774025</v>
      </c>
      <c r="P146" s="42">
        <f>3080.88085676128*Deflactores!$M$5</f>
        <v>6359.6509168157181</v>
      </c>
      <c r="Q146" s="42">
        <f>3543.41188942034*Deflactores!$N$5</f>
        <v>7175.2226650855282</v>
      </c>
      <c r="R146" s="42">
        <f>3486.65392170489*Deflactores!$O$5</f>
        <v>6811.007878035638</v>
      </c>
      <c r="S146" s="42">
        <f>4883.15279621664*Deflactores!$P$5</f>
        <v>8934.1576438252196</v>
      </c>
      <c r="T146" s="42">
        <f>5847.9842868444*Deflactores!$Q$5</f>
        <v>10117.637577793113</v>
      </c>
      <c r="U146" s="42">
        <f>6311.67128275925*Deflactores!$R$5</f>
        <v>10490.792216450833</v>
      </c>
      <c r="V146" s="42">
        <f>6633.51231383975*Deflactores!$S$5</f>
        <v>10685.920260760675</v>
      </c>
    </row>
    <row r="147" spans="2:22" x14ac:dyDescent="0.2">
      <c r="B147" s="34"/>
      <c r="C147" s="76" t="s">
        <v>44</v>
      </c>
      <c r="D147" s="41">
        <f t="shared" ref="D147:V147" si="57">+D148+D149</f>
        <v>39429.008344401031</v>
      </c>
      <c r="E147" s="41">
        <f t="shared" si="57"/>
        <v>44198.915341781365</v>
      </c>
      <c r="F147" s="41">
        <f t="shared" si="57"/>
        <v>40211.230386879994</v>
      </c>
      <c r="G147" s="41">
        <f t="shared" si="57"/>
        <v>40689.011416224515</v>
      </c>
      <c r="H147" s="41">
        <f t="shared" si="57"/>
        <v>47669.99214373967</v>
      </c>
      <c r="I147" s="41">
        <f t="shared" si="57"/>
        <v>49126.406908723373</v>
      </c>
      <c r="J147" s="41">
        <f t="shared" si="57"/>
        <v>71285.713269956294</v>
      </c>
      <c r="K147" s="41">
        <f t="shared" si="57"/>
        <v>73634.633558015412</v>
      </c>
      <c r="L147" s="41">
        <f t="shared" si="57"/>
        <v>64021.89739162648</v>
      </c>
      <c r="M147" s="41">
        <f t="shared" si="57"/>
        <v>57521.307212539352</v>
      </c>
      <c r="N147" s="41">
        <f t="shared" si="57"/>
        <v>54730.944795480886</v>
      </c>
      <c r="O147" s="41">
        <f t="shared" si="57"/>
        <v>57906.657382850579</v>
      </c>
      <c r="P147" s="41">
        <f t="shared" si="57"/>
        <v>61256.482010180654</v>
      </c>
      <c r="Q147" s="41">
        <f t="shared" si="57"/>
        <v>62471.062272677736</v>
      </c>
      <c r="R147" s="41">
        <f t="shared" si="57"/>
        <v>60645.943196237145</v>
      </c>
      <c r="S147" s="41">
        <f t="shared" si="57"/>
        <v>63922.480575952432</v>
      </c>
      <c r="T147" s="41">
        <f t="shared" si="57"/>
        <v>52421.432063657907</v>
      </c>
      <c r="U147" s="41">
        <f t="shared" si="57"/>
        <v>58048.579820942934</v>
      </c>
      <c r="V147" s="41">
        <f t="shared" si="57"/>
        <v>43142.008883940747</v>
      </c>
    </row>
    <row r="148" spans="2:22" x14ac:dyDescent="0.2">
      <c r="B148" s="32"/>
      <c r="C148" s="77" t="s">
        <v>60</v>
      </c>
      <c r="D148" s="42">
        <f>6018.95864857658*Deflactores!$A$5</f>
        <v>22412.874411383691</v>
      </c>
      <c r="E148" s="42">
        <f>7838.10293537694*Deflactores!$B$5</f>
        <v>27113.149494292633</v>
      </c>
      <c r="F148" s="42">
        <f>7294.92550011668*Deflactores!$C$5</f>
        <v>23585.180753421668</v>
      </c>
      <c r="G148" s="42">
        <f>7016.04347527247*Deflactores!$D$5</f>
        <v>21300.815893231091</v>
      </c>
      <c r="H148" s="42">
        <f>9384.29158420903*Deflactores!$E$5</f>
        <v>27006.320760058978</v>
      </c>
      <c r="I148" s="42">
        <f>9472.21778058875*Deflactores!$F$5</f>
        <v>25997.151970460625</v>
      </c>
      <c r="J148" s="42">
        <f>16553.764343672*Deflactores!$G$5</f>
        <v>43485.676527059055</v>
      </c>
      <c r="K148" s="42">
        <f>17728.5609090329*Deflactores!$H$5</f>
        <v>44062.660584471036</v>
      </c>
      <c r="L148" s="42">
        <f>16111.3950871107*Deflactores!$I$5</f>
        <v>37189.302750289025</v>
      </c>
      <c r="M148" s="42">
        <f>13481.1511733567*Deflactores!$J$5</f>
        <v>30507.315772650771</v>
      </c>
      <c r="N148" s="42">
        <f>13649.0089691116*Deflactores!$K$5</f>
        <v>29937.777908390413</v>
      </c>
      <c r="O148" s="42">
        <f>14232.502377734*Deflactores!$L$5</f>
        <v>30096.02984596161</v>
      </c>
      <c r="P148" s="42">
        <f>16532.4080745442*Deflactores!$M$5</f>
        <v>34126.715396249849</v>
      </c>
      <c r="Q148" s="42">
        <f>17810.4755262234*Deflactores!$N$5</f>
        <v>36065.275971237665</v>
      </c>
      <c r="R148" s="42">
        <f>17247.9177421297*Deflactores!$O$5</f>
        <v>33692.963586105856</v>
      </c>
      <c r="S148" s="42">
        <f>20268.3280460608*Deflactores!$P$5</f>
        <v>37082.689298718717</v>
      </c>
      <c r="T148" s="42">
        <f>13863.0831808706*Deflactores!$Q$5</f>
        <v>23984.614946791167</v>
      </c>
      <c r="U148" s="42">
        <f>17064.1076072919*Deflactores!$R$5</f>
        <v>28362.694957871365</v>
      </c>
      <c r="V148" s="42">
        <f>8078.18446274733*Deflactores!$S$5</f>
        <v>13013.1415962755</v>
      </c>
    </row>
    <row r="149" spans="2:22" x14ac:dyDescent="0.2">
      <c r="B149" s="32"/>
      <c r="C149" s="77" t="s">
        <v>61</v>
      </c>
      <c r="D149" s="42">
        <f>4569.66851380082*Deflactores!$A$5</f>
        <v>17016.13393301734</v>
      </c>
      <c r="E149" s="42">
        <f>4939.30044794519*Deflactores!$B$5</f>
        <v>17085.765847488732</v>
      </c>
      <c r="F149" s="42">
        <f>5142.45766039868*Deflactores!$C$5</f>
        <v>16626.049633458329</v>
      </c>
      <c r="G149" s="42">
        <f>6386.06630742401*Deflactores!$D$5</f>
        <v>19388.195522993428</v>
      </c>
      <c r="H149" s="42">
        <f>7180.31601518726*Deflactores!$E$5</f>
        <v>20663.671383680688</v>
      </c>
      <c r="I149" s="42">
        <f>8427.282347194*Deflactores!$F$5</f>
        <v>23129.254938262748</v>
      </c>
      <c r="J149" s="42">
        <f>10582.6859265024*Deflactores!$G$5</f>
        <v>27800.036742897231</v>
      </c>
      <c r="K149" s="42">
        <f>11898.2493818479*Deflactores!$H$5</f>
        <v>29571.972973544376</v>
      </c>
      <c r="L149" s="42">
        <f>11624.5936736611*Deflactores!$I$5</f>
        <v>26832.594641337455</v>
      </c>
      <c r="M149" s="42">
        <f>11937.4547767779*Deflactores!$J$5</f>
        <v>27013.991439888578</v>
      </c>
      <c r="N149" s="42">
        <f>11303.5161878109*Deflactores!$K$5</f>
        <v>24793.166887090469</v>
      </c>
      <c r="O149" s="42">
        <f>13151.7288018027*Deflactores!$L$5</f>
        <v>27810.627536888973</v>
      </c>
      <c r="P149" s="42">
        <f>13142.7934807326*Deflactores!$M$5</f>
        <v>27129.766613930809</v>
      </c>
      <c r="Q149" s="42">
        <f>13040.2332439533*Deflactores!$N$5</f>
        <v>26405.786301440075</v>
      </c>
      <c r="R149" s="42">
        <f>13797.6219881278*Deflactores!$O$5</f>
        <v>26952.97961013129</v>
      </c>
      <c r="S149" s="42">
        <f>14669.8555197174*Deflactores!$P$5</f>
        <v>26839.791277233715</v>
      </c>
      <c r="T149" s="42">
        <f>16436.4515321548*Deflactores!$Q$5</f>
        <v>28436.817116866743</v>
      </c>
      <c r="U149" s="42">
        <f>17860.1904534656*Deflactores!$R$5</f>
        <v>29685.884863071573</v>
      </c>
      <c r="V149" s="42">
        <f>18703.1352731191*Deflactores!$S$5</f>
        <v>30128.867287665245</v>
      </c>
    </row>
    <row r="150" spans="2:22" x14ac:dyDescent="0.2">
      <c r="B150" s="34" t="s">
        <v>45</v>
      </c>
      <c r="C150" s="76" t="s">
        <v>46</v>
      </c>
      <c r="D150" s="41">
        <f>4175.65081180812*Deflactores!$A$5</f>
        <v>15548.925104009544</v>
      </c>
      <c r="E150" s="41">
        <f>7185.34480842093*Deflactores!$B$5</f>
        <v>24855.163241025646</v>
      </c>
      <c r="F150" s="41">
        <f>5498.01124776341*Deflactores!$C$5</f>
        <v>17775.587846753388</v>
      </c>
      <c r="G150" s="41">
        <f>5695.45862319715*Deflactores!$D$5</f>
        <v>17291.499972572008</v>
      </c>
      <c r="H150" s="41">
        <f>6867.84185733118*Deflactores!$E$5</f>
        <v>19764.426378283526</v>
      </c>
      <c r="I150" s="41">
        <f>8151.25244335773*Deflactores!$F$5</f>
        <v>22371.67191761802</v>
      </c>
      <c r="J150" s="41">
        <f>9253.92026553686*Deflactores!$G$5</f>
        <v>24309.454630370081</v>
      </c>
      <c r="K150" s="41">
        <f>14661.5097682781*Deflactores!$H$5</f>
        <v>36439.79519208394</v>
      </c>
      <c r="L150" s="41">
        <f>16549.8332916943*Deflactores!$I$5</f>
        <v>38201.332499382384</v>
      </c>
      <c r="M150" s="41">
        <f>22979.2399455778*Deflactores!$J$5</f>
        <v>52001.117725074815</v>
      </c>
      <c r="N150" s="41">
        <f>18115.3079234739*Deflactores!$K$5</f>
        <v>39734.171659084677</v>
      </c>
      <c r="O150" s="41">
        <f>21592.3216729692*Deflactores!$L$5</f>
        <v>45659.093549840545</v>
      </c>
      <c r="P150" s="41">
        <f>25883.9855304912*Deflactores!$M$5</f>
        <v>53430.534955149058</v>
      </c>
      <c r="Q150" s="41">
        <f>30949.318771253*Deflactores!$N$5</f>
        <v>62670.742337205193</v>
      </c>
      <c r="R150" s="41">
        <f>32379.7563253864*Deflactores!$O$5</f>
        <v>63252.27004842594</v>
      </c>
      <c r="S150" s="41">
        <f>33558.2066540004*Deflactores!$P$5</f>
        <v>61397.691410187617</v>
      </c>
      <c r="T150" s="41">
        <f>29952.8251855049*Deflactores!$Q$5</f>
        <v>51821.587540800414</v>
      </c>
      <c r="U150" s="41">
        <f>28959.6440668524*Deflactores!$R$5</f>
        <v>48134.574022826229</v>
      </c>
      <c r="V150" s="41">
        <f>29704.0279710711*Deflactores!$S$5</f>
        <v>47850.197497943242</v>
      </c>
    </row>
    <row r="151" spans="2:22" x14ac:dyDescent="0.2">
      <c r="B151" s="36" t="s">
        <v>47</v>
      </c>
      <c r="C151" s="78" t="s">
        <v>48</v>
      </c>
      <c r="D151" s="43">
        <f t="shared" ref="D151:V151" si="58">+D138+D150</f>
        <v>97597.826042033979</v>
      </c>
      <c r="E151" s="43">
        <f t="shared" si="58"/>
        <v>118912.77077721518</v>
      </c>
      <c r="F151" s="43">
        <f t="shared" si="58"/>
        <v>114256.53886276265</v>
      </c>
      <c r="G151" s="43">
        <f t="shared" si="58"/>
        <v>115471.96463054752</v>
      </c>
      <c r="H151" s="43">
        <f t="shared" si="58"/>
        <v>132492.26574635899</v>
      </c>
      <c r="I151" s="43">
        <f t="shared" si="58"/>
        <v>147978.08098472666</v>
      </c>
      <c r="J151" s="43">
        <f t="shared" si="58"/>
        <v>149913.24352176613</v>
      </c>
      <c r="K151" s="43">
        <f t="shared" si="58"/>
        <v>168299.53374372248</v>
      </c>
      <c r="L151" s="43">
        <f t="shared" si="58"/>
        <v>177038.57212529771</v>
      </c>
      <c r="M151" s="43">
        <f t="shared" si="58"/>
        <v>201112.46860981963</v>
      </c>
      <c r="N151" s="43">
        <f t="shared" si="58"/>
        <v>196048.01915592753</v>
      </c>
      <c r="O151" s="43">
        <f t="shared" si="58"/>
        <v>203543.46686533082</v>
      </c>
      <c r="P151" s="43">
        <f t="shared" si="58"/>
        <v>219689.11692507507</v>
      </c>
      <c r="Q151" s="43">
        <f t="shared" si="58"/>
        <v>245078.41260122589</v>
      </c>
      <c r="R151" s="43">
        <f t="shared" si="58"/>
        <v>256214.58145889407</v>
      </c>
      <c r="S151" s="43">
        <f t="shared" si="58"/>
        <v>253903.25984980387</v>
      </c>
      <c r="T151" s="43">
        <f t="shared" si="58"/>
        <v>248800.30402031701</v>
      </c>
      <c r="U151" s="43">
        <f t="shared" si="58"/>
        <v>264736.71838196204</v>
      </c>
      <c r="V151" s="43">
        <f t="shared" si="58"/>
        <v>269395.97649391595</v>
      </c>
    </row>
    <row r="152" spans="2:22" x14ac:dyDescent="0.2">
      <c r="B152" s="38" t="s">
        <v>49</v>
      </c>
      <c r="C152" s="79" t="s">
        <v>63</v>
      </c>
      <c r="D152" s="44">
        <f t="shared" ref="D152:V152" si="59">+D138+D143+D150</f>
        <v>155379.96884592614</v>
      </c>
      <c r="E152" s="44">
        <f t="shared" si="59"/>
        <v>189589.89635404822</v>
      </c>
      <c r="F152" s="44">
        <f t="shared" si="59"/>
        <v>184420.82907842004</v>
      </c>
      <c r="G152" s="44">
        <f t="shared" si="59"/>
        <v>192873.66838366564</v>
      </c>
      <c r="H152" s="44">
        <f t="shared" si="59"/>
        <v>201208.26283443099</v>
      </c>
      <c r="I152" s="44">
        <f t="shared" si="59"/>
        <v>230338.03296699148</v>
      </c>
      <c r="J152" s="44">
        <f t="shared" si="59"/>
        <v>244280.11045114076</v>
      </c>
      <c r="K152" s="44">
        <f t="shared" si="59"/>
        <v>258955.71735742089</v>
      </c>
      <c r="L152" s="44">
        <f t="shared" si="59"/>
        <v>256673.25910364941</v>
      </c>
      <c r="M152" s="44">
        <f t="shared" si="59"/>
        <v>272866.33328880131</v>
      </c>
      <c r="N152" s="44">
        <f t="shared" si="59"/>
        <v>265117.96280849929</v>
      </c>
      <c r="O152" s="44">
        <f t="shared" si="59"/>
        <v>272869.84362779889</v>
      </c>
      <c r="P152" s="44">
        <f t="shared" si="59"/>
        <v>294309.71717668656</v>
      </c>
      <c r="Q152" s="44">
        <f t="shared" si="59"/>
        <v>320498.78363665391</v>
      </c>
      <c r="R152" s="44">
        <f t="shared" si="59"/>
        <v>332984.50423331594</v>
      </c>
      <c r="S152" s="44">
        <f t="shared" si="59"/>
        <v>337693.15049702232</v>
      </c>
      <c r="T152" s="44">
        <f t="shared" si="59"/>
        <v>317248.49984717619</v>
      </c>
      <c r="U152" s="44">
        <f t="shared" si="59"/>
        <v>346012.49117497867</v>
      </c>
      <c r="V152" s="44">
        <f t="shared" si="59"/>
        <v>328000.05250111833</v>
      </c>
    </row>
    <row r="153" spans="2:22" x14ac:dyDescent="0.2">
      <c r="B153" s="36" t="s">
        <v>64</v>
      </c>
      <c r="C153" s="78" t="s">
        <v>65</v>
      </c>
      <c r="D153" s="43">
        <f t="shared" ref="D153:V153" si="60">+D26</f>
        <v>126782.54276388661</v>
      </c>
      <c r="E153" s="43">
        <f t="shared" si="60"/>
        <v>143032.59975484706</v>
      </c>
      <c r="F153" s="43">
        <f t="shared" si="60"/>
        <v>141588.89093151753</v>
      </c>
      <c r="G153" s="43">
        <f t="shared" si="60"/>
        <v>134808.73944146308</v>
      </c>
      <c r="H153" s="43">
        <f t="shared" si="60"/>
        <v>157759.43939251304</v>
      </c>
      <c r="I153" s="43">
        <f t="shared" si="60"/>
        <v>169935.79883996848</v>
      </c>
      <c r="J153" s="43">
        <f t="shared" si="60"/>
        <v>175986.45012866412</v>
      </c>
      <c r="K153" s="43">
        <f t="shared" si="60"/>
        <v>193512.06782907734</v>
      </c>
      <c r="L153" s="43">
        <f t="shared" si="60"/>
        <v>199449.5292502612</v>
      </c>
      <c r="M153" s="43">
        <f t="shared" si="60"/>
        <v>237636.1197012816</v>
      </c>
      <c r="N153" s="43">
        <f t="shared" si="60"/>
        <v>240985.16621018582</v>
      </c>
      <c r="O153" s="43">
        <f t="shared" si="60"/>
        <v>245558.00420047733</v>
      </c>
      <c r="P153" s="43">
        <f t="shared" si="60"/>
        <v>266715.59808947309</v>
      </c>
      <c r="Q153" s="43">
        <f t="shared" si="60"/>
        <v>292442.27969554323</v>
      </c>
      <c r="R153" s="43">
        <f t="shared" si="60"/>
        <v>304756.02202224766</v>
      </c>
      <c r="S153" s="43">
        <f t="shared" si="60"/>
        <v>293864.68178185861</v>
      </c>
      <c r="T153" s="43">
        <f t="shared" si="60"/>
        <v>283252.97657648916</v>
      </c>
      <c r="U153" s="43">
        <f t="shared" si="60"/>
        <v>298034.32586956298</v>
      </c>
      <c r="V153" s="43">
        <f t="shared" si="60"/>
        <v>298548.3388057971</v>
      </c>
    </row>
    <row r="154" spans="2:22" x14ac:dyDescent="0.2">
      <c r="B154" s="38" t="s">
        <v>66</v>
      </c>
      <c r="C154" s="80" t="s">
        <v>73</v>
      </c>
      <c r="D154" s="81">
        <f t="shared" ref="D154:V154" si="61">+D151/D$26*100</f>
        <v>76.980492672240558</v>
      </c>
      <c r="E154" s="45">
        <f t="shared" si="61"/>
        <v>83.136831030847205</v>
      </c>
      <c r="F154" s="45">
        <f t="shared" si="61"/>
        <v>80.695977001490363</v>
      </c>
      <c r="G154" s="45">
        <f t="shared" si="61"/>
        <v>85.656141514985379</v>
      </c>
      <c r="H154" s="45">
        <f t="shared" si="61"/>
        <v>83.983732609946642</v>
      </c>
      <c r="I154" s="45">
        <f t="shared" si="61"/>
        <v>87.078815643830424</v>
      </c>
      <c r="J154" s="45">
        <f t="shared" si="61"/>
        <v>85.184537452834689</v>
      </c>
      <c r="K154" s="45">
        <f t="shared" si="61"/>
        <v>86.971079184775064</v>
      </c>
      <c r="L154" s="45">
        <f t="shared" si="61"/>
        <v>88.763594875752688</v>
      </c>
      <c r="M154" s="45">
        <f t="shared" si="61"/>
        <v>84.630429440872163</v>
      </c>
      <c r="N154" s="45">
        <f t="shared" si="61"/>
        <v>81.352733132518054</v>
      </c>
      <c r="O154" s="45">
        <f t="shared" si="61"/>
        <v>82.890178036776518</v>
      </c>
      <c r="P154" s="45">
        <f t="shared" si="61"/>
        <v>82.368304853088347</v>
      </c>
      <c r="Q154" s="45">
        <f t="shared" si="61"/>
        <v>83.804028903198585</v>
      </c>
      <c r="R154" s="45">
        <f t="shared" si="61"/>
        <v>84.072032361739531</v>
      </c>
      <c r="S154" s="45">
        <f t="shared" si="61"/>
        <v>86.401420650570429</v>
      </c>
      <c r="T154" s="45">
        <f t="shared" si="61"/>
        <v>87.836783580324138</v>
      </c>
      <c r="U154" s="45">
        <f t="shared" si="61"/>
        <v>88.827593133626522</v>
      </c>
      <c r="V154" s="45">
        <f t="shared" si="61"/>
        <v>90.235295755289897</v>
      </c>
    </row>
    <row r="155" spans="2:22" x14ac:dyDescent="0.2">
      <c r="B155" s="1" t="s">
        <v>52</v>
      </c>
      <c r="C155" s="15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customHeight="1" x14ac:dyDescent="0.2">
      <c r="C162" s="131"/>
      <c r="D162" s="155" t="s">
        <v>74</v>
      </c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</row>
    <row r="163" spans="2:22" x14ac:dyDescent="0.2">
      <c r="U163" s="29"/>
      <c r="V163" s="29"/>
    </row>
    <row r="164" spans="2:22" x14ac:dyDescent="0.2">
      <c r="B164" s="158"/>
      <c r="C164" s="159" t="s">
        <v>38</v>
      </c>
      <c r="D164" s="153">
        <v>2000</v>
      </c>
      <c r="E164" s="153">
        <v>2001</v>
      </c>
      <c r="F164" s="153">
        <v>2002</v>
      </c>
      <c r="G164" s="153">
        <v>2003</v>
      </c>
      <c r="H164" s="153">
        <v>2004</v>
      </c>
      <c r="I164" s="153">
        <v>2005</v>
      </c>
      <c r="J164" s="153">
        <v>2006</v>
      </c>
      <c r="K164" s="153">
        <v>2007</v>
      </c>
      <c r="L164" s="153">
        <v>2008</v>
      </c>
      <c r="M164" s="153">
        <v>2009</v>
      </c>
      <c r="N164" s="153">
        <v>2010</v>
      </c>
      <c r="O164" s="153">
        <v>2011</v>
      </c>
      <c r="P164" s="153">
        <v>2012</v>
      </c>
      <c r="Q164" s="153">
        <v>2013</v>
      </c>
      <c r="R164" s="153">
        <v>2014</v>
      </c>
      <c r="S164" s="153">
        <v>2015</v>
      </c>
      <c r="T164" s="153">
        <v>2016</v>
      </c>
      <c r="U164" s="153">
        <v>2017</v>
      </c>
      <c r="V164" s="153">
        <v>2018</v>
      </c>
    </row>
    <row r="165" spans="2:22" ht="12" customHeight="1" thickBot="1" x14ac:dyDescent="0.25">
      <c r="B165" s="154"/>
      <c r="C165" s="160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2:22" x14ac:dyDescent="0.2">
      <c r="B166" s="34" t="s">
        <v>39</v>
      </c>
      <c r="C166" s="76" t="s">
        <v>40</v>
      </c>
      <c r="D166" s="46">
        <f t="shared" ref="D166:V166" si="62">+IFERROR(IF(D138&gt;0,+((D138/D13)*100)," "),"")</f>
        <v>83.37900557854762</v>
      </c>
      <c r="E166" s="46">
        <f t="shared" si="62"/>
        <v>90.992420672840169</v>
      </c>
      <c r="F166" s="46">
        <f t="shared" si="62"/>
        <v>89.990395035672137</v>
      </c>
      <c r="G166" s="46">
        <f t="shared" si="62"/>
        <v>91.248011217710854</v>
      </c>
      <c r="H166" s="46">
        <f t="shared" si="62"/>
        <v>89.752804298424223</v>
      </c>
      <c r="I166" s="46">
        <f t="shared" si="62"/>
        <v>92.795371879449533</v>
      </c>
      <c r="J166" s="46">
        <f t="shared" si="62"/>
        <v>91.929746631120835</v>
      </c>
      <c r="K166" s="46">
        <f t="shared" si="62"/>
        <v>93.293974199324424</v>
      </c>
      <c r="L166" s="46">
        <f t="shared" si="62"/>
        <v>93.518467529042155</v>
      </c>
      <c r="M166" s="46">
        <f t="shared" si="62"/>
        <v>89.25909139521923</v>
      </c>
      <c r="N166" s="46">
        <f t="shared" si="62"/>
        <v>84.654833232535964</v>
      </c>
      <c r="O166" s="46">
        <f t="shared" si="62"/>
        <v>89.670977847945139</v>
      </c>
      <c r="P166" s="46">
        <f t="shared" si="62"/>
        <v>88.384184561317824</v>
      </c>
      <c r="Q166" s="46">
        <f t="shared" si="62"/>
        <v>89.388234074589562</v>
      </c>
      <c r="R166" s="46">
        <f t="shared" si="62"/>
        <v>88.572854628537783</v>
      </c>
      <c r="S166" s="46">
        <f t="shared" si="62"/>
        <v>91.869949805959976</v>
      </c>
      <c r="T166" s="46">
        <f t="shared" si="62"/>
        <v>92.881821882545964</v>
      </c>
      <c r="U166" s="46">
        <f t="shared" si="62"/>
        <v>93.826601156822846</v>
      </c>
      <c r="V166" s="46">
        <f t="shared" si="62"/>
        <v>93.743188989528107</v>
      </c>
    </row>
    <row r="167" spans="2:22" x14ac:dyDescent="0.2">
      <c r="B167" s="40"/>
      <c r="C167" s="77" t="s">
        <v>56</v>
      </c>
      <c r="D167" s="47">
        <f t="shared" ref="D167:V167" si="63">+IFERROR(IF(D139&gt;0,+((D139/D14)*100)," "),"")</f>
        <v>93.968555371412208</v>
      </c>
      <c r="E167" s="47">
        <f t="shared" si="63"/>
        <v>95.289929045105154</v>
      </c>
      <c r="F167" s="47">
        <f t="shared" si="63"/>
        <v>95.83096854731383</v>
      </c>
      <c r="G167" s="47">
        <f t="shared" si="63"/>
        <v>96.012251981512748</v>
      </c>
      <c r="H167" s="47">
        <f t="shared" si="63"/>
        <v>94.630935383492826</v>
      </c>
      <c r="I167" s="47">
        <f t="shared" si="63"/>
        <v>97.050420141004594</v>
      </c>
      <c r="J167" s="47">
        <f t="shared" si="63"/>
        <v>97.115215171020793</v>
      </c>
      <c r="K167" s="47">
        <f t="shared" si="63"/>
        <v>96.852115383207263</v>
      </c>
      <c r="L167" s="47">
        <f t="shared" si="63"/>
        <v>96.668791397426972</v>
      </c>
      <c r="M167" s="47">
        <f t="shared" si="63"/>
        <v>96.313272417684885</v>
      </c>
      <c r="N167" s="47">
        <f t="shared" si="63"/>
        <v>94.869103920444687</v>
      </c>
      <c r="O167" s="47">
        <f t="shared" si="63"/>
        <v>97.045127099306157</v>
      </c>
      <c r="P167" s="47">
        <f t="shared" si="63"/>
        <v>95.401295542526839</v>
      </c>
      <c r="Q167" s="47">
        <f t="shared" si="63"/>
        <v>94.623155237146477</v>
      </c>
      <c r="R167" s="47">
        <f t="shared" si="63"/>
        <v>93.471141482969642</v>
      </c>
      <c r="S167" s="47">
        <f t="shared" si="63"/>
        <v>94.471896491145586</v>
      </c>
      <c r="T167" s="47">
        <f t="shared" si="63"/>
        <v>96.150294687566486</v>
      </c>
      <c r="U167" s="47">
        <f t="shared" si="63"/>
        <v>96.728075598672831</v>
      </c>
      <c r="V167" s="47">
        <f t="shared" si="63"/>
        <v>96.287819792863075</v>
      </c>
    </row>
    <row r="168" spans="2:22" x14ac:dyDescent="0.2">
      <c r="B168" s="40"/>
      <c r="C168" s="77" t="s">
        <v>57</v>
      </c>
      <c r="D168" s="47">
        <f t="shared" ref="D168:V168" si="64">+IFERROR(IF(D140&gt;0,+((D140/D15)*100)," "),"")</f>
        <v>64.643189991529297</v>
      </c>
      <c r="E168" s="47">
        <f t="shared" si="64"/>
        <v>75.874174305872415</v>
      </c>
      <c r="F168" s="47">
        <f t="shared" si="64"/>
        <v>68.150606566895107</v>
      </c>
      <c r="G168" s="47">
        <f t="shared" si="64"/>
        <v>70.26558472195336</v>
      </c>
      <c r="H168" s="47">
        <f t="shared" si="64"/>
        <v>62.52314313106254</v>
      </c>
      <c r="I168" s="47">
        <f t="shared" si="64"/>
        <v>65.12899850064511</v>
      </c>
      <c r="J168" s="47">
        <f t="shared" si="64"/>
        <v>71.497577483518057</v>
      </c>
      <c r="K168" s="47">
        <f t="shared" si="64"/>
        <v>82.903935154811194</v>
      </c>
      <c r="L168" s="47">
        <f t="shared" si="64"/>
        <v>85.543550224535508</v>
      </c>
      <c r="M168" s="47">
        <f t="shared" si="64"/>
        <v>81.723162738455116</v>
      </c>
      <c r="N168" s="47">
        <f t="shared" si="64"/>
        <v>83.505404891397902</v>
      </c>
      <c r="O168" s="47">
        <f t="shared" si="64"/>
        <v>82.471411742199621</v>
      </c>
      <c r="P168" s="47">
        <f t="shared" si="64"/>
        <v>82.29096639390616</v>
      </c>
      <c r="Q168" s="47">
        <f t="shared" si="64"/>
        <v>85.348223435250034</v>
      </c>
      <c r="R168" s="47">
        <f t="shared" si="64"/>
        <v>83.864218259699612</v>
      </c>
      <c r="S168" s="47">
        <f t="shared" si="64"/>
        <v>84.058548409897995</v>
      </c>
      <c r="T168" s="47">
        <f t="shared" si="64"/>
        <v>80.576529855728722</v>
      </c>
      <c r="U168" s="47">
        <f t="shared" si="64"/>
        <v>81.276529534754857</v>
      </c>
      <c r="V168" s="47">
        <f t="shared" si="64"/>
        <v>84.708562872981432</v>
      </c>
    </row>
    <row r="169" spans="2:22" x14ac:dyDescent="0.2">
      <c r="B169" s="40"/>
      <c r="C169" s="77" t="s">
        <v>58</v>
      </c>
      <c r="D169" s="47">
        <f t="shared" ref="D169:V169" si="65">+IFERROR(IF(D141&gt;0,+((D141/D16)*100)," "),"")</f>
        <v>81.768912079559357</v>
      </c>
      <c r="E169" s="47">
        <f t="shared" si="65"/>
        <v>91.419112474643953</v>
      </c>
      <c r="F169" s="47">
        <f t="shared" si="65"/>
        <v>90.694483480711952</v>
      </c>
      <c r="G169" s="47">
        <f t="shared" si="65"/>
        <v>92.220241412485095</v>
      </c>
      <c r="H169" s="47">
        <f t="shared" si="65"/>
        <v>91.205661570938119</v>
      </c>
      <c r="I169" s="47">
        <f t="shared" si="65"/>
        <v>94.593032559575619</v>
      </c>
      <c r="J169" s="47">
        <f t="shared" si="65"/>
        <v>93.290726751336919</v>
      </c>
      <c r="K169" s="47">
        <f t="shared" si="65"/>
        <v>93.627109654022831</v>
      </c>
      <c r="L169" s="47">
        <f t="shared" si="65"/>
        <v>93.530697937312311</v>
      </c>
      <c r="M169" s="47">
        <f t="shared" si="65"/>
        <v>88.204226277433094</v>
      </c>
      <c r="N169" s="47">
        <f t="shared" si="65"/>
        <v>82.16117810569213</v>
      </c>
      <c r="O169" s="47">
        <f t="shared" si="65"/>
        <v>88.788325438167277</v>
      </c>
      <c r="P169" s="47">
        <f t="shared" si="65"/>
        <v>87.466559390726175</v>
      </c>
      <c r="Q169" s="47">
        <f t="shared" si="65"/>
        <v>88.697176454551112</v>
      </c>
      <c r="R169" s="47">
        <f t="shared" si="65"/>
        <v>87.824542969934456</v>
      </c>
      <c r="S169" s="47">
        <f t="shared" si="65"/>
        <v>92.204638842694578</v>
      </c>
      <c r="T169" s="47">
        <f t="shared" si="65"/>
        <v>93.268279426937113</v>
      </c>
      <c r="U169" s="47">
        <f t="shared" si="65"/>
        <v>94.186227780769457</v>
      </c>
      <c r="V169" s="47">
        <f t="shared" si="65"/>
        <v>93.936564103935652</v>
      </c>
    </row>
    <row r="170" spans="2:22" x14ac:dyDescent="0.2">
      <c r="B170" s="40"/>
      <c r="C170" s="77" t="s">
        <v>59</v>
      </c>
      <c r="D170" s="47">
        <f t="shared" ref="D170:V170" si="66">+IFERROR(IF(D142&gt;0,+((D142/D17)*100)," "),"")</f>
        <v>67.488102990562865</v>
      </c>
      <c r="E170" s="47">
        <f t="shared" si="66"/>
        <v>68.659468699589084</v>
      </c>
      <c r="F170" s="47">
        <f t="shared" si="66"/>
        <v>73.076356589042106</v>
      </c>
      <c r="G170" s="47">
        <f t="shared" si="66"/>
        <v>75.090704164226423</v>
      </c>
      <c r="H170" s="47">
        <f t="shared" si="66"/>
        <v>73.790840571801397</v>
      </c>
      <c r="I170" s="47">
        <f t="shared" si="66"/>
        <v>71.330720943217543</v>
      </c>
      <c r="J170" s="47">
        <f t="shared" si="66"/>
        <v>56.77589362520613</v>
      </c>
      <c r="K170" s="47">
        <f t="shared" si="66"/>
        <v>76.402150122862295</v>
      </c>
      <c r="L170" s="47">
        <f t="shared" si="66"/>
        <v>84.627829540867751</v>
      </c>
      <c r="M170" s="47">
        <f t="shared" si="66"/>
        <v>81.182977490982907</v>
      </c>
      <c r="N170" s="47">
        <f t="shared" si="66"/>
        <v>83.433819090105843</v>
      </c>
      <c r="O170" s="47">
        <f t="shared" si="66"/>
        <v>73.141563562074168</v>
      </c>
      <c r="P170" s="47">
        <f t="shared" si="66"/>
        <v>69.362237228448734</v>
      </c>
      <c r="Q170" s="47">
        <f t="shared" si="66"/>
        <v>70.566016453138388</v>
      </c>
      <c r="R170" s="47">
        <f t="shared" si="66"/>
        <v>76.776043703658175</v>
      </c>
      <c r="S170" s="47">
        <f t="shared" si="66"/>
        <v>74.361815680418502</v>
      </c>
      <c r="T170" s="47">
        <f t="shared" si="66"/>
        <v>80.820064495006221</v>
      </c>
      <c r="U170" s="47">
        <f t="shared" si="66"/>
        <v>82.855078664826195</v>
      </c>
      <c r="V170" s="47">
        <f t="shared" si="66"/>
        <v>79.562175763770057</v>
      </c>
    </row>
    <row r="171" spans="2:22" x14ac:dyDescent="0.2">
      <c r="B171" s="34" t="s">
        <v>41</v>
      </c>
      <c r="C171" s="76" t="s">
        <v>42</v>
      </c>
      <c r="D171" s="46">
        <f t="shared" ref="D171:V171" si="67">+IFERROR(IF(D143&gt;0,+((D143/D18)*100)," "),"")</f>
        <v>93.777044368719203</v>
      </c>
      <c r="E171" s="46">
        <f t="shared" si="67"/>
        <v>95.462818562223035</v>
      </c>
      <c r="F171" s="46">
        <f t="shared" si="67"/>
        <v>94.50233547186923</v>
      </c>
      <c r="G171" s="46">
        <f t="shared" si="67"/>
        <v>93.246696770483368</v>
      </c>
      <c r="H171" s="46">
        <f t="shared" si="67"/>
        <v>88.804273869315892</v>
      </c>
      <c r="I171" s="46">
        <f t="shared" si="67"/>
        <v>95.089358202783771</v>
      </c>
      <c r="J171" s="46">
        <f t="shared" si="67"/>
        <v>92.275440453306246</v>
      </c>
      <c r="K171" s="46">
        <f t="shared" si="67"/>
        <v>92.766030655027123</v>
      </c>
      <c r="L171" s="46">
        <f t="shared" si="67"/>
        <v>88.724313241615604</v>
      </c>
      <c r="M171" s="46">
        <f t="shared" si="67"/>
        <v>85.617789860911003</v>
      </c>
      <c r="N171" s="46">
        <f t="shared" si="67"/>
        <v>78.939506690755806</v>
      </c>
      <c r="O171" s="46">
        <f t="shared" si="67"/>
        <v>93.173431256046641</v>
      </c>
      <c r="P171" s="46">
        <f t="shared" si="67"/>
        <v>99.281282159175404</v>
      </c>
      <c r="Q171" s="46">
        <f t="shared" si="67"/>
        <v>83.621265944789926</v>
      </c>
      <c r="R171" s="46">
        <f t="shared" si="67"/>
        <v>95.964567593946242</v>
      </c>
      <c r="S171" s="46">
        <f t="shared" si="67"/>
        <v>97.488422212992262</v>
      </c>
      <c r="T171" s="46">
        <f t="shared" si="67"/>
        <v>84.706065786168324</v>
      </c>
      <c r="U171" s="46">
        <f t="shared" si="67"/>
        <v>97.783752475203727</v>
      </c>
      <c r="V171" s="46">
        <f t="shared" si="67"/>
        <v>75.901806296623974</v>
      </c>
    </row>
    <row r="172" spans="2:22" x14ac:dyDescent="0.2">
      <c r="B172" s="34"/>
      <c r="C172" s="76" t="s">
        <v>43</v>
      </c>
      <c r="D172" s="46">
        <f t="shared" ref="D172:V172" si="68">+IFERROR(IF(D144&gt;0,+((D144/D19)*100)," "),"")</f>
        <v>96.167344896809965</v>
      </c>
      <c r="E172" s="46">
        <f t="shared" si="68"/>
        <v>96.471968070573183</v>
      </c>
      <c r="F172" s="46">
        <f t="shared" si="68"/>
        <v>96.548927738137792</v>
      </c>
      <c r="G172" s="46">
        <f t="shared" si="68"/>
        <v>90.583864078930048</v>
      </c>
      <c r="H172" s="46">
        <f t="shared" si="68"/>
        <v>77.745254294337954</v>
      </c>
      <c r="I172" s="46">
        <f t="shared" si="68"/>
        <v>92.418247458751424</v>
      </c>
      <c r="J172" s="46">
        <f t="shared" si="68"/>
        <v>82.739327359637429</v>
      </c>
      <c r="K172" s="46">
        <f t="shared" si="68"/>
        <v>88.756546169412829</v>
      </c>
      <c r="L172" s="46">
        <f t="shared" si="68"/>
        <v>82.561653629319821</v>
      </c>
      <c r="M172" s="46">
        <f t="shared" si="68"/>
        <v>76.054443293072154</v>
      </c>
      <c r="N172" s="46">
        <f t="shared" si="68"/>
        <v>75.823814818251236</v>
      </c>
      <c r="O172" s="46">
        <f t="shared" si="68"/>
        <v>76.810280814914023</v>
      </c>
      <c r="P172" s="46">
        <f t="shared" si="68"/>
        <v>98.666464731276989</v>
      </c>
      <c r="Q172" s="46">
        <f t="shared" si="68"/>
        <v>90.581234789955488</v>
      </c>
      <c r="R172" s="46">
        <f t="shared" si="68"/>
        <v>91.585534024116157</v>
      </c>
      <c r="S172" s="46">
        <f t="shared" si="68"/>
        <v>97.494586472955064</v>
      </c>
      <c r="T172" s="46">
        <f t="shared" si="68"/>
        <v>95.720010623344237</v>
      </c>
      <c r="U172" s="46">
        <f t="shared" si="68"/>
        <v>97.00296594835352</v>
      </c>
      <c r="V172" s="46">
        <f t="shared" si="68"/>
        <v>85.895659392676478</v>
      </c>
    </row>
    <row r="173" spans="2:22" x14ac:dyDescent="0.2">
      <c r="B173" s="32"/>
      <c r="C173" s="77" t="s">
        <v>60</v>
      </c>
      <c r="D173" s="47">
        <f t="shared" ref="D173:V173" si="69">+IFERROR(IF(D145&gt;0,+((D145/D20)*100)," "),"")</f>
        <v>96.129301869827756</v>
      </c>
      <c r="E173" s="47">
        <f t="shared" si="69"/>
        <v>96.72340437538773</v>
      </c>
      <c r="F173" s="47">
        <f t="shared" si="69"/>
        <v>97.066441863618437</v>
      </c>
      <c r="G173" s="47">
        <f t="shared" si="69"/>
        <v>95.388340397052147</v>
      </c>
      <c r="H173" s="47">
        <f t="shared" si="69"/>
        <v>83.854019494119129</v>
      </c>
      <c r="I173" s="47">
        <f t="shared" si="69"/>
        <v>95.582623808626465</v>
      </c>
      <c r="J173" s="47">
        <f t="shared" si="69"/>
        <v>87.030162696611185</v>
      </c>
      <c r="K173" s="47">
        <f t="shared" si="69"/>
        <v>89.775547244910854</v>
      </c>
      <c r="L173" s="47">
        <f t="shared" si="69"/>
        <v>81.644882247621879</v>
      </c>
      <c r="M173" s="47">
        <f t="shared" si="69"/>
        <v>80.793044932581466</v>
      </c>
      <c r="N173" s="47">
        <f t="shared" si="69"/>
        <v>84.492875637063079</v>
      </c>
      <c r="O173" s="47">
        <f t="shared" si="69"/>
        <v>72.385105854885197</v>
      </c>
      <c r="P173" s="47">
        <f t="shared" si="69"/>
        <v>99.9720711122349</v>
      </c>
      <c r="Q173" s="47">
        <f t="shared" si="69"/>
        <v>96.222215159645344</v>
      </c>
      <c r="R173" s="47">
        <f t="shared" si="69"/>
        <v>95.647681412403045</v>
      </c>
      <c r="S173" s="47">
        <f t="shared" si="69"/>
        <v>98.292413768641822</v>
      </c>
      <c r="T173" s="47">
        <f t="shared" si="69"/>
        <v>96.016559828926248</v>
      </c>
      <c r="U173" s="47">
        <f t="shared" si="69"/>
        <v>97.185137731188547</v>
      </c>
      <c r="V173" s="47">
        <f t="shared" si="69"/>
        <v>96.430814576422364</v>
      </c>
    </row>
    <row r="174" spans="2:22" x14ac:dyDescent="0.2">
      <c r="B174" s="32"/>
      <c r="C174" s="77" t="s">
        <v>61</v>
      </c>
      <c r="D174" s="47">
        <f t="shared" ref="D174:V174" si="70">+IFERROR(IF(D146&gt;0,+((D146/D21)*100)," "),"")</f>
        <v>96.20644876260252</v>
      </c>
      <c r="E174" s="47">
        <f t="shared" si="70"/>
        <v>96.147730088892473</v>
      </c>
      <c r="F174" s="47">
        <f t="shared" si="70"/>
        <v>95.786960818342351</v>
      </c>
      <c r="G174" s="47">
        <f t="shared" si="70"/>
        <v>83.591871590663558</v>
      </c>
      <c r="H174" s="47">
        <f t="shared" si="70"/>
        <v>72.209371618177187</v>
      </c>
      <c r="I174" s="47">
        <f t="shared" si="70"/>
        <v>86.435112044487482</v>
      </c>
      <c r="J174" s="47">
        <f t="shared" si="70"/>
        <v>78.264175241046601</v>
      </c>
      <c r="K174" s="47">
        <f t="shared" si="70"/>
        <v>87.807122803585145</v>
      </c>
      <c r="L174" s="47">
        <f t="shared" si="70"/>
        <v>83.495111262423833</v>
      </c>
      <c r="M174" s="47">
        <f t="shared" si="70"/>
        <v>72.737228438253112</v>
      </c>
      <c r="N174" s="47">
        <f t="shared" si="70"/>
        <v>68.729425018514391</v>
      </c>
      <c r="O174" s="47">
        <f t="shared" si="70"/>
        <v>80.150448978181259</v>
      </c>
      <c r="P174" s="47">
        <f t="shared" si="70"/>
        <v>97.267384410269869</v>
      </c>
      <c r="Q174" s="47">
        <f t="shared" si="70"/>
        <v>86.500433981203145</v>
      </c>
      <c r="R174" s="47">
        <f t="shared" si="70"/>
        <v>86.558981024280001</v>
      </c>
      <c r="S174" s="47">
        <f t="shared" si="70"/>
        <v>96.53568816763422</v>
      </c>
      <c r="T174" s="47">
        <f t="shared" si="70"/>
        <v>95.547659221215952</v>
      </c>
      <c r="U174" s="47">
        <f t="shared" si="70"/>
        <v>96.782715152538643</v>
      </c>
      <c r="V174" s="47">
        <f t="shared" si="70"/>
        <v>81.896609981357287</v>
      </c>
    </row>
    <row r="175" spans="2:22" x14ac:dyDescent="0.2">
      <c r="B175" s="34"/>
      <c r="C175" s="76" t="s">
        <v>44</v>
      </c>
      <c r="D175" s="46">
        <f t="shared" ref="D175:V175" si="71">+IFERROR(IF(D147&gt;0,+((D147/D22)*100)," "),"")</f>
        <v>92.704488226477139</v>
      </c>
      <c r="E175" s="46">
        <f t="shared" si="71"/>
        <v>94.868317564771246</v>
      </c>
      <c r="F175" s="46">
        <f t="shared" si="71"/>
        <v>93.033353780336242</v>
      </c>
      <c r="G175" s="46">
        <f t="shared" si="71"/>
        <v>95.787319349713755</v>
      </c>
      <c r="H175" s="46">
        <f t="shared" si="71"/>
        <v>94.754992672280835</v>
      </c>
      <c r="I175" s="46">
        <f t="shared" si="71"/>
        <v>96.985641758456268</v>
      </c>
      <c r="J175" s="46">
        <f t="shared" si="71"/>
        <v>95.85242894118295</v>
      </c>
      <c r="K175" s="46">
        <f t="shared" si="71"/>
        <v>93.744963873484338</v>
      </c>
      <c r="L175" s="46">
        <f t="shared" si="71"/>
        <v>90.369301062450702</v>
      </c>
      <c r="M175" s="46">
        <f t="shared" si="71"/>
        <v>88.367141625384178</v>
      </c>
      <c r="N175" s="46">
        <f t="shared" si="71"/>
        <v>79.798579385720373</v>
      </c>
      <c r="O175" s="46">
        <f t="shared" si="71"/>
        <v>97.259508541345213</v>
      </c>
      <c r="P175" s="46">
        <f t="shared" si="71"/>
        <v>99.416434335351894</v>
      </c>
      <c r="Q175" s="46">
        <f t="shared" si="71"/>
        <v>82.310301399786667</v>
      </c>
      <c r="R175" s="46">
        <f t="shared" si="71"/>
        <v>97.200199267697514</v>
      </c>
      <c r="S175" s="46">
        <f t="shared" si="71"/>
        <v>97.486506490547058</v>
      </c>
      <c r="T175" s="46">
        <f t="shared" si="71"/>
        <v>81.82749848301178</v>
      </c>
      <c r="U175" s="46">
        <f t="shared" si="71"/>
        <v>98.099703757383111</v>
      </c>
      <c r="V175" s="46">
        <f t="shared" si="71"/>
        <v>72.863450243131595</v>
      </c>
    </row>
    <row r="176" spans="2:22" x14ac:dyDescent="0.2">
      <c r="B176" s="32"/>
      <c r="C176" s="77" t="s">
        <v>60</v>
      </c>
      <c r="D176" s="47">
        <f t="shared" ref="D176:V176" si="72">+IFERROR(IF(D148&gt;0,+((D148/D23)*100)," "),"")</f>
        <v>93.94725460132814</v>
      </c>
      <c r="E176" s="47">
        <f t="shared" si="72"/>
        <v>93.186800644855367</v>
      </c>
      <c r="F176" s="47">
        <f t="shared" si="72"/>
        <v>89.840887224665323</v>
      </c>
      <c r="G176" s="47">
        <f t="shared" si="72"/>
        <v>98.168929729345876</v>
      </c>
      <c r="H176" s="47">
        <f t="shared" si="72"/>
        <v>96.825942149493471</v>
      </c>
      <c r="I176" s="47">
        <f t="shared" si="72"/>
        <v>98.404983415760398</v>
      </c>
      <c r="J176" s="47">
        <f t="shared" si="72"/>
        <v>96.676240580171381</v>
      </c>
      <c r="K176" s="47">
        <f t="shared" si="72"/>
        <v>92.685709404278782</v>
      </c>
      <c r="L176" s="47">
        <f t="shared" si="72"/>
        <v>86.738877848871667</v>
      </c>
      <c r="M176" s="47">
        <f t="shared" si="72"/>
        <v>84.002283357854253</v>
      </c>
      <c r="N176" s="47">
        <f t="shared" si="72"/>
        <v>75.156031504680598</v>
      </c>
      <c r="O176" s="47">
        <f t="shared" si="72"/>
        <v>96.202202774911385</v>
      </c>
      <c r="P176" s="47">
        <f t="shared" si="72"/>
        <v>99.157782086426067</v>
      </c>
      <c r="Q176" s="47">
        <f t="shared" si="72"/>
        <v>78.084021236292372</v>
      </c>
      <c r="R176" s="47">
        <f t="shared" si="72"/>
        <v>96.987186866337112</v>
      </c>
      <c r="S176" s="47">
        <f t="shared" si="72"/>
        <v>99.357727941404534</v>
      </c>
      <c r="T176" s="47">
        <f t="shared" si="72"/>
        <v>69.593905862466869</v>
      </c>
      <c r="U176" s="47">
        <f t="shared" si="72"/>
        <v>99.756062114259379</v>
      </c>
      <c r="V176" s="47">
        <f t="shared" si="72"/>
        <v>50.129671004644962</v>
      </c>
    </row>
    <row r="177" spans="2:22" x14ac:dyDescent="0.2">
      <c r="B177" s="32"/>
      <c r="C177" s="77" t="s">
        <v>61</v>
      </c>
      <c r="D177" s="47">
        <f t="shared" ref="D177:V177" si="73">+IFERROR(IF(D149&gt;0,+((D149/D24)*100)," "),"")</f>
        <v>91.116888756346583</v>
      </c>
      <c r="E177" s="47">
        <f t="shared" si="73"/>
        <v>97.664921496513045</v>
      </c>
      <c r="F177" s="47">
        <f t="shared" si="73"/>
        <v>97.97195829861127</v>
      </c>
      <c r="G177" s="47">
        <f t="shared" si="73"/>
        <v>93.30052655206191</v>
      </c>
      <c r="H177" s="47">
        <f t="shared" si="73"/>
        <v>92.178289729584506</v>
      </c>
      <c r="I177" s="47">
        <f t="shared" si="73"/>
        <v>95.438403651077536</v>
      </c>
      <c r="J177" s="47">
        <f t="shared" si="73"/>
        <v>94.591584433907514</v>
      </c>
      <c r="K177" s="47">
        <f t="shared" si="73"/>
        <v>95.368960003244482</v>
      </c>
      <c r="L177" s="47">
        <f t="shared" si="73"/>
        <v>95.93440403083099</v>
      </c>
      <c r="M177" s="47">
        <f t="shared" si="73"/>
        <v>93.875828370382735</v>
      </c>
      <c r="N177" s="47">
        <f t="shared" si="73"/>
        <v>86.230505426997595</v>
      </c>
      <c r="O177" s="47">
        <f t="shared" si="73"/>
        <v>98.430199788501241</v>
      </c>
      <c r="P177" s="47">
        <f t="shared" si="73"/>
        <v>99.743717327849239</v>
      </c>
      <c r="Q177" s="47">
        <f t="shared" si="73"/>
        <v>88.880732951322145</v>
      </c>
      <c r="R177" s="47">
        <f t="shared" si="73"/>
        <v>97.467798036035674</v>
      </c>
      <c r="S177" s="47">
        <f t="shared" si="73"/>
        <v>95.014189841644153</v>
      </c>
      <c r="T177" s="47">
        <f t="shared" si="73"/>
        <v>96.071389444830004</v>
      </c>
      <c r="U177" s="47">
        <f t="shared" si="73"/>
        <v>96.567753617817303</v>
      </c>
      <c r="V177" s="47">
        <f t="shared" si="73"/>
        <v>90.611948101406696</v>
      </c>
    </row>
    <row r="178" spans="2:22" x14ac:dyDescent="0.2">
      <c r="B178" s="34" t="s">
        <v>45</v>
      </c>
      <c r="C178" s="76" t="s">
        <v>46</v>
      </c>
      <c r="D178" s="46">
        <f t="shared" ref="D178:V178" si="74">+IFERROR(IF(D150&gt;0,+((D150/D25)*100)," "),"")</f>
        <v>54.792578622039443</v>
      </c>
      <c r="E178" s="46">
        <f t="shared" si="74"/>
        <v>62.664316604020783</v>
      </c>
      <c r="F178" s="46">
        <f t="shared" si="74"/>
        <v>51.708706586564325</v>
      </c>
      <c r="G178" s="46">
        <f t="shared" si="74"/>
        <v>63.545140869086659</v>
      </c>
      <c r="H178" s="46">
        <f t="shared" si="74"/>
        <v>61.454038104841878</v>
      </c>
      <c r="I178" s="46">
        <f t="shared" si="74"/>
        <v>64.700432489076206</v>
      </c>
      <c r="J178" s="46">
        <f t="shared" si="74"/>
        <v>61.767697167933747</v>
      </c>
      <c r="K178" s="46">
        <f t="shared" si="74"/>
        <v>69.842591956048253</v>
      </c>
      <c r="L178" s="46">
        <f t="shared" si="74"/>
        <v>74.919519627594468</v>
      </c>
      <c r="M178" s="46">
        <f t="shared" si="74"/>
        <v>73.675180798256307</v>
      </c>
      <c r="N178" s="46">
        <f t="shared" si="74"/>
        <v>70.529812052498016</v>
      </c>
      <c r="O178" s="46">
        <f t="shared" si="74"/>
        <v>65.708598600078858</v>
      </c>
      <c r="P178" s="46">
        <f t="shared" si="74"/>
        <v>67.972050662509986</v>
      </c>
      <c r="Q178" s="46">
        <f t="shared" si="74"/>
        <v>70.910549840491115</v>
      </c>
      <c r="R178" s="46">
        <f t="shared" si="74"/>
        <v>72.788381034215305</v>
      </c>
      <c r="S178" s="46">
        <f t="shared" si="74"/>
        <v>72.812255098373839</v>
      </c>
      <c r="T178" s="46">
        <f t="shared" si="74"/>
        <v>72.805200132772811</v>
      </c>
      <c r="U178" s="46">
        <f t="shared" si="74"/>
        <v>71.649446417325152</v>
      </c>
      <c r="V178" s="46">
        <f t="shared" si="74"/>
        <v>76.910200238465436</v>
      </c>
    </row>
    <row r="179" spans="2:22" x14ac:dyDescent="0.2">
      <c r="B179" s="36" t="s">
        <v>47</v>
      </c>
      <c r="C179" s="78" t="s">
        <v>48</v>
      </c>
      <c r="D179" s="48">
        <f t="shared" ref="D179:V179" si="75">+IFERROR(IF(D151&gt;0,+((D151/D26)*100)," "),"")</f>
        <v>76.980492672240558</v>
      </c>
      <c r="E179" s="48">
        <f t="shared" si="75"/>
        <v>83.136831030847205</v>
      </c>
      <c r="F179" s="48">
        <f t="shared" si="75"/>
        <v>80.695977001490363</v>
      </c>
      <c r="G179" s="48">
        <f t="shared" si="75"/>
        <v>85.656141514985379</v>
      </c>
      <c r="H179" s="48">
        <f t="shared" si="75"/>
        <v>83.983732609946642</v>
      </c>
      <c r="I179" s="48">
        <f t="shared" si="75"/>
        <v>87.078815643830424</v>
      </c>
      <c r="J179" s="48">
        <f t="shared" si="75"/>
        <v>85.184537452834689</v>
      </c>
      <c r="K179" s="48">
        <f t="shared" si="75"/>
        <v>86.971079184775064</v>
      </c>
      <c r="L179" s="48">
        <f t="shared" si="75"/>
        <v>88.763594875752688</v>
      </c>
      <c r="M179" s="48">
        <f t="shared" si="75"/>
        <v>84.630429440872163</v>
      </c>
      <c r="N179" s="48">
        <f t="shared" si="75"/>
        <v>81.352733132518054</v>
      </c>
      <c r="O179" s="48">
        <f t="shared" si="75"/>
        <v>82.890178036776518</v>
      </c>
      <c r="P179" s="48">
        <f t="shared" si="75"/>
        <v>82.368304853088347</v>
      </c>
      <c r="Q179" s="48">
        <f t="shared" si="75"/>
        <v>83.804028903198585</v>
      </c>
      <c r="R179" s="48">
        <f t="shared" si="75"/>
        <v>84.072032361739531</v>
      </c>
      <c r="S179" s="48">
        <f t="shared" si="75"/>
        <v>86.401420650570429</v>
      </c>
      <c r="T179" s="48">
        <f t="shared" si="75"/>
        <v>87.836783580324138</v>
      </c>
      <c r="U179" s="48">
        <f t="shared" si="75"/>
        <v>88.827593133626522</v>
      </c>
      <c r="V179" s="48">
        <f t="shared" si="75"/>
        <v>90.235295755289897</v>
      </c>
    </row>
    <row r="180" spans="2:22" x14ac:dyDescent="0.2">
      <c r="B180" s="38" t="s">
        <v>49</v>
      </c>
      <c r="C180" s="79" t="s">
        <v>63</v>
      </c>
      <c r="D180" s="45">
        <f t="shared" ref="D180:V180" si="76">+IFERROR(IF(D152&gt;0,+((D152/D27)*100)," "),"")</f>
        <v>82.473858435116725</v>
      </c>
      <c r="E180" s="45">
        <f t="shared" si="76"/>
        <v>87.340889740847672</v>
      </c>
      <c r="F180" s="45">
        <f t="shared" si="76"/>
        <v>85.445291224535367</v>
      </c>
      <c r="G180" s="45">
        <f t="shared" si="76"/>
        <v>88.548821945109083</v>
      </c>
      <c r="H180" s="45">
        <f t="shared" si="76"/>
        <v>85.570071133328469</v>
      </c>
      <c r="I180" s="45">
        <f t="shared" si="76"/>
        <v>89.783245663412245</v>
      </c>
      <c r="J180" s="45">
        <f t="shared" si="76"/>
        <v>87.790662020238514</v>
      </c>
      <c r="K180" s="45">
        <f t="shared" si="76"/>
        <v>88.915591415671116</v>
      </c>
      <c r="L180" s="45">
        <f t="shared" si="76"/>
        <v>88.751403750787361</v>
      </c>
      <c r="M180" s="45">
        <f t="shared" si="76"/>
        <v>84.887855557868463</v>
      </c>
      <c r="N180" s="45">
        <f t="shared" si="76"/>
        <v>80.709926180516831</v>
      </c>
      <c r="O180" s="45">
        <f t="shared" si="76"/>
        <v>85.281489687808829</v>
      </c>
      <c r="P180" s="45">
        <f t="shared" si="76"/>
        <v>86.086586771531941</v>
      </c>
      <c r="Q180" s="45">
        <f t="shared" si="76"/>
        <v>83.760948941425653</v>
      </c>
      <c r="R180" s="45">
        <f t="shared" si="76"/>
        <v>86.54473134435861</v>
      </c>
      <c r="S180" s="45">
        <f t="shared" si="76"/>
        <v>88.910316274429064</v>
      </c>
      <c r="T180" s="45">
        <f t="shared" si="76"/>
        <v>87.1418891837708</v>
      </c>
      <c r="U180" s="45">
        <f t="shared" si="76"/>
        <v>90.780663061366965</v>
      </c>
      <c r="V180" s="45">
        <f t="shared" si="76"/>
        <v>87.290070118372938</v>
      </c>
    </row>
    <row r="181" spans="2:22" x14ac:dyDescent="0.2">
      <c r="B181" s="1" t="s">
        <v>52</v>
      </c>
      <c r="C181" s="15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D2:V2"/>
    <mergeCell ref="C136:C137"/>
    <mergeCell ref="E136:E137"/>
    <mergeCell ref="A5:C6"/>
    <mergeCell ref="C37:C38"/>
    <mergeCell ref="P164:P165"/>
    <mergeCell ref="K112:K113"/>
    <mergeCell ref="E37:E38"/>
    <mergeCell ref="M112:M113"/>
    <mergeCell ref="O6:O7"/>
    <mergeCell ref="P85:P86"/>
    <mergeCell ref="O37:O38"/>
    <mergeCell ref="Q37:Q38"/>
    <mergeCell ref="B136:B137"/>
    <mergeCell ref="D4:V4"/>
    <mergeCell ref="J6:J7"/>
    <mergeCell ref="J37:J38"/>
    <mergeCell ref="L37:L38"/>
    <mergeCell ref="N37:N38"/>
    <mergeCell ref="V6:V7"/>
    <mergeCell ref="B164:B165"/>
    <mergeCell ref="B36:V36"/>
    <mergeCell ref="T6:T7"/>
    <mergeCell ref="D164:D165"/>
    <mergeCell ref="AC6:AC7"/>
    <mergeCell ref="M85:M86"/>
    <mergeCell ref="R112:R113"/>
    <mergeCell ref="E85:E86"/>
    <mergeCell ref="G85:G86"/>
    <mergeCell ref="J164:J165"/>
    <mergeCell ref="L164:L165"/>
    <mergeCell ref="X6:X7"/>
    <mergeCell ref="N136:N137"/>
    <mergeCell ref="P136:P137"/>
    <mergeCell ref="M6:M7"/>
    <mergeCell ref="R37:R38"/>
    <mergeCell ref="E6:E7"/>
    <mergeCell ref="D35:V35"/>
    <mergeCell ref="E11:E12"/>
    <mergeCell ref="J63:J64"/>
    <mergeCell ref="K164:K165"/>
    <mergeCell ref="L136:L137"/>
    <mergeCell ref="H112:H113"/>
    <mergeCell ref="H6:H7"/>
    <mergeCell ref="J112:J113"/>
    <mergeCell ref="E164:E165"/>
    <mergeCell ref="V164:V165"/>
    <mergeCell ref="K37:K38"/>
    <mergeCell ref="F112:F113"/>
    <mergeCell ref="F63:F64"/>
    <mergeCell ref="S85:S86"/>
    <mergeCell ref="D162:V162"/>
    <mergeCell ref="O63:O64"/>
    <mergeCell ref="Y6:Y7"/>
    <mergeCell ref="L63:L64"/>
    <mergeCell ref="K136:K137"/>
    <mergeCell ref="B85:B86"/>
    <mergeCell ref="G164:G165"/>
    <mergeCell ref="R11:R12"/>
    <mergeCell ref="D6:D7"/>
    <mergeCell ref="Q112:Q113"/>
    <mergeCell ref="V85:V86"/>
    <mergeCell ref="F6:F7"/>
    <mergeCell ref="Q164:Q165"/>
    <mergeCell ref="D134:V134"/>
    <mergeCell ref="J136:J137"/>
    <mergeCell ref="I164:I165"/>
    <mergeCell ref="R164:R165"/>
    <mergeCell ref="T164:T165"/>
    <mergeCell ref="I37:I38"/>
    <mergeCell ref="Q6:Q7"/>
    <mergeCell ref="Q85:Q86"/>
    <mergeCell ref="S6:S7"/>
    <mergeCell ref="T85:T86"/>
    <mergeCell ref="M136:M137"/>
    <mergeCell ref="O11:O12"/>
    <mergeCell ref="B63:B64"/>
    <mergeCell ref="D63:D64"/>
    <mergeCell ref="I6:I7"/>
    <mergeCell ref="K6:K7"/>
    <mergeCell ref="AB6:AB7"/>
    <mergeCell ref="R136:R137"/>
    <mergeCell ref="T136:T137"/>
    <mergeCell ref="T37:T38"/>
    <mergeCell ref="V37:V38"/>
    <mergeCell ref="G11:G12"/>
    <mergeCell ref="S164:S165"/>
    <mergeCell ref="I11:I12"/>
    <mergeCell ref="N63:N64"/>
    <mergeCell ref="P63:P64"/>
    <mergeCell ref="S11:S12"/>
    <mergeCell ref="R63:R64"/>
    <mergeCell ref="K85:K86"/>
    <mergeCell ref="U11:U12"/>
    <mergeCell ref="T112:T113"/>
    <mergeCell ref="M11:M12"/>
    <mergeCell ref="V112:V113"/>
    <mergeCell ref="L112:L113"/>
    <mergeCell ref="N112:N113"/>
    <mergeCell ref="N164:N165"/>
    <mergeCell ref="K11:K12"/>
    <mergeCell ref="S136:S137"/>
    <mergeCell ref="I63:I64"/>
    <mergeCell ref="L11:L12"/>
    <mergeCell ref="AA6:AA7"/>
    <mergeCell ref="D83:V83"/>
    <mergeCell ref="F85:F86"/>
    <mergeCell ref="P11:P12"/>
    <mergeCell ref="H85:H86"/>
    <mergeCell ref="O112:O113"/>
    <mergeCell ref="G112:G113"/>
    <mergeCell ref="I112:I113"/>
    <mergeCell ref="S37:S38"/>
    <mergeCell ref="U37:U38"/>
    <mergeCell ref="V11:V12"/>
    <mergeCell ref="M37:M38"/>
    <mergeCell ref="G63:G64"/>
    <mergeCell ref="J85:J86"/>
    <mergeCell ref="L85:L86"/>
    <mergeCell ref="D37:D38"/>
    <mergeCell ref="Z6:Z7"/>
    <mergeCell ref="M63:M64"/>
    <mergeCell ref="D85:D86"/>
    <mergeCell ref="N11:N12"/>
    <mergeCell ref="S63:S64"/>
    <mergeCell ref="U63:U64"/>
    <mergeCell ref="D61:V61"/>
    <mergeCell ref="E112:E113"/>
    <mergeCell ref="E63:E64"/>
    <mergeCell ref="H11:H12"/>
    <mergeCell ref="J11:J12"/>
    <mergeCell ref="W6:W7"/>
    <mergeCell ref="O136:O137"/>
    <mergeCell ref="G136:G137"/>
    <mergeCell ref="Q136:Q137"/>
    <mergeCell ref="T63:T64"/>
    <mergeCell ref="I136:I137"/>
    <mergeCell ref="V63:V64"/>
    <mergeCell ref="I85:I86"/>
    <mergeCell ref="P112:P113"/>
    <mergeCell ref="B135:V135"/>
    <mergeCell ref="U85:U86"/>
    <mergeCell ref="U6:U7"/>
    <mergeCell ref="H63:H64"/>
    <mergeCell ref="D11:D12"/>
    <mergeCell ref="F164:F165"/>
    <mergeCell ref="C85:C86"/>
    <mergeCell ref="C112:C113"/>
    <mergeCell ref="H164:H165"/>
    <mergeCell ref="O164:O165"/>
    <mergeCell ref="L6:L7"/>
    <mergeCell ref="N6:N7"/>
    <mergeCell ref="P37:P38"/>
    <mergeCell ref="F11:F12"/>
    <mergeCell ref="A7:C7"/>
    <mergeCell ref="D136:D137"/>
    <mergeCell ref="K63:K64"/>
    <mergeCell ref="U136:U137"/>
    <mergeCell ref="N85:N86"/>
    <mergeCell ref="D9:V9"/>
    <mergeCell ref="P6:P7"/>
    <mergeCell ref="C63:C64"/>
    <mergeCell ref="R6:R7"/>
    <mergeCell ref="G6:G7"/>
    <mergeCell ref="D110:V110"/>
    <mergeCell ref="G37:G38"/>
    <mergeCell ref="AD6:AD7"/>
    <mergeCell ref="Q63:Q64"/>
    <mergeCell ref="V136:V137"/>
    <mergeCell ref="S112:S113"/>
    <mergeCell ref="U112:U113"/>
    <mergeCell ref="C164:C165"/>
    <mergeCell ref="B84:V84"/>
    <mergeCell ref="R85:R86"/>
    <mergeCell ref="C10:V10"/>
    <mergeCell ref="M164:M165"/>
    <mergeCell ref="B37:B38"/>
    <mergeCell ref="O85:O86"/>
    <mergeCell ref="F136:F137"/>
    <mergeCell ref="T11:T12"/>
    <mergeCell ref="H136:H137"/>
    <mergeCell ref="B112:B113"/>
    <mergeCell ref="D112:D113"/>
    <mergeCell ref="F37:F38"/>
    <mergeCell ref="Q11:Q12"/>
    <mergeCell ref="H37:H38"/>
    <mergeCell ref="U164:U165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E16" sqref="E16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C2" s="30"/>
      <c r="D2" s="163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98" customFormat="1" ht="16.5" customHeight="1" x14ac:dyDescent="0.25">
      <c r="A3" s="120"/>
      <c r="C3" s="100"/>
    </row>
    <row r="4" spans="1:22" s="98" customFormat="1" ht="15" customHeight="1" x14ac:dyDescent="0.25">
      <c r="A4" s="120"/>
      <c r="C4" s="100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2" s="98" customFormat="1" ht="15" customHeight="1" x14ac:dyDescent="0.25">
      <c r="A5" s="165" t="s">
        <v>14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98" customFormat="1" ht="15" customHeight="1" x14ac:dyDescent="0.25">
      <c r="A6" s="152"/>
      <c r="B6" s="152"/>
      <c r="C6" s="152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2" s="98" customFormat="1" ht="1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2" s="98" customFormat="1" ht="12" customHeight="1" x14ac:dyDescent="0.25">
      <c r="A8" s="99"/>
      <c r="C8" s="100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98" customFormat="1" ht="12" customHeight="1" x14ac:dyDescent="0.25">
      <c r="A9" s="99"/>
      <c r="C9" s="100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18" customHeight="1" x14ac:dyDescent="0.2">
      <c r="C10" s="131"/>
      <c r="D10" s="155" t="s">
        <v>75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22" ht="15.75" customHeight="1" x14ac:dyDescent="0.2">
      <c r="B11" s="157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22" x14ac:dyDescent="0.2">
      <c r="B12" s="158"/>
      <c r="C12" s="159" t="s">
        <v>38</v>
      </c>
      <c r="D12" s="153" t="s">
        <v>1</v>
      </c>
      <c r="E12" s="153" t="s">
        <v>2</v>
      </c>
      <c r="F12" s="153" t="s">
        <v>3</v>
      </c>
      <c r="G12" s="153" t="s">
        <v>4</v>
      </c>
      <c r="H12" s="153">
        <v>2004</v>
      </c>
      <c r="I12" s="153" t="s">
        <v>5</v>
      </c>
      <c r="J12" s="153" t="s">
        <v>6</v>
      </c>
      <c r="K12" s="153" t="s">
        <v>7</v>
      </c>
      <c r="L12" s="153" t="s">
        <v>8</v>
      </c>
      <c r="M12" s="153" t="s">
        <v>9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2" ht="12" customHeight="1" thickBot="1" x14ac:dyDescent="0.25">
      <c r="B13" s="154"/>
      <c r="C13" s="160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2" x14ac:dyDescent="0.2">
      <c r="B14" s="34" t="s">
        <v>39</v>
      </c>
      <c r="C14" s="76" t="s">
        <v>40</v>
      </c>
      <c r="D14" s="41">
        <f t="shared" ref="D14:V14" si="0">+D15+D16+D17+D18</f>
        <v>91692.925051008046</v>
      </c>
      <c r="E14" s="41">
        <f t="shared" si="0"/>
        <v>96522.451742088684</v>
      </c>
      <c r="F14" s="41">
        <f t="shared" si="0"/>
        <v>100392.90573021906</v>
      </c>
      <c r="G14" s="41">
        <f t="shared" si="0"/>
        <v>100919.7626493987</v>
      </c>
      <c r="H14" s="41">
        <f t="shared" si="0"/>
        <v>112631.87750937747</v>
      </c>
      <c r="I14" s="41">
        <f t="shared" si="0"/>
        <v>123483.87709188943</v>
      </c>
      <c r="J14" s="41">
        <f t="shared" si="0"/>
        <v>129439.7273931066</v>
      </c>
      <c r="K14" s="41">
        <f t="shared" si="0"/>
        <v>134445.61840210445</v>
      </c>
      <c r="L14" s="41">
        <f t="shared" si="0"/>
        <v>141680.19865955159</v>
      </c>
      <c r="M14" s="41">
        <f t="shared" si="0"/>
        <v>158633.17482370132</v>
      </c>
      <c r="N14" s="41">
        <f t="shared" si="0"/>
        <v>173408.91383257738</v>
      </c>
      <c r="O14" s="41">
        <f t="shared" si="0"/>
        <v>165352.98075183123</v>
      </c>
      <c r="P14" s="41">
        <f t="shared" si="0"/>
        <v>177759.09806051373</v>
      </c>
      <c r="Q14" s="41">
        <f t="shared" si="0"/>
        <v>192960.72186624416</v>
      </c>
      <c r="R14" s="41">
        <f t="shared" si="0"/>
        <v>207098.50916367475</v>
      </c>
      <c r="S14" s="41">
        <f t="shared" si="0"/>
        <v>198751.58160745641</v>
      </c>
      <c r="T14" s="41">
        <f t="shared" si="0"/>
        <v>202345.54004948577</v>
      </c>
      <c r="U14" s="41">
        <f t="shared" si="0"/>
        <v>221048.85201012105</v>
      </c>
      <c r="V14" s="41">
        <f t="shared" si="0"/>
        <v>226550.3071421514</v>
      </c>
    </row>
    <row r="15" spans="1:22" x14ac:dyDescent="0.2">
      <c r="B15" s="40"/>
      <c r="C15" s="77" t="s">
        <v>56</v>
      </c>
      <c r="D15" s="42">
        <f>5893.4287127795*Deflactores!$A$5</f>
        <v>21945.436960795061</v>
      </c>
      <c r="E15" s="42">
        <f>6377.87207953018*Deflactores!$B$5</f>
        <v>22061.996451627456</v>
      </c>
      <c r="F15" s="42">
        <f>6869.21912756568*Deflactores!$C$5</f>
        <v>22208.831982712738</v>
      </c>
      <c r="G15" s="42">
        <f>7451.06854132026*Deflactores!$D$5</f>
        <v>22621.558684162104</v>
      </c>
      <c r="H15" s="42">
        <f>8207.75345687269*Deflactores!$E$5</f>
        <v>23620.453455301478</v>
      </c>
      <c r="I15" s="42">
        <f>8756.02377494256*Deflactores!$F$5</f>
        <v>24031.50835495249</v>
      </c>
      <c r="J15" s="42">
        <f>9793.78220709813*Deflactores!$G$5</f>
        <v>25727.637303060936</v>
      </c>
      <c r="K15" s="42">
        <f>10805.3226448228*Deflactores!$H$5</f>
        <v>26855.606986235514</v>
      </c>
      <c r="L15" s="42">
        <f>12079.4218202461*Deflactores!$I$5</f>
        <v>27882.456652122251</v>
      </c>
      <c r="M15" s="42">
        <f>13595.5068008225*Deflactores!$J$5</f>
        <v>30766.09806747242</v>
      </c>
      <c r="N15" s="42">
        <f>14982.0975287662*Deflactores!$K$5</f>
        <v>32861.778421649149</v>
      </c>
      <c r="O15" s="42">
        <f>15327.0713431864*Deflactores!$L$5</f>
        <v>32410.603866638048</v>
      </c>
      <c r="P15" s="42">
        <f>17506.8077383976*Deflactores!$M$5</f>
        <v>36138.101750892762</v>
      </c>
      <c r="Q15" s="42">
        <f>19577.3494422109*Deflactores!$N$5</f>
        <v>39643.102699819268</v>
      </c>
      <c r="R15" s="42">
        <f>21941.0947354117*Deflactores!$O$5</f>
        <v>42860.855264505954</v>
      </c>
      <c r="S15" s="42">
        <f>23146.729817083*Deflactores!$P$5</f>
        <v>42348.978570785381</v>
      </c>
      <c r="T15" s="42">
        <f>24517.408510491*Deflactores!$Q$5</f>
        <v>42417.736007581145</v>
      </c>
      <c r="U15" s="42">
        <f>26379.4996351241*Deflactores!$R$5</f>
        <v>43846.04917590785</v>
      </c>
      <c r="V15" s="42">
        <f>29660.177078769*Deflactores!$S$5</f>
        <v>47779.558126772434</v>
      </c>
    </row>
    <row r="16" spans="1:22" x14ac:dyDescent="0.2">
      <c r="B16" s="40"/>
      <c r="C16" s="77" t="s">
        <v>57</v>
      </c>
      <c r="D16" s="42">
        <f>1431.22462728575*Deflactores!$A$5</f>
        <v>5329.4697137387748</v>
      </c>
      <c r="E16" s="42">
        <f>1649.11614210645*Deflactores!$B$5</f>
        <v>5704.5349956523687</v>
      </c>
      <c r="F16" s="42">
        <f>2024.62293996976*Deflactores!$C$5</f>
        <v>6545.7965260847432</v>
      </c>
      <c r="G16" s="42">
        <f>2235.30272867725*Deflactores!$D$5</f>
        <v>6786.4134618039971</v>
      </c>
      <c r="H16" s="42">
        <f>2628.5689522323*Deflactores!$E$5</f>
        <v>7564.5535549395408</v>
      </c>
      <c r="I16" s="42">
        <f>2882.45835101997*Deflactores!$F$5</f>
        <v>7911.1048263220828</v>
      </c>
      <c r="J16" s="42">
        <f>3187.00980463263*Deflactores!$G$5</f>
        <v>8372.0702177205221</v>
      </c>
      <c r="K16" s="42">
        <f>3530.67604850668*Deflactores!$H$5</f>
        <v>8775.1612303628135</v>
      </c>
      <c r="L16" s="42">
        <f>3786.35646481862*Deflactores!$I$5</f>
        <v>8739.8984463676225</v>
      </c>
      <c r="M16" s="42">
        <f>4443.83540513574*Deflactores!$J$5</f>
        <v>10056.225036189233</v>
      </c>
      <c r="N16" s="42">
        <f>4865.93918311778*Deflactores!$K$5</f>
        <v>10672.965847526775</v>
      </c>
      <c r="O16" s="42">
        <f>5301.20905765095*Deflactores!$L$5</f>
        <v>11209.929342316169</v>
      </c>
      <c r="P16" s="42">
        <f>6029.43769903*Deflactores!$M$5</f>
        <v>12446.154451694376</v>
      </c>
      <c r="Q16" s="42">
        <f>6903.73702224478*Deflactores!$N$5</f>
        <v>13979.704279849977</v>
      </c>
      <c r="R16" s="42">
        <f>7251.73399416581*Deflactores!$O$5</f>
        <v>14165.907621692166</v>
      </c>
      <c r="S16" s="42">
        <f>7123.17490568259*Deflactores!$P$5</f>
        <v>13032.475162606963</v>
      </c>
      <c r="T16" s="42">
        <f>7243.91159225011*Deflactores!$Q$5</f>
        <v>12532.740948165094</v>
      </c>
      <c r="U16" s="42">
        <f>7299.50583078459*Deflactores!$R$5</f>
        <v>12132.697588784329</v>
      </c>
      <c r="V16" s="42">
        <f>7897.8440411125*Deflactores!$S$5</f>
        <v>12722.631339535466</v>
      </c>
    </row>
    <row r="17" spans="2:22" x14ac:dyDescent="0.2">
      <c r="B17" s="40"/>
      <c r="C17" s="77" t="s">
        <v>58</v>
      </c>
      <c r="D17" s="42">
        <f>17296.1175194377*Deflactores!$A$5</f>
        <v>64405.777211871493</v>
      </c>
      <c r="E17" s="42">
        <f>19868.9507098156*Deflactores!$B$5</f>
        <v>68729.61931368857</v>
      </c>
      <c r="F17" s="42">
        <f>22150.7871127179*Deflactores!$C$5</f>
        <v>71615.579607448875</v>
      </c>
      <c r="G17" s="42">
        <f>23546.9161542892*Deflactores!$D$5</f>
        <v>71488.799581075116</v>
      </c>
      <c r="H17" s="42">
        <f>28288.7785727399*Deflactores!$E$5</f>
        <v>81410.069283358695</v>
      </c>
      <c r="I17" s="42">
        <f>33335.0029845182*Deflactores!$F$5</f>
        <v>91490.204152634396</v>
      </c>
      <c r="J17" s="42">
        <f>36275.5369287547*Deflactores!$G$5</f>
        <v>95293.507384755649</v>
      </c>
      <c r="K17" s="42">
        <f>39739.017083952*Deflactores!$H$5</f>
        <v>98767.566680413132</v>
      </c>
      <c r="L17" s="42">
        <f>45494.8662734522*Deflactores!$I$5</f>
        <v>105014.01934962693</v>
      </c>
      <c r="M17" s="42">
        <f>52052.3543874836*Deflactores!$J$5</f>
        <v>117792.43416150285</v>
      </c>
      <c r="N17" s="42">
        <f>59202.4949330071*Deflactores!$K$5</f>
        <v>129854.93297996846</v>
      </c>
      <c r="O17" s="42">
        <f>57539.8237800356*Deflactores!$L$5</f>
        <v>121673.63179397798</v>
      </c>
      <c r="P17" s="42">
        <f>62566.9975264782*Deflactores!$M$5</f>
        <v>129152.75912355904</v>
      </c>
      <c r="Q17" s="42">
        <f>68800.1926989983*Deflactores!$N$5</f>
        <v>139316.77079089469</v>
      </c>
      <c r="R17" s="42">
        <f>76808.0854612717*Deflactores!$O$5</f>
        <v>150040.83769740845</v>
      </c>
      <c r="S17" s="42">
        <f>78343.872100867*Deflactores!$P$5</f>
        <v>143337.00643549833</v>
      </c>
      <c r="T17" s="42">
        <f>85176.7621650141*Deflactores!$Q$5</f>
        <v>147364.89829053867</v>
      </c>
      <c r="U17" s="42">
        <f>99281.858542504*Deflactores!$R$5</f>
        <v>165018.94699071604</v>
      </c>
      <c r="V17" s="42">
        <f>103027.211747171*Deflactores!$S$5</f>
        <v>165966.46200864669</v>
      </c>
    </row>
    <row r="18" spans="2:22" x14ac:dyDescent="0.2">
      <c r="B18" s="40"/>
      <c r="C18" s="77" t="s">
        <v>59</v>
      </c>
      <c r="D18" s="42">
        <f>3.28735449999999*Deflactores!$A$5</f>
        <v>12.241164602720957</v>
      </c>
      <c r="E18" s="42">
        <f>7.60331430199999*Deflactores!$B$5</f>
        <v>26.300981120287503</v>
      </c>
      <c r="F18" s="42">
        <f>7.02039999999999*Deflactores!$C$5</f>
        <v>22.697613972709231</v>
      </c>
      <c r="G18" s="42">
        <f>7.572729214*Deflactores!$D$5</f>
        <v>22.990922357481864</v>
      </c>
      <c r="H18" s="42">
        <f>12.7878707573799*Deflactores!$E$5</f>
        <v>36.801215777769187</v>
      </c>
      <c r="I18" s="42">
        <f>18.603928152*Deflactores!$F$5</f>
        <v>51.059757980460347</v>
      </c>
      <c r="J18" s="42">
        <f>17.705985505*Deflactores!$G$5</f>
        <v>46.512487569484918</v>
      </c>
      <c r="K18" s="42">
        <f>19.024464*Deflactores!$H$5</f>
        <v>47.283505092981393</v>
      </c>
      <c r="L18" s="42">
        <f>18.9858139999999*Deflactores!$I$5</f>
        <v>43.824211434771122</v>
      </c>
      <c r="M18" s="42">
        <f>8.1387*Deflactores!$J$5</f>
        <v>18.417558536809331</v>
      </c>
      <c r="N18" s="42">
        <f>8.7702*Deflactores!$K$5</f>
        <v>19.236583433006228</v>
      </c>
      <c r="O18" s="42">
        <f>27.814143272*Deflactores!$L$5</f>
        <v>58.815748899052053</v>
      </c>
      <c r="P18" s="42">
        <f>10.6978*Deflactores!$M$5</f>
        <v>22.082734367544152</v>
      </c>
      <c r="Q18" s="42">
        <f>10.4418*Deflactores!$N$5</f>
        <v>21.144095680207943</v>
      </c>
      <c r="R18" s="42">
        <f>15.822551352*Deflactores!$O$5</f>
        <v>30.908580068193206</v>
      </c>
      <c r="S18" s="42">
        <f>18.103222687*Deflactores!$P$5</f>
        <v>33.121438565723665</v>
      </c>
      <c r="T18" s="42">
        <f>17.435225741*Deflactores!$Q$5</f>
        <v>30.16480320087102</v>
      </c>
      <c r="U18" s="42">
        <f>30.77880873864*Deflactores!$R$5</f>
        <v>51.15825471281434</v>
      </c>
      <c r="V18" s="42">
        <f>50.6894924*Deflactores!$S$5</f>
        <v>81.655667196809176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61470.524326270926</v>
      </c>
      <c r="E19" s="41">
        <f t="shared" si="1"/>
        <v>74022.663035903388</v>
      </c>
      <c r="F19" s="41">
        <f t="shared" si="1"/>
        <v>74231.017894555524</v>
      </c>
      <c r="G19" s="41">
        <f t="shared" si="1"/>
        <v>82993.106962678896</v>
      </c>
      <c r="H19" s="41">
        <f t="shared" si="1"/>
        <v>77367.602105818936</v>
      </c>
      <c r="I19" s="41">
        <f t="shared" si="1"/>
        <v>86601.702628314757</v>
      </c>
      <c r="J19" s="41">
        <f t="shared" si="1"/>
        <v>102258.62626594036</v>
      </c>
      <c r="K19" s="41">
        <f t="shared" si="1"/>
        <v>97718.529236687507</v>
      </c>
      <c r="L19" s="41">
        <f t="shared" si="1"/>
        <v>89749.806435303399</v>
      </c>
      <c r="M19" s="41">
        <f t="shared" si="1"/>
        <v>83798.151151064914</v>
      </c>
      <c r="N19" s="41">
        <f t="shared" si="1"/>
        <v>87492.330514749832</v>
      </c>
      <c r="O19" s="41">
        <f t="shared" si="1"/>
        <v>74401.737581704743</v>
      </c>
      <c r="P19" s="41">
        <f t="shared" si="1"/>
        <v>75158.275514355759</v>
      </c>
      <c r="Q19" s="41">
        <f t="shared" si="1"/>
        <v>90190.021442902391</v>
      </c>
      <c r="R19" s="41">
        <f t="shared" si="1"/>
        <v>79996.138130491439</v>
      </c>
      <c r="S19" s="41">
        <f t="shared" si="1"/>
        <v>85945.681130152458</v>
      </c>
      <c r="T19" s="41">
        <f t="shared" si="1"/>
        <v>80804.494828150695</v>
      </c>
      <c r="U19" s="41">
        <f t="shared" si="1"/>
        <v>83115.302390852434</v>
      </c>
      <c r="V19" s="41">
        <f t="shared" si="1"/>
        <v>77208.310977224231</v>
      </c>
    </row>
    <row r="20" spans="2:22" x14ac:dyDescent="0.2">
      <c r="B20" s="34"/>
      <c r="C20" s="76" t="s">
        <v>43</v>
      </c>
      <c r="D20" s="41">
        <f t="shared" ref="D20:V20" si="2">+D21+D22</f>
        <v>19060.513907739674</v>
      </c>
      <c r="E20" s="41">
        <f t="shared" si="2"/>
        <v>27434.310121545626</v>
      </c>
      <c r="F20" s="41">
        <f t="shared" si="2"/>
        <v>31012.266636362641</v>
      </c>
      <c r="G20" s="41">
        <f t="shared" si="2"/>
        <v>40518.382973512271</v>
      </c>
      <c r="H20" s="41">
        <f t="shared" si="2"/>
        <v>27062.358122828737</v>
      </c>
      <c r="I20" s="41">
        <f t="shared" si="2"/>
        <v>35953.787316218564</v>
      </c>
      <c r="J20" s="41">
        <f t="shared" si="2"/>
        <v>27892.679631780382</v>
      </c>
      <c r="K20" s="41">
        <f t="shared" si="2"/>
        <v>19174.638995603251</v>
      </c>
      <c r="L20" s="41">
        <f t="shared" si="2"/>
        <v>18907.784213584466</v>
      </c>
      <c r="M20" s="41">
        <f t="shared" si="2"/>
        <v>18711.373859077154</v>
      </c>
      <c r="N20" s="41">
        <f t="shared" si="2"/>
        <v>18908.414488847196</v>
      </c>
      <c r="O20" s="41">
        <f t="shared" si="2"/>
        <v>14865.461648795672</v>
      </c>
      <c r="P20" s="41">
        <f t="shared" si="2"/>
        <v>13544.390822947606</v>
      </c>
      <c r="Q20" s="41">
        <f t="shared" si="2"/>
        <v>14294.745095883096</v>
      </c>
      <c r="R20" s="41">
        <f t="shared" si="2"/>
        <v>17605.048583740587</v>
      </c>
      <c r="S20" s="41">
        <f t="shared" si="2"/>
        <v>20377.613608608917</v>
      </c>
      <c r="T20" s="41">
        <f t="shared" si="2"/>
        <v>16742.977964464728</v>
      </c>
      <c r="U20" s="41">
        <f t="shared" si="2"/>
        <v>23944.33395773948</v>
      </c>
      <c r="V20" s="41">
        <f t="shared" si="2"/>
        <v>18000.760611109821</v>
      </c>
    </row>
    <row r="21" spans="2:22" x14ac:dyDescent="0.2">
      <c r="B21" s="32"/>
      <c r="C21" s="77" t="s">
        <v>60</v>
      </c>
      <c r="D21" s="42">
        <f>2592.326761633*Deflactores!$A$5</f>
        <v>9653.080795876509</v>
      </c>
      <c r="E21" s="42">
        <f>4466.019032136*Deflactores!$B$5</f>
        <v>15448.615903745624</v>
      </c>
      <c r="F21" s="42">
        <f>5711.515399244*Deflactores!$C$5</f>
        <v>18465.866863885924</v>
      </c>
      <c r="G21" s="42">
        <f>7909.3370198*Deflactores!$D$5</f>
        <v>24012.868832705473</v>
      </c>
      <c r="H21" s="42">
        <f>4469.42343748299*Deflactores!$E$5</f>
        <v>12862.205088373184</v>
      </c>
      <c r="I21" s="42">
        <f>8567.810742997*Deflactores!$F$5</f>
        <v>23514.944767876081</v>
      </c>
      <c r="J21" s="42">
        <f>5420.12186511*Deflactores!$G$5</f>
        <v>14238.312281732677</v>
      </c>
      <c r="K21" s="42">
        <f>3720.58431846086*Deflactores!$H$5</f>
        <v>9247.160265372564</v>
      </c>
      <c r="L21" s="42">
        <f>4132.157720009*Deflactores!$I$5</f>
        <v>9538.0979505802152</v>
      </c>
      <c r="M21" s="42">
        <f>3404.305144954*Deflactores!$J$5</f>
        <v>7703.8088741877045</v>
      </c>
      <c r="N21" s="42">
        <f>3879.178468778*Deflactores!$K$5</f>
        <v>8508.6018866353479</v>
      </c>
      <c r="O21" s="42">
        <f>3023.35726236699*Deflactores!$L$5</f>
        <v>6393.1870860286963</v>
      </c>
      <c r="P21" s="42">
        <f>3394.06465378*Deflactores!$M$5</f>
        <v>7006.1347357114955</v>
      </c>
      <c r="Q21" s="42">
        <f>2962.942797922*Deflactores!$N$5</f>
        <v>5999.8032919846955</v>
      </c>
      <c r="R21" s="42">
        <f>4984.233802202*Deflactores!$O$5</f>
        <v>9736.4569168854487</v>
      </c>
      <c r="S21" s="42">
        <f>6079.444853663*Deflactores!$P$5</f>
        <v>11122.87920862297</v>
      </c>
      <c r="T21" s="42">
        <f>3556.95272029546*Deflactores!$Q$5</f>
        <v>6153.9082083809863</v>
      </c>
      <c r="U21" s="42">
        <f>7884.374597283*Deflactores!$R$5</f>
        <v>13104.82310488763</v>
      </c>
      <c r="V21" s="42">
        <f>3074.496157762*Deflactores!$S$5</f>
        <v>4952.7036703189087</v>
      </c>
    </row>
    <row r="22" spans="2:22" x14ac:dyDescent="0.2">
      <c r="B22" s="32"/>
      <c r="C22" s="77" t="s">
        <v>61</v>
      </c>
      <c r="D22" s="42">
        <f>2526.358281863*Deflactores!$A$5</f>
        <v>9407.4331118631653</v>
      </c>
      <c r="E22" s="42">
        <f>3464.927785348*Deflactores!$B$5</f>
        <v>11985.694217800003</v>
      </c>
      <c r="F22" s="42">
        <f>3880.616926017*Deflactores!$C$5</f>
        <v>12546.399772476716</v>
      </c>
      <c r="G22" s="42">
        <f>5436.57132074573*Deflactores!$D$5</f>
        <v>16505.514140806794</v>
      </c>
      <c r="H22" s="42">
        <f>4934.340290174*Deflactores!$E$5</f>
        <v>14200.15303445555</v>
      </c>
      <c r="I22" s="42">
        <f>4532.166665419*Deflactores!$F$5</f>
        <v>12438.842548342482</v>
      </c>
      <c r="J22" s="42">
        <f>5197.830582996*Deflactores!$G$5</f>
        <v>13654.367350047707</v>
      </c>
      <c r="K22" s="42">
        <f>3994.309671896*Deflactores!$H$5</f>
        <v>9927.478730230685</v>
      </c>
      <c r="L22" s="42">
        <f>4059.197297652*Deflactores!$I$5</f>
        <v>9369.6862630042506</v>
      </c>
      <c r="M22" s="42">
        <f>4864.231540976*Deflactores!$J$5</f>
        <v>11007.564984889448</v>
      </c>
      <c r="N22" s="42">
        <f>4741.405187754*Deflactores!$K$5</f>
        <v>10399.812602211849</v>
      </c>
      <c r="O22" s="42">
        <f>4006.56393805299*Deflactores!$L$5</f>
        <v>8472.2745627669756</v>
      </c>
      <c r="P22" s="42">
        <f>3167.404670358*Deflactores!$M$5</f>
        <v>6538.25608723611</v>
      </c>
      <c r="Q22" s="42">
        <f>4096.373977773*Deflactores!$N$5</f>
        <v>8294.9418038984004</v>
      </c>
      <c r="R22" s="42">
        <f>4028.046433775*Deflactores!$O$5</f>
        <v>7868.5916668551381</v>
      </c>
      <c r="S22" s="42">
        <f>5058.370801725*Deflactores!$P$5</f>
        <v>9254.7343999859495</v>
      </c>
      <c r="T22" s="42">
        <f>6120.47160908329*Deflactores!$Q$5</f>
        <v>10589.06975608374</v>
      </c>
      <c r="U22" s="42">
        <f>6521.474065783*Deflactores!$R$5</f>
        <v>10839.51085285185</v>
      </c>
      <c r="V22" s="42">
        <f>8099.858905578*Deflactores!$S$5</f>
        <v>13048.056940790913</v>
      </c>
    </row>
    <row r="23" spans="2:22" x14ac:dyDescent="0.2">
      <c r="B23" s="34"/>
      <c r="C23" s="76" t="s">
        <v>44</v>
      </c>
      <c r="D23" s="41">
        <f t="shared" ref="D23:V23" si="3">+D24+D25</f>
        <v>42410.010418531252</v>
      </c>
      <c r="E23" s="41">
        <f t="shared" si="3"/>
        <v>46588.352914357769</v>
      </c>
      <c r="F23" s="41">
        <f t="shared" si="3"/>
        <v>43218.751258192875</v>
      </c>
      <c r="G23" s="41">
        <f t="shared" si="3"/>
        <v>42474.723989166632</v>
      </c>
      <c r="H23" s="41">
        <f t="shared" si="3"/>
        <v>50305.2439829902</v>
      </c>
      <c r="I23" s="41">
        <f t="shared" si="3"/>
        <v>50647.9153120962</v>
      </c>
      <c r="J23" s="41">
        <f t="shared" si="3"/>
        <v>74365.946634159976</v>
      </c>
      <c r="K23" s="41">
        <f t="shared" si="3"/>
        <v>78543.890241084257</v>
      </c>
      <c r="L23" s="41">
        <f t="shared" si="3"/>
        <v>70842.022221718929</v>
      </c>
      <c r="M23" s="41">
        <f t="shared" si="3"/>
        <v>65086.777291987761</v>
      </c>
      <c r="N23" s="41">
        <f t="shared" si="3"/>
        <v>68583.916025902639</v>
      </c>
      <c r="O23" s="41">
        <f t="shared" si="3"/>
        <v>59536.27593290907</v>
      </c>
      <c r="P23" s="41">
        <f t="shared" si="3"/>
        <v>61613.884691408159</v>
      </c>
      <c r="Q23" s="41">
        <f t="shared" si="3"/>
        <v>75895.276347019302</v>
      </c>
      <c r="R23" s="41">
        <f t="shared" si="3"/>
        <v>62391.089546750853</v>
      </c>
      <c r="S23" s="41">
        <f t="shared" si="3"/>
        <v>65568.067521543548</v>
      </c>
      <c r="T23" s="41">
        <f t="shared" si="3"/>
        <v>64061.51686368596</v>
      </c>
      <c r="U23" s="41">
        <f t="shared" si="3"/>
        <v>59170.968433112954</v>
      </c>
      <c r="V23" s="41">
        <f t="shared" si="3"/>
        <v>59207.550366114418</v>
      </c>
    </row>
    <row r="24" spans="2:22" x14ac:dyDescent="0.2">
      <c r="B24" s="32"/>
      <c r="C24" s="77" t="s">
        <v>60</v>
      </c>
      <c r="D24" s="42">
        <f>6383.295355696*Deflactores!$A$5</f>
        <v>23769.559734692197</v>
      </c>
      <c r="E24" s="42">
        <f>8411.104550394*Deflactores!$B$5</f>
        <v>29095.246256292037</v>
      </c>
      <c r="F24" s="42">
        <f>8119.19587233799*Deflactores!$C$5</f>
        <v>26250.124448627164</v>
      </c>
      <c r="G24" s="42">
        <f>7146.031182507*Deflactores!$D$5</f>
        <v>21695.460571523716</v>
      </c>
      <c r="H24" s="42">
        <f>9691.048390262*Deflactores!$E$5</f>
        <v>27889.112244664786</v>
      </c>
      <c r="I24" s="42">
        <f>9624.308033073*Deflactores!$F$5</f>
        <v>26414.574109461853</v>
      </c>
      <c r="J24" s="42">
        <f>17121.65354468*Deflactores!$G$5</f>
        <v>44977.485011555465</v>
      </c>
      <c r="K24" s="42">
        <f>19126.4048796461*Deflactores!$H$5</f>
        <v>47536.869503244379</v>
      </c>
      <c r="L24" s="42">
        <f>18573.685191487*Deflactores!$I$5</f>
        <v>42872.910634993474</v>
      </c>
      <c r="M24" s="42">
        <f>16047.7408469709*Deflactores!$J$5</f>
        <v>36315.407427799619</v>
      </c>
      <c r="N24" s="42">
        <f>18160.0039880089*Deflactores!$K$5</f>
        <v>39832.208143378593</v>
      </c>
      <c r="O24" s="42">
        <f>14793.587457*Deflactores!$L$5</f>
        <v>31282.499578658171</v>
      </c>
      <c r="P24" s="42">
        <f>16671.904732408*Deflactores!$M$5</f>
        <v>34414.668773651414</v>
      </c>
      <c r="Q24" s="42">
        <f>22808.654132281*Deflactores!$N$5</f>
        <v>46186.324705483705</v>
      </c>
      <c r="R24" s="42">
        <f>17782.967320987*Deflactores!$O$5</f>
        <v>34738.156765173888</v>
      </c>
      <c r="S24" s="42">
        <f>20398.09670945*Deflactores!$P$5</f>
        <v>37320.112484994163</v>
      </c>
      <c r="T24" s="42">
        <f>19919.0327611305*Deflactores!$Q$5</f>
        <v>34462.054699886088</v>
      </c>
      <c r="U24" s="42">
        <f>17104.713720066*Deflactores!$R$5</f>
        <v>28430.187429000922</v>
      </c>
      <c r="V24" s="42">
        <f>16113.554506496*Deflactores!$S$5</f>
        <v>25957.313475486339</v>
      </c>
    </row>
    <row r="25" spans="2:22" x14ac:dyDescent="0.2">
      <c r="B25" s="32"/>
      <c r="C25" s="77" t="s">
        <v>61</v>
      </c>
      <c r="D25" s="42">
        <f>5005.877416592*Deflactores!$A$5</f>
        <v>18640.450683839059</v>
      </c>
      <c r="E25" s="42">
        <f>5057.058040207*Deflactores!$B$5</f>
        <v>17493.106658065732</v>
      </c>
      <c r="F25" s="42">
        <f>5248.41720354872*Deflactores!$C$5</f>
        <v>16968.626809565711</v>
      </c>
      <c r="G25" s="42">
        <f>6844.25499253527*Deflactores!$D$5</f>
        <v>20779.263417642916</v>
      </c>
      <c r="H25" s="42">
        <f>7789.269715466*Deflactores!$E$5</f>
        <v>22416.131738325414</v>
      </c>
      <c r="I25" s="42">
        <f>8829.562779934*Deflactores!$F$5</f>
        <v>24233.341202634347</v>
      </c>
      <c r="J25" s="42">
        <f>11187.354250334*Deflactores!$G$5</f>
        <v>29388.461622604518</v>
      </c>
      <c r="K25" s="42">
        <f>12475.639202599*Deflactores!$H$5</f>
        <v>31007.020737839881</v>
      </c>
      <c r="L25" s="42">
        <f>12116.963042705*Deflactores!$I$5</f>
        <v>27969.111586725459</v>
      </c>
      <c r="M25" s="42">
        <f>12714.038478318*Deflactores!$J$5</f>
        <v>28771.369864188138</v>
      </c>
      <c r="N25" s="42">
        <f>13108.264747193*Deflactores!$K$5</f>
        <v>28751.707882524046</v>
      </c>
      <c r="O25" s="42">
        <f>13361.2952007289*Deflactores!$L$5</f>
        <v>28253.776354250898</v>
      </c>
      <c r="P25" s="42">
        <f>13176.437627789*Deflactores!$M$5</f>
        <v>27199.215917756745</v>
      </c>
      <c r="Q25" s="42">
        <f>14671.468382588*Deflactores!$N$5</f>
        <v>29708.951641535594</v>
      </c>
      <c r="R25" s="42">
        <f>14155.938189479*Deflactores!$O$5</f>
        <v>27652.932781576961</v>
      </c>
      <c r="S25" s="42">
        <f>15439.517201654*Deflactores!$P$5</f>
        <v>28247.955036549385</v>
      </c>
      <c r="T25" s="42">
        <f>17108.4591933667*Deflactores!$Q$5</f>
        <v>29599.462163799868</v>
      </c>
      <c r="U25" s="42">
        <f>18494.857268166*Deflactores!$R$5</f>
        <v>30740.781004112032</v>
      </c>
      <c r="V25" s="42">
        <f>20640.791852247*Deflactores!$S$5</f>
        <v>33250.236890628075</v>
      </c>
    </row>
    <row r="26" spans="2:22" x14ac:dyDescent="0.2">
      <c r="B26" s="34" t="s">
        <v>45</v>
      </c>
      <c r="C26" s="76" t="s">
        <v>46</v>
      </c>
      <c r="D26" s="41">
        <f>5282.46193920199*Deflactores!$A$5</f>
        <v>19670.372059168036</v>
      </c>
      <c r="E26" s="41">
        <f>8682.710599852*Deflactores!$B$5</f>
        <v>30034.771481110336</v>
      </c>
      <c r="F26" s="41">
        <f>7691.33760007117*Deflactores!$C$5</f>
        <v>24866.818383596306</v>
      </c>
      <c r="G26" s="41">
        <f>6270.8732041031*Deflactores!$D$5</f>
        <v>19038.467489714192</v>
      </c>
      <c r="H26" s="41">
        <f>7963.9756075135*Deflactores!$E$5</f>
        <v>22918.904197702774</v>
      </c>
      <c r="I26" s="41">
        <f>9163.73950241747*Deflactores!$F$5</f>
        <v>25150.512158859259</v>
      </c>
      <c r="J26" s="41">
        <f>10749.1531497432*Deflactores!$G$5</f>
        <v>28237.335454653654</v>
      </c>
      <c r="K26" s="41">
        <f>16125.835038255*Deflactores!$H$5</f>
        <v>40079.237089670867</v>
      </c>
      <c r="L26" s="41">
        <f>16219.0159494324*Deflactores!$I$5</f>
        <v>37437.719774978017</v>
      </c>
      <c r="M26" s="41">
        <f>23698.743583883*Deflactores!$J$5</f>
        <v>53629.326207502389</v>
      </c>
      <c r="N26" s="41">
        <f>18202.9908133394*Deflactores!$K$5</f>
        <v>39926.49557718743</v>
      </c>
      <c r="O26" s="41">
        <f>25037.590831207*Deflactores!$L$5</f>
        <v>52944.454947419632</v>
      </c>
      <c r="P26" s="41">
        <f>29848.254958601*Deflactores!$M$5</f>
        <v>61613.704274291762</v>
      </c>
      <c r="Q26" s="41">
        <f>34723.8330709731*Deflactores!$N$5</f>
        <v>70313.935225365742</v>
      </c>
      <c r="R26" s="41">
        <f>38578.938422624*Deflactores!$O$5</f>
        <v>75362.069027562058</v>
      </c>
      <c r="S26" s="41">
        <f>39728.7584789163*Deflactores!$P$5</f>
        <v>72687.258837998714</v>
      </c>
      <c r="T26" s="41">
        <f>33408.0358796063*Deflactores!$Q$5</f>
        <v>57799.471174392864</v>
      </c>
      <c r="U26" s="41">
        <f>31702.147465306*Deflactores!$R$5</f>
        <v>52692.959910994541</v>
      </c>
      <c r="V26" s="41">
        <f>30951.1046466839*Deflactores!$S$5</f>
        <v>49859.112426291227</v>
      </c>
    </row>
    <row r="27" spans="2:22" ht="14.25" customHeight="1" x14ac:dyDescent="0.2">
      <c r="B27" s="36" t="s">
        <v>47</v>
      </c>
      <c r="C27" s="78" t="s">
        <v>48</v>
      </c>
      <c r="D27" s="43">
        <f t="shared" ref="D27:V27" si="4">+D14+D26</f>
        <v>111363.29711017608</v>
      </c>
      <c r="E27" s="43">
        <f t="shared" si="4"/>
        <v>126557.22322319902</v>
      </c>
      <c r="F27" s="43">
        <f t="shared" si="4"/>
        <v>125259.72411381538</v>
      </c>
      <c r="G27" s="43">
        <f t="shared" si="4"/>
        <v>119958.2301391129</v>
      </c>
      <c r="H27" s="43">
        <f t="shared" si="4"/>
        <v>135550.78170708026</v>
      </c>
      <c r="I27" s="43">
        <f t="shared" si="4"/>
        <v>148634.38925074867</v>
      </c>
      <c r="J27" s="43">
        <f t="shared" si="4"/>
        <v>157677.06284776024</v>
      </c>
      <c r="K27" s="43">
        <f t="shared" si="4"/>
        <v>174524.85549177532</v>
      </c>
      <c r="L27" s="43">
        <f t="shared" si="4"/>
        <v>179117.91843452962</v>
      </c>
      <c r="M27" s="43">
        <f t="shared" si="4"/>
        <v>212262.50103120372</v>
      </c>
      <c r="N27" s="43">
        <f t="shared" si="4"/>
        <v>213335.4094097648</v>
      </c>
      <c r="O27" s="43">
        <f t="shared" si="4"/>
        <v>218297.43569925087</v>
      </c>
      <c r="P27" s="43">
        <f t="shared" si="4"/>
        <v>239372.80233480548</v>
      </c>
      <c r="Q27" s="43">
        <f t="shared" si="4"/>
        <v>263274.6570916099</v>
      </c>
      <c r="R27" s="43">
        <f t="shared" si="4"/>
        <v>282460.57819123683</v>
      </c>
      <c r="S27" s="43">
        <f t="shared" si="4"/>
        <v>271438.84044545511</v>
      </c>
      <c r="T27" s="43">
        <f t="shared" si="4"/>
        <v>260145.01122387865</v>
      </c>
      <c r="U27" s="43">
        <f t="shared" si="4"/>
        <v>273741.81192111562</v>
      </c>
      <c r="V27" s="43">
        <f t="shared" si="4"/>
        <v>276409.41956844262</v>
      </c>
    </row>
    <row r="28" spans="2:22" ht="14.25" customHeight="1" x14ac:dyDescent="0.2">
      <c r="B28" s="38" t="s">
        <v>49</v>
      </c>
      <c r="C28" s="79" t="s">
        <v>50</v>
      </c>
      <c r="D28" s="44">
        <f t="shared" ref="D28:V28" si="5">+D14+D19+D26</f>
        <v>172833.821436447</v>
      </c>
      <c r="E28" s="44">
        <f t="shared" si="5"/>
        <v>200579.88625910241</v>
      </c>
      <c r="F28" s="44">
        <f t="shared" si="5"/>
        <v>199490.7420083709</v>
      </c>
      <c r="G28" s="44">
        <f t="shared" si="5"/>
        <v>202951.33710179178</v>
      </c>
      <c r="H28" s="44">
        <f t="shared" si="5"/>
        <v>212918.38381289918</v>
      </c>
      <c r="I28" s="44">
        <f t="shared" si="5"/>
        <v>235236.09187906343</v>
      </c>
      <c r="J28" s="44">
        <f t="shared" si="5"/>
        <v>259935.68911370062</v>
      </c>
      <c r="K28" s="44">
        <f t="shared" si="5"/>
        <v>272243.38472846278</v>
      </c>
      <c r="L28" s="44">
        <f t="shared" si="5"/>
        <v>268867.72486983298</v>
      </c>
      <c r="M28" s="44">
        <f t="shared" si="5"/>
        <v>296060.65218226862</v>
      </c>
      <c r="N28" s="44">
        <f t="shared" si="5"/>
        <v>300827.73992451467</v>
      </c>
      <c r="O28" s="44">
        <f t="shared" si="5"/>
        <v>292699.17328095558</v>
      </c>
      <c r="P28" s="44">
        <f t="shared" si="5"/>
        <v>314531.07784916123</v>
      </c>
      <c r="Q28" s="44">
        <f t="shared" si="5"/>
        <v>353464.67853451229</v>
      </c>
      <c r="R28" s="44">
        <f t="shared" si="5"/>
        <v>362456.71632172825</v>
      </c>
      <c r="S28" s="44">
        <f t="shared" si="5"/>
        <v>357384.52157560759</v>
      </c>
      <c r="T28" s="44">
        <f t="shared" si="5"/>
        <v>340949.50605202932</v>
      </c>
      <c r="U28" s="44">
        <f t="shared" si="5"/>
        <v>356857.11431196798</v>
      </c>
      <c r="V28" s="44">
        <f t="shared" si="5"/>
        <v>353617.73054566688</v>
      </c>
    </row>
    <row r="29" spans="2:22" x14ac:dyDescent="0.2">
      <c r="B29" s="1" t="s">
        <v>52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customHeight="1" x14ac:dyDescent="0.2">
      <c r="A36" s="16"/>
      <c r="C36" s="131"/>
      <c r="D36" s="155" t="s">
        <v>76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ht="15.75" customHeight="1" x14ac:dyDescent="0.2">
      <c r="A37" s="16"/>
      <c r="B37" s="157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x14ac:dyDescent="0.2">
      <c r="A38" s="16"/>
      <c r="B38" s="158"/>
      <c r="C38" s="159" t="s">
        <v>38</v>
      </c>
      <c r="D38" s="153">
        <v>2000</v>
      </c>
      <c r="E38" s="153">
        <v>2001</v>
      </c>
      <c r="F38" s="153">
        <v>2002</v>
      </c>
      <c r="G38" s="153">
        <v>2003</v>
      </c>
      <c r="H38" s="153">
        <v>2004</v>
      </c>
      <c r="I38" s="153">
        <v>2005</v>
      </c>
      <c r="J38" s="153">
        <v>2006</v>
      </c>
      <c r="K38" s="153">
        <v>2007</v>
      </c>
      <c r="L38" s="153">
        <v>2008</v>
      </c>
      <c r="M38" s="153" t="s">
        <v>9</v>
      </c>
      <c r="N38" s="153">
        <v>2010</v>
      </c>
      <c r="O38" s="153">
        <v>2011</v>
      </c>
      <c r="P38" s="153">
        <v>2012</v>
      </c>
      <c r="Q38" s="153">
        <v>2013</v>
      </c>
      <c r="R38" s="153">
        <v>2014</v>
      </c>
      <c r="S38" s="153">
        <v>2015</v>
      </c>
      <c r="T38" s="153">
        <v>2016</v>
      </c>
      <c r="U38" s="153">
        <v>2017</v>
      </c>
      <c r="V38" s="153">
        <v>2018</v>
      </c>
    </row>
    <row r="39" spans="1:22" ht="12" customHeight="1" thickBot="1" x14ac:dyDescent="0.25">
      <c r="A39" s="16"/>
      <c r="B39" s="154"/>
      <c r="C39" s="160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spans="1:22" x14ac:dyDescent="0.2">
      <c r="A40" s="16"/>
      <c r="B40" s="34" t="s">
        <v>39</v>
      </c>
      <c r="C40" s="76" t="s">
        <v>40</v>
      </c>
      <c r="D40" s="41">
        <f t="shared" ref="D40:V40" si="6">+D41+D42+D43+D44</f>
        <v>87888.64129561538</v>
      </c>
      <c r="E40" s="41">
        <f t="shared" si="6"/>
        <v>93551.657744672877</v>
      </c>
      <c r="F40" s="41">
        <f t="shared" si="6"/>
        <v>99077.426744586672</v>
      </c>
      <c r="G40" s="41">
        <f t="shared" si="6"/>
        <v>99729.072613540236</v>
      </c>
      <c r="H40" s="41">
        <f t="shared" si="6"/>
        <v>111639.41632670311</v>
      </c>
      <c r="I40" s="41">
        <f t="shared" si="6"/>
        <v>121674.35287469588</v>
      </c>
      <c r="J40" s="41">
        <f t="shared" si="6"/>
        <v>127454.72051616364</v>
      </c>
      <c r="K40" s="41">
        <f t="shared" si="6"/>
        <v>129490.36976497718</v>
      </c>
      <c r="L40" s="41">
        <f t="shared" si="6"/>
        <v>139001.00621341183</v>
      </c>
      <c r="M40" s="41">
        <f t="shared" si="6"/>
        <v>150741.83380508336</v>
      </c>
      <c r="N40" s="41">
        <f t="shared" si="6"/>
        <v>159769.3502596863</v>
      </c>
      <c r="O40" s="41">
        <f t="shared" si="6"/>
        <v>163374.71559401197</v>
      </c>
      <c r="P40" s="41">
        <f t="shared" si="6"/>
        <v>174812.85205412027</v>
      </c>
      <c r="Q40" s="41">
        <f t="shared" si="6"/>
        <v>188056.61295398753</v>
      </c>
      <c r="R40" s="41">
        <f t="shared" si="6"/>
        <v>197748.87664220526</v>
      </c>
      <c r="S40" s="41">
        <f t="shared" si="6"/>
        <v>195419.78995020816</v>
      </c>
      <c r="T40" s="41">
        <f t="shared" si="6"/>
        <v>200805.1780792081</v>
      </c>
      <c r="U40" s="41">
        <f t="shared" si="6"/>
        <v>219563.00008803577</v>
      </c>
      <c r="V40" s="41">
        <f t="shared" si="6"/>
        <v>220740.99541396828</v>
      </c>
    </row>
    <row r="41" spans="1:22" x14ac:dyDescent="0.2">
      <c r="A41" s="16"/>
      <c r="B41" s="40"/>
      <c r="C41" s="77" t="s">
        <v>56</v>
      </c>
      <c r="D41" s="42">
        <f>5794.77544611949*Deflactores!$A$5</f>
        <v>21578.08051177768</v>
      </c>
      <c r="E41" s="42">
        <f>6264.39302789246*Deflactores!$B$5</f>
        <v>21669.455741599628</v>
      </c>
      <c r="F41" s="42">
        <f>6776.47101012712*Deflactores!$C$5</f>
        <v>21908.968589413791</v>
      </c>
      <c r="G41" s="42">
        <f>7362.80104970823*Deflactores!$D$5</f>
        <v>22353.577222129876</v>
      </c>
      <c r="H41" s="42">
        <f>8118.71888398109*Deflactores!$E$5</f>
        <v>23364.227802819467</v>
      </c>
      <c r="I41" s="42">
        <f>8668.02996030312*Deflactores!$F$5</f>
        <v>23790.003289863089</v>
      </c>
      <c r="J41" s="42">
        <f>9639.19632389131*Deflactores!$G$5</f>
        <v>25321.550109041458</v>
      </c>
      <c r="K41" s="42">
        <f>10556.1019580064*Deflactores!$H$5</f>
        <v>26236.192551518219</v>
      </c>
      <c r="L41" s="42">
        <f>11778.9987884597*Deflactores!$I$5</f>
        <v>27189.001925088571</v>
      </c>
      <c r="M41" s="42">
        <f>13271.9058499765*Deflactores!$J$5</f>
        <v>30033.801821785346</v>
      </c>
      <c r="N41" s="42">
        <f>14323.8228376971*Deflactores!$K$5</f>
        <v>31417.916706227938</v>
      </c>
      <c r="O41" s="42">
        <f>15140.3187979917*Deflactores!$L$5</f>
        <v>32015.697192827687</v>
      </c>
      <c r="P41" s="42">
        <f>17072.0485766464*Deflactores!$M$5</f>
        <v>35240.658250097469</v>
      </c>
      <c r="Q41" s="42">
        <f>18862.0909883257*Deflactores!$N$5</f>
        <v>38194.741958852559</v>
      </c>
      <c r="R41" s="42">
        <f>20861.8696887452*Deflactores!$O$5</f>
        <v>40752.64192871705</v>
      </c>
      <c r="S41" s="42">
        <f>22294.3898699933*Deflactores!$P$5</f>
        <v>40789.547651620021</v>
      </c>
      <c r="T41" s="42">
        <f>24255.7569987995*Deflactores!$Q$5</f>
        <v>41965.050939166773</v>
      </c>
      <c r="U41" s="42">
        <f>26149.7561764564*Deflactores!$R$5</f>
        <v>43464.186626355375</v>
      </c>
      <c r="V41" s="42">
        <f>28787.2727489919*Deflactores!$S$5</f>
        <v>46373.397163777023</v>
      </c>
    </row>
    <row r="42" spans="1:22" x14ac:dyDescent="0.2">
      <c r="A42" s="16"/>
      <c r="B42" s="40"/>
      <c r="C42" s="77" t="s">
        <v>57</v>
      </c>
      <c r="D42" s="42">
        <f>1354.34291658599*Deflactores!$A$5</f>
        <v>5043.1842901209266</v>
      </c>
      <c r="E42" s="42">
        <f>1578.51579139748*Deflactores!$B$5</f>
        <v>5460.3180111468264</v>
      </c>
      <c r="F42" s="42">
        <f>1963.26104123114*Deflactores!$C$5</f>
        <v>6347.4077319702101</v>
      </c>
      <c r="G42" s="42">
        <f>2189.93683267727*Deflactores!$D$5</f>
        <v>6648.6819038493186</v>
      </c>
      <c r="H42" s="42">
        <f>2578.85698428885*Deflactores!$E$5</f>
        <v>7421.4913600101263</v>
      </c>
      <c r="I42" s="42">
        <f>2827.05999634802*Deflactores!$F$5</f>
        <v>7759.0602388051511</v>
      </c>
      <c r="J42" s="42">
        <f>3131.31884798537*Deflactores!$G$5</f>
        <v>8225.7736487971524</v>
      </c>
      <c r="K42" s="42">
        <f>3389.08662632774*Deflactores!$H$5</f>
        <v>8423.2541193551006</v>
      </c>
      <c r="L42" s="42">
        <f>3744.62362467489*Deflactores!$I$5</f>
        <v>8643.5681647040419</v>
      </c>
      <c r="M42" s="42">
        <f>4372.37182009168*Deflactores!$J$5</f>
        <v>9894.5057492270353</v>
      </c>
      <c r="N42" s="42">
        <f>4757.01316339708*Deflactores!$K$5</f>
        <v>10434.047183598641</v>
      </c>
      <c r="O42" s="42">
        <f>5158.49853094617*Deflactores!$L$5</f>
        <v>10908.153859899296</v>
      </c>
      <c r="P42" s="42">
        <f>5830.99701072129*Deflactores!$M$5</f>
        <v>12036.526957477448</v>
      </c>
      <c r="Q42" s="42">
        <f>6736.00391054873*Deflactores!$N$5</f>
        <v>13640.053552730105</v>
      </c>
      <c r="R42" s="42">
        <f>7116.94042332369*Deflactores!$O$5</f>
        <v>13902.594974801959</v>
      </c>
      <c r="S42" s="42">
        <f>6973.93625514605*Deflactores!$P$5</f>
        <v>12759.429921942321</v>
      </c>
      <c r="T42" s="42">
        <f>7152.85006484272*Deflactores!$Q$5</f>
        <v>12375.194777314249</v>
      </c>
      <c r="U42" s="42">
        <f>7227.76027924068*Deflactores!$R$5</f>
        <v>12013.447450432259</v>
      </c>
      <c r="V42" s="42">
        <f>7827.50558125817*Deflactores!$S$5</f>
        <v>12609.323164664076</v>
      </c>
    </row>
    <row r="43" spans="1:22" x14ac:dyDescent="0.2">
      <c r="A43" s="16"/>
      <c r="B43" s="40"/>
      <c r="C43" s="77" t="s">
        <v>58</v>
      </c>
      <c r="D43" s="42">
        <f>16450.0152810225*Deflactores!$A$5</f>
        <v>61255.135329114062</v>
      </c>
      <c r="E43" s="42">
        <f>19195.2071694174*Deflactores!$B$5</f>
        <v>66399.041432504906</v>
      </c>
      <c r="F43" s="42">
        <f>21898.0763301491*Deflactores!$C$5</f>
        <v>70798.541861809324</v>
      </c>
      <c r="G43" s="42">
        <f>23288.4193663865*Deflactores!$D$5</f>
        <v>70703.999357485678</v>
      </c>
      <c r="H43" s="42">
        <f>28082.7599995212*Deflactores!$E$5</f>
        <v>80817.184501279233</v>
      </c>
      <c r="I43" s="42">
        <f>32819.0881269754*Deflactores!$F$5</f>
        <v>90074.240408341662</v>
      </c>
      <c r="J43" s="42">
        <f>35730.2163447984*Deflactores!$G$5</f>
        <v>93860.985208823156</v>
      </c>
      <c r="K43" s="42">
        <f>38139.2075435111*Deflactores!$H$5</f>
        <v>94791.391448709488</v>
      </c>
      <c r="L43" s="42">
        <f>44676.7509221936*Deflactores!$I$5</f>
        <v>103125.59570176073</v>
      </c>
      <c r="M43" s="42">
        <f>48960.8429059582*Deflactores!$J$5</f>
        <v>110796.46506592097</v>
      </c>
      <c r="N43" s="42">
        <f>53751.4554051175*Deflactores!$K$5</f>
        <v>117898.60625140318</v>
      </c>
      <c r="O43" s="42">
        <f>56936.0316272677*Deflactores!$L$5</f>
        <v>120396.85374271353</v>
      </c>
      <c r="P43" s="42">
        <f>61773.5704436191*Deflactores!$M$5</f>
        <v>127514.94204801146</v>
      </c>
      <c r="Q43" s="42">
        <f>67261.5549282112*Deflactores!$N$5</f>
        <v>136201.1102493497</v>
      </c>
      <c r="R43" s="42">
        <f>73236.4278536437*Deflactores!$O$5</f>
        <v>143063.77927708064</v>
      </c>
      <c r="S43" s="42">
        <f>77524.485430689*Deflactores!$P$5</f>
        <v>141837.86643555999</v>
      </c>
      <c r="T43" s="42">
        <f>84641.8826483111*Deflactores!$Q$5</f>
        <v>146439.49958350722</v>
      </c>
      <c r="U43" s="42">
        <f>98690.721119668*Deflactores!$R$5</f>
        <v>164036.40217865011</v>
      </c>
      <c r="V43" s="42">
        <f>100365.043965815*Deflactores!$S$5</f>
        <v>161677.97782614431</v>
      </c>
    </row>
    <row r="44" spans="1:22" x14ac:dyDescent="0.2">
      <c r="A44" s="16"/>
      <c r="B44" s="40"/>
      <c r="C44" s="77" t="s">
        <v>59</v>
      </c>
      <c r="D44" s="42">
        <f>3.28735449999999*Deflactores!$A$5</f>
        <v>12.241164602720957</v>
      </c>
      <c r="E44" s="42">
        <f>6.60352395029*Deflactores!$B$5</f>
        <v>22.842559421522104</v>
      </c>
      <c r="F44" s="42">
        <f>6.961925804*Deflactores!$C$5</f>
        <v>22.508561393344479</v>
      </c>
      <c r="G44" s="42">
        <f>7.514497532*Deflactores!$D$5</f>
        <v>22.814130075363487</v>
      </c>
      <c r="H44" s="42">
        <f>12.68760285212*Deflactores!$E$5</f>
        <v>36.512662594282787</v>
      </c>
      <c r="I44" s="42">
        <f>18.599985713*Deflactores!$F$5</f>
        <v>51.048937685974785</v>
      </c>
      <c r="J44" s="42">
        <f>17.667561244*Deflactores!$G$5</f>
        <v>46.411549501867924</v>
      </c>
      <c r="K44" s="42">
        <f>15.9055121482*Deflactores!$H$5</f>
        <v>39.531645394366549</v>
      </c>
      <c r="L44" s="42">
        <f>18.5596101894*Deflactores!$I$5</f>
        <v>42.840421858509863</v>
      </c>
      <c r="M44" s="42">
        <f>7.539312496*Deflactores!$J$5</f>
        <v>17.061168149996693</v>
      </c>
      <c r="N44" s="42">
        <f>8.56209188399999*Deflactores!$K$5</f>
        <v>18.780118456549594</v>
      </c>
      <c r="O44" s="42">
        <f>25.5418679149999*Deflactores!$L$5</f>
        <v>54.010798571448035</v>
      </c>
      <c r="P44" s="42">
        <f>10.039959095*Deflactores!$M$5</f>
        <v>20.724798533894255</v>
      </c>
      <c r="Q44" s="42">
        <f>10.226040012*Deflactores!$N$5</f>
        <v>20.70719305515934</v>
      </c>
      <c r="R44" s="42">
        <f>15.286004278*Deflactores!$O$5</f>
        <v>29.860461605617477</v>
      </c>
      <c r="S44" s="42">
        <f>18.007300828*Deflactores!$P$5</f>
        <v>32.945941085804805</v>
      </c>
      <c r="T44" s="42">
        <f>14.700120666*Deflactores!$Q$5</f>
        <v>25.432779219841304</v>
      </c>
      <c r="U44" s="42">
        <f>29.45855848886*Deflactores!$R$5</f>
        <v>48.963832598026336</v>
      </c>
      <c r="V44" s="42">
        <f>49.8462318533099*Deflactores!$S$5</f>
        <v>80.297259382870891</v>
      </c>
    </row>
    <row r="45" spans="1:22" x14ac:dyDescent="0.2">
      <c r="A45" s="16"/>
      <c r="B45" s="34" t="s">
        <v>41</v>
      </c>
      <c r="C45" s="76" t="s">
        <v>42</v>
      </c>
      <c r="D45" s="41">
        <f t="shared" ref="D45:V45" si="7">+D46+D49</f>
        <v>58483.647504775821</v>
      </c>
      <c r="E45" s="41">
        <f t="shared" si="7"/>
        <v>72997.387256108093</v>
      </c>
      <c r="F45" s="41">
        <f t="shared" si="7"/>
        <v>73463.440853742766</v>
      </c>
      <c r="G45" s="41">
        <f t="shared" si="7"/>
        <v>82324.214987451051</v>
      </c>
      <c r="H45" s="41">
        <f t="shared" si="7"/>
        <v>73891.42488483651</v>
      </c>
      <c r="I45" s="41">
        <f t="shared" si="7"/>
        <v>84730.7481113752</v>
      </c>
      <c r="J45" s="41">
        <f t="shared" si="7"/>
        <v>98744.587389572349</v>
      </c>
      <c r="K45" s="41">
        <f t="shared" si="7"/>
        <v>94486.151270092349</v>
      </c>
      <c r="L45" s="41">
        <f t="shared" si="7"/>
        <v>82116.748863268906</v>
      </c>
      <c r="M45" s="41">
        <f t="shared" si="7"/>
        <v>74101.372703314817</v>
      </c>
      <c r="N45" s="41">
        <f t="shared" si="7"/>
        <v>70943.866020958085</v>
      </c>
      <c r="O45" s="41">
        <f t="shared" si="7"/>
        <v>71288.459232582289</v>
      </c>
      <c r="P45" s="41">
        <f t="shared" si="7"/>
        <v>74811.650464449776</v>
      </c>
      <c r="Q45" s="41">
        <f t="shared" si="7"/>
        <v>76812.851629040379</v>
      </c>
      <c r="R45" s="41">
        <f t="shared" si="7"/>
        <v>78114.185442856106</v>
      </c>
      <c r="S45" s="41">
        <f t="shared" si="7"/>
        <v>84734.976121751111</v>
      </c>
      <c r="T45" s="41">
        <f t="shared" si="7"/>
        <v>68630.426942257545</v>
      </c>
      <c r="U45" s="41">
        <f t="shared" si="7"/>
        <v>81308.96863886861</v>
      </c>
      <c r="V45" s="41">
        <f t="shared" si="7"/>
        <v>75663.527102188556</v>
      </c>
    </row>
    <row r="46" spans="1:22" x14ac:dyDescent="0.2">
      <c r="A46" s="16"/>
      <c r="B46" s="34"/>
      <c r="C46" s="76" t="s">
        <v>43</v>
      </c>
      <c r="D46" s="41">
        <f t="shared" ref="D46:V46" si="8">+D47+D48</f>
        <v>18547.025850402184</v>
      </c>
      <c r="E46" s="41">
        <f t="shared" si="8"/>
        <v>26950.27053964822</v>
      </c>
      <c r="F46" s="41">
        <f t="shared" si="8"/>
        <v>30552.518784892305</v>
      </c>
      <c r="G46" s="41">
        <f t="shared" si="8"/>
        <v>40220.748917909645</v>
      </c>
      <c r="H46" s="41">
        <f t="shared" si="8"/>
        <v>24423.167151704576</v>
      </c>
      <c r="I46" s="41">
        <f t="shared" si="8"/>
        <v>35167.405726097983</v>
      </c>
      <c r="J46" s="41">
        <f t="shared" si="8"/>
        <v>25331.599403112341</v>
      </c>
      <c r="K46" s="41">
        <f t="shared" si="8"/>
        <v>18518.678189184</v>
      </c>
      <c r="L46" s="41">
        <f t="shared" si="8"/>
        <v>16931.833806723582</v>
      </c>
      <c r="M46" s="41">
        <f t="shared" si="8"/>
        <v>15546.737629673244</v>
      </c>
      <c r="N46" s="41">
        <f t="shared" si="8"/>
        <v>15435.455719696365</v>
      </c>
      <c r="O46" s="41">
        <f t="shared" si="8"/>
        <v>12953.438610260066</v>
      </c>
      <c r="P46" s="41">
        <f t="shared" si="8"/>
        <v>13370.777385949974</v>
      </c>
      <c r="Q46" s="41">
        <f t="shared" si="8"/>
        <v>13896.384932079407</v>
      </c>
      <c r="R46" s="41">
        <f t="shared" si="8"/>
        <v>17274.529613246657</v>
      </c>
      <c r="S46" s="41">
        <f t="shared" si="8"/>
        <v>20146.181741516539</v>
      </c>
      <c r="T46" s="41">
        <f t="shared" si="8"/>
        <v>16080.514691128255</v>
      </c>
      <c r="U46" s="41">
        <f t="shared" si="8"/>
        <v>23237.524830074504</v>
      </c>
      <c r="V46" s="41">
        <f t="shared" si="8"/>
        <v>17992.041183794616</v>
      </c>
    </row>
    <row r="47" spans="1:22" x14ac:dyDescent="0.2">
      <c r="A47" s="16"/>
      <c r="B47" s="32"/>
      <c r="C47" s="77" t="s">
        <v>60</v>
      </c>
      <c r="D47" s="42">
        <f>2525.46460732881*Deflactores!$A$5</f>
        <v>9404.1053244054165</v>
      </c>
      <c r="E47" s="42">
        <f>4398.17005089057*Deflactores!$B$5</f>
        <v>15213.91631039889</v>
      </c>
      <c r="F47" s="42">
        <f>5650.38056784968*Deflactores!$C$5</f>
        <v>18268.212199867499</v>
      </c>
      <c r="G47" s="42">
        <f>7842.92901842612*Deflactores!$D$5</f>
        <v>23811.253119221383</v>
      </c>
      <c r="H47" s="42">
        <f>4060.80453386332*Deflactores!$E$5</f>
        <v>11686.272618590856</v>
      </c>
      <c r="I47" s="42">
        <f>8411.28819125705*Deflactores!$F$5</f>
        <v>23085.357879288425</v>
      </c>
      <c r="J47" s="42">
        <f>4942.61546714898*Deflactores!$G$5</f>
        <v>12983.933620164275</v>
      </c>
      <c r="K47" s="42">
        <f>3519.23972920904*Deflactores!$H$5</f>
        <v>8746.7373409036973</v>
      </c>
      <c r="L47" s="42">
        <f>3471.56170551639*Deflactores!$I$5</f>
        <v>8013.2700231554854</v>
      </c>
      <c r="M47" s="42">
        <f>2845.4082608112*Deflactores!$J$5</f>
        <v>6439.0471702619716</v>
      </c>
      <c r="N47" s="42">
        <f>3360.86251068273*Deflactores!$K$5</f>
        <v>7371.726083055245</v>
      </c>
      <c r="O47" s="42">
        <f>2372.97829680654*Deflactores!$L$5</f>
        <v>5017.8966248575698</v>
      </c>
      <c r="P47" s="42">
        <f>3393.29467592364*Deflactores!$M$5</f>
        <v>7004.5453232649288</v>
      </c>
      <c r="Q47" s="42">
        <f>2909.133724105*Deflactores!$N$5</f>
        <v>5890.8427482805437</v>
      </c>
      <c r="R47" s="42">
        <f>4840.87648330444*Deflactores!$O$5</f>
        <v>9456.4154070851546</v>
      </c>
      <c r="S47" s="42">
        <f>5998.53683867421*Deflactores!$P$5</f>
        <v>10974.850877189461</v>
      </c>
      <c r="T47" s="42">
        <f>3415.29301602609*Deflactores!$Q$5</f>
        <v>5908.8217859706019</v>
      </c>
      <c r="U47" s="42">
        <f>7662.48186229963*Deflactores!$R$5</f>
        <v>12736.009446386568</v>
      </c>
      <c r="V47" s="42">
        <f>3074.34865038517*Deflactores!$S$5</f>
        <v>4952.4660507906547</v>
      </c>
    </row>
    <row r="48" spans="1:22" x14ac:dyDescent="0.2">
      <c r="A48" s="16"/>
      <c r="B48" s="32"/>
      <c r="C48" s="77" t="s">
        <v>61</v>
      </c>
      <c r="D48" s="42">
        <f>2455.32364850293*Deflactores!$A$5</f>
        <v>9142.9205259967657</v>
      </c>
      <c r="E48" s="42">
        <f>3392.84643247613*Deflactores!$B$5</f>
        <v>11736.354229249331</v>
      </c>
      <c r="F48" s="42">
        <f>3799.5511798377*Deflactores!$C$5</f>
        <v>12284.306585024806</v>
      </c>
      <c r="G48" s="42">
        <f>5404.94488605403*Deflactores!$D$5</f>
        <v>16409.495798688262</v>
      </c>
      <c r="H48" s="42">
        <f>4425.87989819151*Deflactores!$E$5</f>
        <v>12736.89453311372</v>
      </c>
      <c r="I48" s="42">
        <f>4402.16638232183*Deflactores!$F$5</f>
        <v>12082.047846809555</v>
      </c>
      <c r="J48" s="42">
        <f>4700.40633812276*Deflactores!$G$5</f>
        <v>12347.665782948068</v>
      </c>
      <c r="K48" s="42">
        <f>3931.72918362673*Deflactores!$H$5</f>
        <v>9771.9408482803028</v>
      </c>
      <c r="L48" s="42">
        <f>3863.75904091253*Deflactores!$I$5</f>
        <v>8918.5637835680955</v>
      </c>
      <c r="M48" s="42">
        <f>4024.67896023595*Deflactores!$J$5</f>
        <v>9107.690459411273</v>
      </c>
      <c r="N48" s="42">
        <f>3676.35562237769*Deflactores!$K$5</f>
        <v>8063.729636641121</v>
      </c>
      <c r="O48" s="42">
        <f>3752.74149959032*Deflactores!$L$5</f>
        <v>7935.5419854024949</v>
      </c>
      <c r="P48" s="42">
        <f>3084.06903903568*Deflactores!$M$5</f>
        <v>6366.2320626850451</v>
      </c>
      <c r="Q48" s="42">
        <f>3953.45687226709*Deflactores!$N$5</f>
        <v>8005.5421837988642</v>
      </c>
      <c r="R48" s="42">
        <f>4002.20628802319*Deflactores!$O$5</f>
        <v>7818.1142061615037</v>
      </c>
      <c r="S48" s="42">
        <f>5012.78483552611*Deflactores!$P$5</f>
        <v>9171.3308643270775</v>
      </c>
      <c r="T48" s="42">
        <f>5879.22821138879*Deflactores!$Q$5</f>
        <v>10171.692905157654</v>
      </c>
      <c r="U48" s="42">
        <f>6318.12275995127*Deflactores!$R$5</f>
        <v>10501.515383687936</v>
      </c>
      <c r="V48" s="42">
        <f>8094.59364296838*Deflactores!$S$5</f>
        <v>13039.575133003962</v>
      </c>
    </row>
    <row r="49" spans="1:23" x14ac:dyDescent="0.2">
      <c r="A49" s="16"/>
      <c r="B49" s="34"/>
      <c r="C49" s="76" t="s">
        <v>44</v>
      </c>
      <c r="D49" s="41">
        <f t="shared" ref="D49:V49" si="9">+D50+D51</f>
        <v>39936.621654373637</v>
      </c>
      <c r="E49" s="41">
        <f t="shared" si="9"/>
        <v>46047.116716459874</v>
      </c>
      <c r="F49" s="41">
        <f t="shared" si="9"/>
        <v>42910.922068850457</v>
      </c>
      <c r="G49" s="41">
        <f t="shared" si="9"/>
        <v>42103.466069541406</v>
      </c>
      <c r="H49" s="41">
        <f t="shared" si="9"/>
        <v>49468.257733131933</v>
      </c>
      <c r="I49" s="41">
        <f t="shared" si="9"/>
        <v>49563.342385277218</v>
      </c>
      <c r="J49" s="41">
        <f t="shared" si="9"/>
        <v>73412.987986460008</v>
      </c>
      <c r="K49" s="41">
        <f t="shared" si="9"/>
        <v>75967.473080908341</v>
      </c>
      <c r="L49" s="41">
        <f t="shared" si="9"/>
        <v>65184.915056545316</v>
      </c>
      <c r="M49" s="41">
        <f t="shared" si="9"/>
        <v>58554.635073641577</v>
      </c>
      <c r="N49" s="41">
        <f t="shared" si="9"/>
        <v>55508.410301261712</v>
      </c>
      <c r="O49" s="41">
        <f t="shared" si="9"/>
        <v>58335.020622322219</v>
      </c>
      <c r="P49" s="41">
        <f t="shared" si="9"/>
        <v>61440.873078499804</v>
      </c>
      <c r="Q49" s="41">
        <f t="shared" si="9"/>
        <v>62916.466696960968</v>
      </c>
      <c r="R49" s="41">
        <f t="shared" si="9"/>
        <v>60839.655829609452</v>
      </c>
      <c r="S49" s="41">
        <f t="shared" si="9"/>
        <v>64588.794380234576</v>
      </c>
      <c r="T49" s="41">
        <f t="shared" si="9"/>
        <v>52549.912251129288</v>
      </c>
      <c r="U49" s="41">
        <f t="shared" si="9"/>
        <v>58071.443808794102</v>
      </c>
      <c r="V49" s="41">
        <f t="shared" si="9"/>
        <v>57671.485918393941</v>
      </c>
    </row>
    <row r="50" spans="1:23" x14ac:dyDescent="0.2">
      <c r="A50" s="16"/>
      <c r="B50" s="32"/>
      <c r="C50" s="77" t="s">
        <v>60</v>
      </c>
      <c r="D50" s="42">
        <f>6074.9929733826*Deflactores!$A$5</f>
        <v>22621.530153669111</v>
      </c>
      <c r="E50" s="42">
        <f>8299.65154502352*Deflactores!$B$5</f>
        <v>28709.713937934866</v>
      </c>
      <c r="F50" s="42">
        <f>8073.45917523677*Deflactores!$C$5</f>
        <v>26102.253402078502</v>
      </c>
      <c r="G50" s="42">
        <f>7121.13208463788*Deflactores!$D$5</f>
        <v>21619.866527460716</v>
      </c>
      <c r="H50" s="42">
        <f>9584.46065689588*Deflactores!$E$5</f>
        <v>27582.371720828465</v>
      </c>
      <c r="I50" s="42">
        <f>9499.11209202548*Deflactores!$F$5</f>
        <v>26070.965254504241</v>
      </c>
      <c r="J50" s="42">
        <f>17041.7316504578*Deflactores!$G$5</f>
        <v>44767.535324739671</v>
      </c>
      <c r="K50" s="42">
        <f>18284.0067513306*Deflactores!$H$5</f>
        <v>45443.168666757003</v>
      </c>
      <c r="L50" s="42">
        <f>16319.7039952349*Deflactores!$I$5</f>
        <v>37670.13405061575</v>
      </c>
      <c r="M50" s="42">
        <f>13696.6251719467*Deflactores!$J$5</f>
        <v>30994.924970949232</v>
      </c>
      <c r="N50" s="42">
        <f>13845.4427794111*Deflactores!$K$5</f>
        <v>30368.63642711172</v>
      </c>
      <c r="O50" s="42">
        <f>14339.1939088717*Deflactores!$L$5</f>
        <v>30321.639610162671</v>
      </c>
      <c r="P50" s="42">
        <f>16596.7196116956*Deflactores!$M$5</f>
        <v>34259.469288796245</v>
      </c>
      <c r="Q50" s="42">
        <f>18015.2261824909*Deflactores!$N$5</f>
        <v>36479.885278704329</v>
      </c>
      <c r="R50" s="42">
        <f>17331.4251576063*Deflactores!$O$5</f>
        <v>33856.091237274464</v>
      </c>
      <c r="S50" s="42">
        <f>20376.7749838661*Deflactores!$P$5</f>
        <v>37281.10251222564</v>
      </c>
      <c r="T50" s="42">
        <f>13862.1487996668*Deflactores!$Q$5</f>
        <v>23982.99836748523</v>
      </c>
      <c r="U50" s="42">
        <f>17062.9997412807*Deflactores!$R$5</f>
        <v>28360.853545097081</v>
      </c>
      <c r="V50" s="42">
        <f>15624.5116279023*Deflactores!$S$5</f>
        <v>25169.514650745754</v>
      </c>
    </row>
    <row r="51" spans="1:23" x14ac:dyDescent="0.2">
      <c r="A51" s="16"/>
      <c r="B51" s="32"/>
      <c r="C51" s="77" t="s">
        <v>61</v>
      </c>
      <c r="D51" s="42">
        <f>4649.95331817532*Deflactores!$A$5</f>
        <v>17315.091500704522</v>
      </c>
      <c r="E51" s="42">
        <f>5012.04582074741*Deflactores!$B$5</f>
        <v>17337.402778525004</v>
      </c>
      <c r="F51" s="42">
        <f>5198.94195266907*Deflactores!$C$5</f>
        <v>16808.668666771959</v>
      </c>
      <c r="G51" s="42">
        <f>6746.86949258964*Deflactores!$D$5</f>
        <v>20483.59954208069</v>
      </c>
      <c r="H51" s="42">
        <f>7605.01727513989*Deflactores!$E$5</f>
        <v>21885.886012303468</v>
      </c>
      <c r="I51" s="42">
        <f>8559.58808946646*Deflactores!$F$5</f>
        <v>23492.377130772977</v>
      </c>
      <c r="J51" s="42">
        <f>10904.5118013713*Deflactores!$G$5</f>
        <v>28645.452661720345</v>
      </c>
      <c r="K51" s="42">
        <f>12281.4188438467*Deflactores!$H$5</f>
        <v>30524.304414151335</v>
      </c>
      <c r="L51" s="42">
        <f>11920.1349511296*Deflactores!$I$5</f>
        <v>27514.781005929563</v>
      </c>
      <c r="M51" s="42">
        <f>12178.6072874152*Deflactores!$J$5</f>
        <v>27559.710102692341</v>
      </c>
      <c r="N51" s="42">
        <f>11461.5386666204*Deflactores!$K$5</f>
        <v>25139.773874149989</v>
      </c>
      <c r="O51" s="42">
        <f>13247.6115256587*Deflactores!$L$5</f>
        <v>28013.381012159549</v>
      </c>
      <c r="P51" s="42">
        <f>13167.8086880791*Deflactores!$M$5</f>
        <v>27181.403789703563</v>
      </c>
      <c r="Q51" s="42">
        <f>13055.4411041351*Deflactores!$N$5</f>
        <v>26436.581418256639</v>
      </c>
      <c r="R51" s="42">
        <f>13813.2788850299*Deflactores!$O$5</f>
        <v>26983.564592334988</v>
      </c>
      <c r="S51" s="42">
        <f>14925.5964825797*Deflactores!$P$5</f>
        <v>27307.691868008937</v>
      </c>
      <c r="T51" s="42">
        <f>16511.6473317704*Deflactores!$Q$5</f>
        <v>28566.913883644058</v>
      </c>
      <c r="U51" s="42">
        <f>17875.0541896296*Deflactores!$R$5</f>
        <v>29710.59026369702</v>
      </c>
      <c r="V51" s="42">
        <f>20176.2900496005*Deflactores!$S$5</f>
        <v>32501.971267648183</v>
      </c>
      <c r="W51" s="8"/>
    </row>
    <row r="52" spans="1:23" x14ac:dyDescent="0.2">
      <c r="A52" s="16"/>
      <c r="B52" s="34" t="s">
        <v>45</v>
      </c>
      <c r="C52" s="76" t="s">
        <v>46</v>
      </c>
      <c r="D52" s="41">
        <f>4304.79324784434*Deflactores!$A$5</f>
        <v>16029.814468608261</v>
      </c>
      <c r="E52" s="41">
        <f>8048.0453446888*Deflactores!$B$5</f>
        <v>27839.371129271796</v>
      </c>
      <c r="F52" s="41">
        <f>6491.40303091349*Deflactores!$C$5</f>
        <v>20987.316981503802</v>
      </c>
      <c r="G52" s="41">
        <f>6184.94341385733*Deflactores!$D$5</f>
        <v>18777.583324982297</v>
      </c>
      <c r="H52" s="41">
        <f>7612.94237134011*Deflactores!$E$5</f>
        <v>21908.693028487578</v>
      </c>
      <c r="I52" s="41">
        <f>8557.07143150982*Deflactores!$F$5</f>
        <v>23485.469990241374</v>
      </c>
      <c r="J52" s="41">
        <f>9886.9308467188*Deflactores!$G$5</f>
        <v>25972.332801159442</v>
      </c>
      <c r="K52" s="41">
        <f>13952.7384610578*Deflactores!$H$5</f>
        <v>34678.211175067212</v>
      </c>
      <c r="L52" s="41">
        <f>15853.3310046082*Deflactores!$I$5</f>
        <v>36593.623528144017</v>
      </c>
      <c r="M52" s="41">
        <f>22125.5350376892*Deflactores!$J$5</f>
        <v>50069.217038945615</v>
      </c>
      <c r="N52" s="41">
        <f>17260.6970087744*Deflactores!$K$5</f>
        <v>37859.665471839835</v>
      </c>
      <c r="O52" s="41">
        <f>24344.0228905136*Deflactores!$L$5</f>
        <v>51477.837139158</v>
      </c>
      <c r="P52" s="41">
        <f>28291.0089764056*Deflactores!$M$5</f>
        <v>58399.188264481665</v>
      </c>
      <c r="Q52" s="41">
        <f>33023.6445019148*Deflactores!$N$5</f>
        <v>66871.142816148509</v>
      </c>
      <c r="R52" s="41">
        <f>37044.4768212073*Deflactores!$O$5</f>
        <v>72364.573351053419</v>
      </c>
      <c r="S52" s="41">
        <f>38494.5065130215*Deflactores!$P$5</f>
        <v>70429.086281111115</v>
      </c>
      <c r="T52" s="41">
        <f>32323.2587193337*Deflactores!$Q$5</f>
        <v>55922.690796409297</v>
      </c>
      <c r="U52" s="41">
        <f>31059.7242574772*Deflactores!$R$5</f>
        <v>51625.17166816142</v>
      </c>
      <c r="V52" s="41">
        <f>30111.499899578*Deflactores!$S$5</f>
        <v>48506.593737298783</v>
      </c>
    </row>
    <row r="53" spans="1:23" x14ac:dyDescent="0.2">
      <c r="A53" s="16"/>
      <c r="B53" s="36" t="s">
        <v>47</v>
      </c>
      <c r="C53" s="78" t="s">
        <v>48</v>
      </c>
      <c r="D53" s="43">
        <f t="shared" ref="D53:V53" si="10">+D40+D52</f>
        <v>103918.45576422365</v>
      </c>
      <c r="E53" s="43">
        <f t="shared" si="10"/>
        <v>121391.02887394467</v>
      </c>
      <c r="F53" s="43">
        <f t="shared" si="10"/>
        <v>120064.74372609047</v>
      </c>
      <c r="G53" s="43">
        <f t="shared" si="10"/>
        <v>118506.65593852254</v>
      </c>
      <c r="H53" s="43">
        <f t="shared" si="10"/>
        <v>133548.10935519068</v>
      </c>
      <c r="I53" s="43">
        <f t="shared" si="10"/>
        <v>145159.82286493725</v>
      </c>
      <c r="J53" s="43">
        <f t="shared" si="10"/>
        <v>153427.05331732309</v>
      </c>
      <c r="K53" s="43">
        <f t="shared" si="10"/>
        <v>164168.5809400444</v>
      </c>
      <c r="L53" s="43">
        <f t="shared" si="10"/>
        <v>175594.62974155584</v>
      </c>
      <c r="M53" s="43">
        <f t="shared" si="10"/>
        <v>200811.05084402897</v>
      </c>
      <c r="N53" s="43">
        <f t="shared" si="10"/>
        <v>197629.01573152613</v>
      </c>
      <c r="O53" s="43">
        <f t="shared" si="10"/>
        <v>214852.55273316999</v>
      </c>
      <c r="P53" s="43">
        <f t="shared" si="10"/>
        <v>233212.04031860194</v>
      </c>
      <c r="Q53" s="43">
        <f t="shared" si="10"/>
        <v>254927.75577013602</v>
      </c>
      <c r="R53" s="43">
        <f t="shared" si="10"/>
        <v>270113.44999325869</v>
      </c>
      <c r="S53" s="43">
        <f t="shared" si="10"/>
        <v>265848.87623131927</v>
      </c>
      <c r="T53" s="43">
        <f t="shared" si="10"/>
        <v>256727.86887561739</v>
      </c>
      <c r="U53" s="43">
        <f t="shared" si="10"/>
        <v>271188.17175619717</v>
      </c>
      <c r="V53" s="43">
        <f t="shared" si="10"/>
        <v>269247.58915126708</v>
      </c>
    </row>
    <row r="54" spans="1:23" x14ac:dyDescent="0.2">
      <c r="A54" s="16"/>
      <c r="B54" s="38" t="s">
        <v>49</v>
      </c>
      <c r="C54" s="79" t="s">
        <v>63</v>
      </c>
      <c r="D54" s="44">
        <f t="shared" ref="D54:V54" si="11">+D40+D45+D52</f>
        <v>162402.10326899946</v>
      </c>
      <c r="E54" s="44">
        <f t="shared" si="11"/>
        <v>194388.41613005276</v>
      </c>
      <c r="F54" s="44">
        <f t="shared" si="11"/>
        <v>193528.18457983324</v>
      </c>
      <c r="G54" s="44">
        <f t="shared" si="11"/>
        <v>200830.87092597358</v>
      </c>
      <c r="H54" s="44">
        <f t="shared" si="11"/>
        <v>207439.53424002722</v>
      </c>
      <c r="I54" s="44">
        <f t="shared" si="11"/>
        <v>229890.57097631245</v>
      </c>
      <c r="J54" s="44">
        <f t="shared" si="11"/>
        <v>252171.64070689541</v>
      </c>
      <c r="K54" s="44">
        <f t="shared" si="11"/>
        <v>258654.73221013675</v>
      </c>
      <c r="L54" s="44">
        <f t="shared" si="11"/>
        <v>257711.37860482477</v>
      </c>
      <c r="M54" s="44">
        <f t="shared" si="11"/>
        <v>274912.42354734382</v>
      </c>
      <c r="N54" s="44">
        <f t="shared" si="11"/>
        <v>268572.88175248425</v>
      </c>
      <c r="O54" s="44">
        <f t="shared" si="11"/>
        <v>286141.01196575223</v>
      </c>
      <c r="P54" s="44">
        <f t="shared" si="11"/>
        <v>308023.69078305172</v>
      </c>
      <c r="Q54" s="44">
        <f t="shared" si="11"/>
        <v>331740.6073991764</v>
      </c>
      <c r="R54" s="44">
        <f t="shared" si="11"/>
        <v>348227.63543611474</v>
      </c>
      <c r="S54" s="44">
        <f t="shared" si="11"/>
        <v>350583.8523530704</v>
      </c>
      <c r="T54" s="44">
        <f t="shared" si="11"/>
        <v>325358.29581787495</v>
      </c>
      <c r="U54" s="44">
        <f t="shared" si="11"/>
        <v>352497.14039506577</v>
      </c>
      <c r="V54" s="44">
        <f t="shared" si="11"/>
        <v>344911.11625345564</v>
      </c>
    </row>
    <row r="55" spans="1:23" x14ac:dyDescent="0.2">
      <c r="A55" s="16"/>
      <c r="B55" s="36" t="s">
        <v>64</v>
      </c>
      <c r="C55" s="78" t="s">
        <v>65</v>
      </c>
      <c r="D55" s="43">
        <f t="shared" ref="D55:V55" si="12">+D27</f>
        <v>111363.29711017608</v>
      </c>
      <c r="E55" s="43">
        <f t="shared" si="12"/>
        <v>126557.22322319902</v>
      </c>
      <c r="F55" s="43">
        <f t="shared" si="12"/>
        <v>125259.72411381538</v>
      </c>
      <c r="G55" s="43">
        <f t="shared" si="12"/>
        <v>119958.2301391129</v>
      </c>
      <c r="H55" s="43">
        <f t="shared" si="12"/>
        <v>135550.78170708026</v>
      </c>
      <c r="I55" s="43">
        <f t="shared" si="12"/>
        <v>148634.38925074867</v>
      </c>
      <c r="J55" s="43">
        <f t="shared" si="12"/>
        <v>157677.06284776024</v>
      </c>
      <c r="K55" s="43">
        <f t="shared" si="12"/>
        <v>174524.85549177532</v>
      </c>
      <c r="L55" s="43">
        <f t="shared" si="12"/>
        <v>179117.91843452962</v>
      </c>
      <c r="M55" s="43">
        <f t="shared" si="12"/>
        <v>212262.50103120372</v>
      </c>
      <c r="N55" s="43">
        <f t="shared" si="12"/>
        <v>213335.4094097648</v>
      </c>
      <c r="O55" s="43">
        <f t="shared" si="12"/>
        <v>218297.43569925087</v>
      </c>
      <c r="P55" s="43">
        <f t="shared" si="12"/>
        <v>239372.80233480548</v>
      </c>
      <c r="Q55" s="43">
        <f t="shared" si="12"/>
        <v>263274.6570916099</v>
      </c>
      <c r="R55" s="43">
        <f t="shared" si="12"/>
        <v>282460.57819123683</v>
      </c>
      <c r="S55" s="43">
        <f t="shared" si="12"/>
        <v>271438.84044545511</v>
      </c>
      <c r="T55" s="43">
        <f t="shared" si="12"/>
        <v>260145.01122387865</v>
      </c>
      <c r="U55" s="43">
        <f t="shared" si="12"/>
        <v>273741.81192111562</v>
      </c>
      <c r="V55" s="43">
        <f t="shared" si="12"/>
        <v>276409.41956844262</v>
      </c>
    </row>
    <row r="56" spans="1:23" x14ac:dyDescent="0.2">
      <c r="A56" s="16"/>
      <c r="B56" s="38" t="s">
        <v>66</v>
      </c>
      <c r="C56" s="79" t="s">
        <v>77</v>
      </c>
      <c r="D56" s="45">
        <f t="shared" ref="D56:V56" si="13">+D53/D$27*100</f>
        <v>93.314815976948879</v>
      </c>
      <c r="E56" s="45">
        <f t="shared" si="13"/>
        <v>95.917898467049056</v>
      </c>
      <c r="F56" s="45">
        <f t="shared" si="13"/>
        <v>95.852633059446489</v>
      </c>
      <c r="G56" s="45">
        <f t="shared" si="13"/>
        <v>98.789933630308653</v>
      </c>
      <c r="H56" s="45">
        <f t="shared" si="13"/>
        <v>98.522566726160775</v>
      </c>
      <c r="I56" s="45">
        <f t="shared" si="13"/>
        <v>97.662340187000879</v>
      </c>
      <c r="J56" s="45">
        <f t="shared" si="13"/>
        <v>97.304611429412148</v>
      </c>
      <c r="K56" s="45">
        <f t="shared" si="13"/>
        <v>94.066017403338293</v>
      </c>
      <c r="L56" s="45">
        <f t="shared" si="13"/>
        <v>98.032978094114242</v>
      </c>
      <c r="M56" s="45">
        <f t="shared" si="13"/>
        <v>94.605052643994185</v>
      </c>
      <c r="N56" s="45">
        <f t="shared" si="13"/>
        <v>92.637699610349003</v>
      </c>
      <c r="O56" s="45">
        <f t="shared" si="13"/>
        <v>98.421931547181842</v>
      </c>
      <c r="P56" s="45">
        <f t="shared" si="13"/>
        <v>97.426289889196923</v>
      </c>
      <c r="Q56" s="45">
        <f t="shared" si="13"/>
        <v>96.829584201653915</v>
      </c>
      <c r="R56" s="45">
        <f t="shared" si="13"/>
        <v>95.628725156252187</v>
      </c>
      <c r="S56" s="45">
        <f t="shared" si="13"/>
        <v>97.9406174131299</v>
      </c>
      <c r="T56" s="45">
        <f t="shared" si="13"/>
        <v>98.686447096492472</v>
      </c>
      <c r="U56" s="45">
        <f t="shared" si="13"/>
        <v>99.067135507361101</v>
      </c>
      <c r="V56" s="45">
        <f t="shared" si="13"/>
        <v>97.408977440654056</v>
      </c>
    </row>
    <row r="57" spans="1:23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customHeight="1" x14ac:dyDescent="0.2">
      <c r="A62" s="16"/>
      <c r="C62" s="131"/>
      <c r="D62" s="155" t="s">
        <v>78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</row>
    <row r="63" spans="1:23" x14ac:dyDescent="0.2">
      <c r="A63" s="1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</row>
    <row r="64" spans="1:23" x14ac:dyDescent="0.2">
      <c r="A64" s="16"/>
      <c r="B64" s="158"/>
      <c r="C64" s="159" t="s">
        <v>38</v>
      </c>
      <c r="D64" s="153">
        <v>2000</v>
      </c>
      <c r="E64" s="153">
        <v>2001</v>
      </c>
      <c r="F64" s="153">
        <v>2002</v>
      </c>
      <c r="G64" s="153">
        <v>2003</v>
      </c>
      <c r="H64" s="153">
        <v>2004</v>
      </c>
      <c r="I64" s="153">
        <v>2005</v>
      </c>
      <c r="J64" s="153">
        <v>2006</v>
      </c>
      <c r="K64" s="153">
        <v>2007</v>
      </c>
      <c r="L64" s="153">
        <v>2008</v>
      </c>
      <c r="M64" s="153" t="s">
        <v>9</v>
      </c>
      <c r="N64" s="153">
        <v>2010</v>
      </c>
      <c r="O64" s="153">
        <v>2011</v>
      </c>
      <c r="P64" s="153">
        <v>2012</v>
      </c>
      <c r="Q64" s="153">
        <v>2013</v>
      </c>
      <c r="R64" s="153">
        <v>2014</v>
      </c>
      <c r="S64" s="153">
        <v>2015</v>
      </c>
      <c r="T64" s="153">
        <v>2016</v>
      </c>
      <c r="U64" s="153">
        <v>2017</v>
      </c>
      <c r="V64" s="153">
        <v>2018</v>
      </c>
    </row>
    <row r="65" spans="1:23" ht="12" customHeight="1" thickBot="1" x14ac:dyDescent="0.25">
      <c r="A65" s="16"/>
      <c r="B65" s="154"/>
      <c r="C65" s="160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3" x14ac:dyDescent="0.2">
      <c r="A66" s="16"/>
      <c r="B66" s="34" t="s">
        <v>39</v>
      </c>
      <c r="C66" s="76" t="s">
        <v>40</v>
      </c>
      <c r="D66" s="46">
        <f t="shared" ref="D66:V66" si="14">+IFERROR(IF(D40&gt;0,+((D40/D14)*100)," "),"")</f>
        <v>95.851060751659546</v>
      </c>
      <c r="E66" s="46">
        <f t="shared" si="14"/>
        <v>96.92217308636765</v>
      </c>
      <c r="F66" s="46">
        <f t="shared" si="14"/>
        <v>98.689669378464444</v>
      </c>
      <c r="G66" s="46">
        <f t="shared" si="14"/>
        <v>98.820161676365615</v>
      </c>
      <c r="H66" s="46">
        <f t="shared" si="14"/>
        <v>99.118845210946844</v>
      </c>
      <c r="I66" s="46">
        <f t="shared" si="14"/>
        <v>98.534606897832489</v>
      </c>
      <c r="J66" s="46">
        <f t="shared" si="14"/>
        <v>98.466462409245864</v>
      </c>
      <c r="K66" s="46">
        <f t="shared" si="14"/>
        <v>96.314310056347878</v>
      </c>
      <c r="L66" s="46">
        <f t="shared" si="14"/>
        <v>98.108985961702615</v>
      </c>
      <c r="M66" s="46">
        <f t="shared" si="14"/>
        <v>95.025415694171102</v>
      </c>
      <c r="N66" s="46">
        <f t="shared" si="14"/>
        <v>92.134450720301615</v>
      </c>
      <c r="O66" s="46">
        <f t="shared" si="14"/>
        <v>98.803610827682434</v>
      </c>
      <c r="P66" s="46">
        <f t="shared" si="14"/>
        <v>98.342562468791058</v>
      </c>
      <c r="Q66" s="46">
        <f t="shared" si="14"/>
        <v>97.458493695076427</v>
      </c>
      <c r="R66" s="46">
        <f t="shared" si="14"/>
        <v>95.48541775639714</v>
      </c>
      <c r="S66" s="46">
        <f t="shared" si="14"/>
        <v>98.323640179211907</v>
      </c>
      <c r="T66" s="46">
        <f t="shared" si="14"/>
        <v>99.238746764618099</v>
      </c>
      <c r="U66" s="46">
        <f t="shared" si="14"/>
        <v>99.327817399378645</v>
      </c>
      <c r="V66" s="46">
        <f t="shared" si="14"/>
        <v>97.435751996337842</v>
      </c>
    </row>
    <row r="67" spans="1:23" x14ac:dyDescent="0.2">
      <c r="A67" s="16"/>
      <c r="B67" s="40"/>
      <c r="C67" s="77" t="s">
        <v>56</v>
      </c>
      <c r="D67" s="47">
        <f t="shared" ref="D67:V67" si="15">+IFERROR(IF(D41&gt;0,+((D41/D15)*100)," "),"")</f>
        <v>98.326046322642597</v>
      </c>
      <c r="E67" s="47">
        <f t="shared" si="15"/>
        <v>98.220738042051167</v>
      </c>
      <c r="F67" s="47">
        <f t="shared" si="15"/>
        <v>98.649801153287314</v>
      </c>
      <c r="G67" s="47">
        <f t="shared" si="15"/>
        <v>98.815371364220582</v>
      </c>
      <c r="H67" s="47">
        <f t="shared" si="15"/>
        <v>98.915238215189717</v>
      </c>
      <c r="I67" s="47">
        <f t="shared" si="15"/>
        <v>98.995048244486782</v>
      </c>
      <c r="J67" s="47">
        <f t="shared" si="15"/>
        <v>98.421591577819839</v>
      </c>
      <c r="K67" s="47">
        <f t="shared" si="15"/>
        <v>97.693537759043139</v>
      </c>
      <c r="L67" s="47">
        <f t="shared" si="15"/>
        <v>97.51293533534141</v>
      </c>
      <c r="M67" s="47">
        <f t="shared" si="15"/>
        <v>97.619794866150741</v>
      </c>
      <c r="N67" s="47">
        <f t="shared" si="15"/>
        <v>95.606258137052009</v>
      </c>
      <c r="O67" s="47">
        <f t="shared" si="15"/>
        <v>98.781551015108178</v>
      </c>
      <c r="P67" s="47">
        <f t="shared" si="15"/>
        <v>97.516627998389211</v>
      </c>
      <c r="Q67" s="47">
        <f t="shared" si="15"/>
        <v>96.346500040791923</v>
      </c>
      <c r="R67" s="47">
        <f t="shared" si="15"/>
        <v>95.08126162490565</v>
      </c>
      <c r="S67" s="47">
        <f t="shared" si="15"/>
        <v>96.317665804952526</v>
      </c>
      <c r="T67" s="47">
        <f t="shared" si="15"/>
        <v>98.932792951671289</v>
      </c>
      <c r="U67" s="47">
        <f t="shared" si="15"/>
        <v>99.129083334235062</v>
      </c>
      <c r="V67" s="47">
        <f t="shared" si="15"/>
        <v>97.056982069058748</v>
      </c>
    </row>
    <row r="68" spans="1:23" x14ac:dyDescent="0.2">
      <c r="A68" s="16"/>
      <c r="B68" s="40"/>
      <c r="C68" s="77" t="s">
        <v>57</v>
      </c>
      <c r="D68" s="47">
        <f t="shared" ref="D68:V68" si="16">+IFERROR(IF(D42&gt;0,+((D42/D16)*100)," "),"")</f>
        <v>94.628256862407227</v>
      </c>
      <c r="E68" s="47">
        <f t="shared" si="16"/>
        <v>95.718897601791056</v>
      </c>
      <c r="F68" s="47">
        <f t="shared" si="16"/>
        <v>96.969218439284489</v>
      </c>
      <c r="G68" s="47">
        <f t="shared" si="16"/>
        <v>97.970480892007629</v>
      </c>
      <c r="H68" s="47">
        <f t="shared" si="16"/>
        <v>98.108782046549237</v>
      </c>
      <c r="I68" s="47">
        <f t="shared" si="16"/>
        <v>98.078086552322702</v>
      </c>
      <c r="J68" s="47">
        <f t="shared" si="16"/>
        <v>98.252564000075935</v>
      </c>
      <c r="K68" s="47">
        <f t="shared" si="16"/>
        <v>95.989736236525388</v>
      </c>
      <c r="L68" s="47">
        <f t="shared" si="16"/>
        <v>98.897810057465634</v>
      </c>
      <c r="M68" s="47">
        <f t="shared" si="16"/>
        <v>98.391848965389897</v>
      </c>
      <c r="N68" s="47">
        <f t="shared" si="16"/>
        <v>97.761459491754138</v>
      </c>
      <c r="O68" s="47">
        <f t="shared" si="16"/>
        <v>97.307962671292614</v>
      </c>
      <c r="P68" s="47">
        <f t="shared" si="16"/>
        <v>96.708802740583351</v>
      </c>
      <c r="Q68" s="47">
        <f t="shared" si="16"/>
        <v>97.570401202195413</v>
      </c>
      <c r="R68" s="47">
        <f t="shared" si="16"/>
        <v>98.141222899922084</v>
      </c>
      <c r="S68" s="47">
        <f t="shared" si="16"/>
        <v>97.904885777583758</v>
      </c>
      <c r="T68" s="47">
        <f t="shared" si="16"/>
        <v>98.742923263933648</v>
      </c>
      <c r="U68" s="47">
        <f t="shared" si="16"/>
        <v>99.017117689784769</v>
      </c>
      <c r="V68" s="47">
        <f t="shared" si="16"/>
        <v>99.109396697526819</v>
      </c>
    </row>
    <row r="69" spans="1:23" x14ac:dyDescent="0.2">
      <c r="A69" s="16"/>
      <c r="B69" s="40"/>
      <c r="C69" s="77" t="s">
        <v>58</v>
      </c>
      <c r="D69" s="47">
        <f t="shared" ref="D69:V69" si="17">+IFERROR(IF(D43&gt;0,+((D43/D17)*100)," "),"")</f>
        <v>95.108137780260037</v>
      </c>
      <c r="E69" s="47">
        <f t="shared" si="17"/>
        <v>96.609063305666382</v>
      </c>
      <c r="F69" s="47">
        <f t="shared" si="17"/>
        <v>98.859134073733628</v>
      </c>
      <c r="G69" s="47">
        <f t="shared" si="17"/>
        <v>98.902205340992751</v>
      </c>
      <c r="H69" s="47">
        <f t="shared" si="17"/>
        <v>99.271730404729368</v>
      </c>
      <c r="I69" s="47">
        <f t="shared" si="17"/>
        <v>98.452332949295354</v>
      </c>
      <c r="J69" s="47">
        <f t="shared" si="17"/>
        <v>98.496726361273957</v>
      </c>
      <c r="K69" s="47">
        <f t="shared" si="17"/>
        <v>95.974209585855704</v>
      </c>
      <c r="L69" s="47">
        <f t="shared" si="17"/>
        <v>98.201741386948527</v>
      </c>
      <c r="M69" s="47">
        <f t="shared" si="17"/>
        <v>94.060765323866349</v>
      </c>
      <c r="N69" s="47">
        <f t="shared" si="17"/>
        <v>90.792550999653059</v>
      </c>
      <c r="O69" s="47">
        <f t="shared" si="17"/>
        <v>98.950653455116438</v>
      </c>
      <c r="P69" s="47">
        <f t="shared" si="17"/>
        <v>98.731876046116298</v>
      </c>
      <c r="Q69" s="47">
        <f t="shared" si="17"/>
        <v>97.763614155095951</v>
      </c>
      <c r="R69" s="47">
        <f t="shared" si="17"/>
        <v>95.349893717336727</v>
      </c>
      <c r="S69" s="47">
        <f t="shared" si="17"/>
        <v>98.954115174288262</v>
      </c>
      <c r="T69" s="47">
        <f t="shared" si="17"/>
        <v>99.372035866229851</v>
      </c>
      <c r="U69" s="47">
        <f t="shared" si="17"/>
        <v>99.404586667177554</v>
      </c>
      <c r="V69" s="47">
        <f t="shared" si="17"/>
        <v>97.41605374326835</v>
      </c>
    </row>
    <row r="70" spans="1:23" x14ac:dyDescent="0.2">
      <c r="A70" s="16"/>
      <c r="B70" s="40"/>
      <c r="C70" s="77" t="s">
        <v>59</v>
      </c>
      <c r="D70" s="47">
        <f t="shared" ref="D70:V70" si="18">+IFERROR(IF(D44&gt;0,+((D44/D18)*100)," "),"")</f>
        <v>100</v>
      </c>
      <c r="E70" s="47">
        <f t="shared" si="18"/>
        <v>86.850598147086941</v>
      </c>
      <c r="F70" s="47">
        <f t="shared" si="18"/>
        <v>99.167081704746323</v>
      </c>
      <c r="G70" s="47">
        <f t="shared" si="18"/>
        <v>99.231034408409258</v>
      </c>
      <c r="H70" s="47">
        <f t="shared" si="18"/>
        <v>99.215913992546106</v>
      </c>
      <c r="I70" s="47">
        <f t="shared" si="18"/>
        <v>99.978808566837102</v>
      </c>
      <c r="J70" s="47">
        <f t="shared" si="18"/>
        <v>99.782987165616106</v>
      </c>
      <c r="K70" s="47">
        <f t="shared" si="18"/>
        <v>83.605573056880871</v>
      </c>
      <c r="L70" s="47">
        <f t="shared" si="18"/>
        <v>97.755145970565721</v>
      </c>
      <c r="M70" s="47">
        <f t="shared" si="18"/>
        <v>92.635340975831539</v>
      </c>
      <c r="N70" s="47">
        <f t="shared" si="18"/>
        <v>97.627099541629462</v>
      </c>
      <c r="O70" s="47">
        <f t="shared" si="18"/>
        <v>91.830503874309315</v>
      </c>
      <c r="P70" s="47">
        <f t="shared" si="18"/>
        <v>93.850689814728256</v>
      </c>
      <c r="Q70" s="47">
        <f t="shared" si="18"/>
        <v>97.933689708670926</v>
      </c>
      <c r="R70" s="47">
        <f t="shared" si="18"/>
        <v>96.6089724592224</v>
      </c>
      <c r="S70" s="47">
        <f t="shared" si="18"/>
        <v>99.470139319067869</v>
      </c>
      <c r="T70" s="47">
        <f t="shared" si="18"/>
        <v>84.312763622163871</v>
      </c>
      <c r="U70" s="47">
        <f t="shared" si="18"/>
        <v>95.710521934130142</v>
      </c>
      <c r="V70" s="47">
        <f t="shared" si="18"/>
        <v>98.336419429818378</v>
      </c>
    </row>
    <row r="71" spans="1:23" x14ac:dyDescent="0.2">
      <c r="A71" s="16"/>
      <c r="B71" s="34" t="s">
        <v>41</v>
      </c>
      <c r="C71" s="76" t="s">
        <v>42</v>
      </c>
      <c r="D71" s="46">
        <f t="shared" ref="D71:V71" si="19">+IFERROR(IF(D45&gt;0,+((D45/D19)*100)," "),"")</f>
        <v>95.140960884534721</v>
      </c>
      <c r="E71" s="46">
        <f t="shared" si="19"/>
        <v>98.614916381354718</v>
      </c>
      <c r="F71" s="46">
        <f t="shared" si="19"/>
        <v>98.96596185451331</v>
      </c>
      <c r="G71" s="46">
        <f t="shared" si="19"/>
        <v>99.194039119985419</v>
      </c>
      <c r="H71" s="46">
        <f t="shared" si="19"/>
        <v>95.50693426399863</v>
      </c>
      <c r="I71" s="46">
        <f t="shared" si="19"/>
        <v>97.839586913239458</v>
      </c>
      <c r="J71" s="46">
        <f t="shared" si="19"/>
        <v>96.563577074437546</v>
      </c>
      <c r="K71" s="46">
        <f t="shared" si="19"/>
        <v>96.692154505553489</v>
      </c>
      <c r="L71" s="46">
        <f t="shared" si="19"/>
        <v>91.495182134418513</v>
      </c>
      <c r="M71" s="46">
        <f t="shared" si="19"/>
        <v>88.428410037031142</v>
      </c>
      <c r="N71" s="46">
        <f t="shared" si="19"/>
        <v>81.085811297480603</v>
      </c>
      <c r="O71" s="46">
        <f t="shared" si="19"/>
        <v>95.815583815225295</v>
      </c>
      <c r="P71" s="46">
        <f t="shared" si="19"/>
        <v>99.538806541882707</v>
      </c>
      <c r="Q71" s="46">
        <f t="shared" si="19"/>
        <v>85.167793953424393</v>
      </c>
      <c r="R71" s="46">
        <f t="shared" si="19"/>
        <v>97.647445574728309</v>
      </c>
      <c r="S71" s="46">
        <f t="shared" si="19"/>
        <v>98.591313731555744</v>
      </c>
      <c r="T71" s="46">
        <f t="shared" si="19"/>
        <v>84.933922411390483</v>
      </c>
      <c r="U71" s="46">
        <f t="shared" si="19"/>
        <v>97.826713372840203</v>
      </c>
      <c r="V71" s="46">
        <f t="shared" si="19"/>
        <v>97.999200014242803</v>
      </c>
    </row>
    <row r="72" spans="1:23" x14ac:dyDescent="0.2">
      <c r="A72" s="16"/>
      <c r="B72" s="34"/>
      <c r="C72" s="76" t="s">
        <v>43</v>
      </c>
      <c r="D72" s="46">
        <f t="shared" ref="D72:V72" si="20">+IFERROR(IF(D46&gt;0,+((D46/D20)*100)," "),"")</f>
        <v>97.306011475750481</v>
      </c>
      <c r="E72" s="46">
        <f t="shared" si="20"/>
        <v>98.23564150236362</v>
      </c>
      <c r="F72" s="46">
        <f t="shared" si="20"/>
        <v>98.517529025333246</v>
      </c>
      <c r="G72" s="46">
        <f t="shared" si="20"/>
        <v>99.265434516976654</v>
      </c>
      <c r="H72" s="46">
        <f t="shared" si="20"/>
        <v>90.247742051355672</v>
      </c>
      <c r="I72" s="46">
        <f t="shared" si="20"/>
        <v>97.812799015568942</v>
      </c>
      <c r="J72" s="46">
        <f t="shared" si="20"/>
        <v>90.818091834568676</v>
      </c>
      <c r="K72" s="46">
        <f t="shared" si="20"/>
        <v>96.579018741528003</v>
      </c>
      <c r="L72" s="46">
        <f t="shared" si="20"/>
        <v>89.549540101894948</v>
      </c>
      <c r="M72" s="46">
        <f t="shared" si="20"/>
        <v>83.08709850362645</v>
      </c>
      <c r="N72" s="46">
        <f t="shared" si="20"/>
        <v>81.632734086724739</v>
      </c>
      <c r="O72" s="46">
        <f t="shared" si="20"/>
        <v>87.137815940680795</v>
      </c>
      <c r="P72" s="46">
        <f t="shared" si="20"/>
        <v>98.718189402040238</v>
      </c>
      <c r="Q72" s="46">
        <f t="shared" si="20"/>
        <v>97.213240522082373</v>
      </c>
      <c r="R72" s="46">
        <f t="shared" si="20"/>
        <v>98.122589841648121</v>
      </c>
      <c r="S72" s="46">
        <f t="shared" si="20"/>
        <v>98.864283759926593</v>
      </c>
      <c r="T72" s="46">
        <f t="shared" si="20"/>
        <v>96.043336646906639</v>
      </c>
      <c r="U72" s="46">
        <f t="shared" si="20"/>
        <v>97.048115312322082</v>
      </c>
      <c r="V72" s="46">
        <f t="shared" si="20"/>
        <v>99.951560783993628</v>
      </c>
    </row>
    <row r="73" spans="1:23" x14ac:dyDescent="0.2">
      <c r="A73" s="16"/>
      <c r="B73" s="32"/>
      <c r="C73" s="77" t="s">
        <v>60</v>
      </c>
      <c r="D73" s="47">
        <f t="shared" ref="D73:V73" si="21">+IFERROR(IF(D47&gt;0,+((D47/D21)*100)," "),"")</f>
        <v>97.420766729959965</v>
      </c>
      <c r="E73" s="47">
        <f t="shared" si="21"/>
        <v>98.480772680160754</v>
      </c>
      <c r="F73" s="47">
        <f t="shared" si="21"/>
        <v>98.929621525621513</v>
      </c>
      <c r="G73" s="47">
        <f t="shared" si="21"/>
        <v>99.160384730001567</v>
      </c>
      <c r="H73" s="47">
        <f t="shared" si="21"/>
        <v>90.85745825305402</v>
      </c>
      <c r="I73" s="47">
        <f t="shared" si="21"/>
        <v>98.173132478820378</v>
      </c>
      <c r="J73" s="47">
        <f t="shared" si="21"/>
        <v>91.190116941193011</v>
      </c>
      <c r="K73" s="47">
        <f t="shared" si="21"/>
        <v>94.58836107401774</v>
      </c>
      <c r="L73" s="47">
        <f t="shared" si="21"/>
        <v>84.013291378162322</v>
      </c>
      <c r="M73" s="47">
        <f t="shared" si="21"/>
        <v>83.582644318144645</v>
      </c>
      <c r="N73" s="47">
        <f t="shared" si="21"/>
        <v>86.63851219357413</v>
      </c>
      <c r="O73" s="47">
        <f t="shared" si="21"/>
        <v>78.488186836005355</v>
      </c>
      <c r="P73" s="47">
        <f t="shared" si="21"/>
        <v>99.97731398971726</v>
      </c>
      <c r="Q73" s="47">
        <f t="shared" si="21"/>
        <v>98.18393139905578</v>
      </c>
      <c r="R73" s="47">
        <f t="shared" si="21"/>
        <v>97.123784224684115</v>
      </c>
      <c r="S73" s="47">
        <f t="shared" si="21"/>
        <v>98.669154553806976</v>
      </c>
      <c r="T73" s="47">
        <f t="shared" si="21"/>
        <v>96.017385795962923</v>
      </c>
      <c r="U73" s="47">
        <f t="shared" si="21"/>
        <v>97.185664731609336</v>
      </c>
      <c r="V73" s="47">
        <f t="shared" si="21"/>
        <v>99.995202226014896</v>
      </c>
    </row>
    <row r="74" spans="1:23" x14ac:dyDescent="0.2">
      <c r="A74" s="16"/>
      <c r="B74" s="32"/>
      <c r="C74" s="77" t="s">
        <v>61</v>
      </c>
      <c r="D74" s="47">
        <f t="shared" ref="D74:V74" si="22">+IFERROR(IF(D48&gt;0,+((D48/D22)*100)," "),"")</f>
        <v>97.188259722699087</v>
      </c>
      <c r="E74" s="47">
        <f t="shared" si="22"/>
        <v>97.91968671968641</v>
      </c>
      <c r="F74" s="47">
        <f t="shared" si="22"/>
        <v>97.911008797704113</v>
      </c>
      <c r="G74" s="47">
        <f t="shared" si="22"/>
        <v>99.418265064030052</v>
      </c>
      <c r="H74" s="47">
        <f t="shared" si="22"/>
        <v>89.695473719252533</v>
      </c>
      <c r="I74" s="47">
        <f t="shared" si="22"/>
        <v>97.13160850660924</v>
      </c>
      <c r="J74" s="47">
        <f t="shared" si="22"/>
        <v>90.430156640724377</v>
      </c>
      <c r="K74" s="47">
        <f t="shared" si="22"/>
        <v>98.433258975647604</v>
      </c>
      <c r="L74" s="47">
        <f t="shared" si="22"/>
        <v>95.185297919553719</v>
      </c>
      <c r="M74" s="47">
        <f t="shared" si="22"/>
        <v>82.74028335888805</v>
      </c>
      <c r="N74" s="47">
        <f t="shared" si="22"/>
        <v>77.537259036053342</v>
      </c>
      <c r="O74" s="47">
        <f t="shared" si="22"/>
        <v>93.664834946175446</v>
      </c>
      <c r="P74" s="47">
        <f t="shared" si="22"/>
        <v>97.368961658034664</v>
      </c>
      <c r="Q74" s="47">
        <f t="shared" si="22"/>
        <v>96.511131398612989</v>
      </c>
      <c r="R74" s="47">
        <f t="shared" si="22"/>
        <v>99.358494342688275</v>
      </c>
      <c r="S74" s="47">
        <f t="shared" si="22"/>
        <v>99.098801412831477</v>
      </c>
      <c r="T74" s="47">
        <f t="shared" si="22"/>
        <v>96.05841815626637</v>
      </c>
      <c r="U74" s="47">
        <f t="shared" si="22"/>
        <v>96.881819910951165</v>
      </c>
      <c r="V74" s="47">
        <f t="shared" si="22"/>
        <v>99.934995625590545</v>
      </c>
    </row>
    <row r="75" spans="1:23" x14ac:dyDescent="0.2">
      <c r="A75" s="16"/>
      <c r="B75" s="34"/>
      <c r="C75" s="76" t="s">
        <v>44</v>
      </c>
      <c r="D75" s="46">
        <f t="shared" ref="D75:V75" si="23">+IFERROR(IF(D49&gt;0,+((D49/D23)*100)," "),"")</f>
        <v>94.167912858901687</v>
      </c>
      <c r="E75" s="46">
        <f t="shared" si="23"/>
        <v>98.838258568846953</v>
      </c>
      <c r="F75" s="46">
        <f t="shared" si="23"/>
        <v>99.287741592755836</v>
      </c>
      <c r="G75" s="46">
        <f t="shared" si="23"/>
        <v>99.125932119723913</v>
      </c>
      <c r="H75" s="46">
        <f t="shared" si="23"/>
        <v>98.336184891298245</v>
      </c>
      <c r="I75" s="46">
        <f t="shared" si="23"/>
        <v>97.858603024160502</v>
      </c>
      <c r="J75" s="46">
        <f t="shared" si="23"/>
        <v>98.71855507684451</v>
      </c>
      <c r="K75" s="46">
        <f t="shared" si="23"/>
        <v>96.719773934970874</v>
      </c>
      <c r="L75" s="46">
        <f t="shared" si="23"/>
        <v>92.014475324450515</v>
      </c>
      <c r="M75" s="46">
        <f t="shared" si="23"/>
        <v>89.963948915396216</v>
      </c>
      <c r="N75" s="46">
        <f t="shared" si="23"/>
        <v>80.935026049398246</v>
      </c>
      <c r="O75" s="46">
        <f t="shared" si="23"/>
        <v>97.982313653711671</v>
      </c>
      <c r="P75" s="46">
        <f t="shared" si="23"/>
        <v>99.719200284522103</v>
      </c>
      <c r="Q75" s="46">
        <f t="shared" si="23"/>
        <v>82.89905475709088</v>
      </c>
      <c r="R75" s="46">
        <f t="shared" si="23"/>
        <v>97.513372937687066</v>
      </c>
      <c r="S75" s="46">
        <f t="shared" si="23"/>
        <v>98.506478567502072</v>
      </c>
      <c r="T75" s="46">
        <f t="shared" si="23"/>
        <v>82.030390199701685</v>
      </c>
      <c r="U75" s="46">
        <f t="shared" si="23"/>
        <v>98.14178362559376</v>
      </c>
      <c r="V75" s="46">
        <f t="shared" si="23"/>
        <v>97.405627427208003</v>
      </c>
    </row>
    <row r="76" spans="1:23" x14ac:dyDescent="0.2">
      <c r="A76" s="16"/>
      <c r="B76" s="32"/>
      <c r="C76" s="77" t="s">
        <v>60</v>
      </c>
      <c r="D76" s="47">
        <f t="shared" ref="D76:V76" si="24">+IFERROR(IF(D50&gt;0,+((D50/D24)*100)," "),"")</f>
        <v>95.170168931031938</v>
      </c>
      <c r="E76" s="47">
        <f t="shared" si="24"/>
        <v>98.674930210381717</v>
      </c>
      <c r="F76" s="47">
        <f t="shared" si="24"/>
        <v>99.436684398056656</v>
      </c>
      <c r="G76" s="47">
        <f t="shared" si="24"/>
        <v>99.651567461249385</v>
      </c>
      <c r="H76" s="47">
        <f t="shared" si="24"/>
        <v>98.900142388379535</v>
      </c>
      <c r="I76" s="47">
        <f t="shared" si="24"/>
        <v>98.699169429975669</v>
      </c>
      <c r="J76" s="47">
        <f t="shared" si="24"/>
        <v>99.533211590728442</v>
      </c>
      <c r="K76" s="47">
        <f t="shared" si="24"/>
        <v>95.59562743957197</v>
      </c>
      <c r="L76" s="47">
        <f t="shared" si="24"/>
        <v>87.864652743844402</v>
      </c>
      <c r="M76" s="47">
        <f t="shared" si="24"/>
        <v>85.34924200581176</v>
      </c>
      <c r="N76" s="47">
        <f t="shared" si="24"/>
        <v>76.241408253837847</v>
      </c>
      <c r="O76" s="47">
        <f t="shared" si="24"/>
        <v>96.928442479222383</v>
      </c>
      <c r="P76" s="47">
        <f t="shared" si="24"/>
        <v>99.54903100803925</v>
      </c>
      <c r="Q76" s="47">
        <f t="shared" si="24"/>
        <v>78.984170122488806</v>
      </c>
      <c r="R76" s="47">
        <f t="shared" si="24"/>
        <v>97.460816548609387</v>
      </c>
      <c r="S76" s="47">
        <f t="shared" si="24"/>
        <v>99.895471985020919</v>
      </c>
      <c r="T76" s="47">
        <f t="shared" si="24"/>
        <v>69.59247954407229</v>
      </c>
      <c r="U76" s="47">
        <f t="shared" si="24"/>
        <v>99.756125829008383</v>
      </c>
      <c r="V76" s="47">
        <f t="shared" si="24"/>
        <v>96.965021725054214</v>
      </c>
    </row>
    <row r="77" spans="1:23" x14ac:dyDescent="0.2">
      <c r="A77" s="16"/>
      <c r="B77" s="32"/>
      <c r="C77" s="77" t="s">
        <v>61</v>
      </c>
      <c r="D77" s="47">
        <f t="shared" ref="D77:V77" si="25">+IFERROR(IF(D51&gt;0,+((D51/D25)*100)," "),"")</f>
        <v>92.889875863980052</v>
      </c>
      <c r="E77" s="47">
        <f t="shared" si="25"/>
        <v>99.109912935510877</v>
      </c>
      <c r="F77" s="47">
        <f t="shared" si="25"/>
        <v>99.057330068078471</v>
      </c>
      <c r="G77" s="47">
        <f t="shared" si="25"/>
        <v>98.577120518568577</v>
      </c>
      <c r="H77" s="47">
        <f t="shared" si="25"/>
        <v>97.634535109751468</v>
      </c>
      <c r="I77" s="47">
        <f t="shared" si="25"/>
        <v>96.942377587697976</v>
      </c>
      <c r="J77" s="47">
        <f t="shared" si="25"/>
        <v>97.471766401298538</v>
      </c>
      <c r="K77" s="47">
        <f t="shared" si="25"/>
        <v>98.443203144959185</v>
      </c>
      <c r="L77" s="47">
        <f t="shared" si="25"/>
        <v>98.375598812328633</v>
      </c>
      <c r="M77" s="47">
        <f t="shared" si="25"/>
        <v>95.788661550648115</v>
      </c>
      <c r="N77" s="47">
        <f t="shared" si="25"/>
        <v>87.437497545773709</v>
      </c>
      <c r="O77" s="47">
        <f t="shared" si="25"/>
        <v>99.149156774382192</v>
      </c>
      <c r="P77" s="47">
        <f t="shared" si="25"/>
        <v>99.934512347315305</v>
      </c>
      <c r="Q77" s="47">
        <f t="shared" si="25"/>
        <v>88.985238312132466</v>
      </c>
      <c r="R77" s="47">
        <f t="shared" si="25"/>
        <v>97.579395304906242</v>
      </c>
      <c r="S77" s="47">
        <f t="shared" si="25"/>
        <v>96.671393850196011</v>
      </c>
      <c r="T77" s="47">
        <f t="shared" si="25"/>
        <v>96.511597830927428</v>
      </c>
      <c r="U77" s="47">
        <f t="shared" si="25"/>
        <v>96.648781498826565</v>
      </c>
      <c r="V77" s="47">
        <f t="shared" si="25"/>
        <v>97.749593106836485</v>
      </c>
      <c r="W77" s="8"/>
    </row>
    <row r="78" spans="1:23" x14ac:dyDescent="0.2">
      <c r="A78" s="16"/>
      <c r="B78" s="34" t="s">
        <v>45</v>
      </c>
      <c r="C78" s="76" t="s">
        <v>46</v>
      </c>
      <c r="D78" s="46">
        <f t="shared" ref="D78:V78" si="26">+IFERROR(IF(D52&gt;0,+((D52/D26)*100)," "),"")</f>
        <v>81.492177272452921</v>
      </c>
      <c r="E78" s="46">
        <f t="shared" si="26"/>
        <v>92.690470932268326</v>
      </c>
      <c r="F78" s="46">
        <f t="shared" si="26"/>
        <v>84.398883113041663</v>
      </c>
      <c r="G78" s="46">
        <f t="shared" si="26"/>
        <v>98.629699765105343</v>
      </c>
      <c r="H78" s="46">
        <f t="shared" si="26"/>
        <v>95.592236171062439</v>
      </c>
      <c r="I78" s="46">
        <f t="shared" si="26"/>
        <v>93.379688818657414</v>
      </c>
      <c r="J78" s="46">
        <f t="shared" si="26"/>
        <v>91.978695521283939</v>
      </c>
      <c r="K78" s="46">
        <f t="shared" si="26"/>
        <v>86.524129931615903</v>
      </c>
      <c r="L78" s="46">
        <f t="shared" si="26"/>
        <v>97.745332109146872</v>
      </c>
      <c r="M78" s="46">
        <f t="shared" si="26"/>
        <v>93.361637334800719</v>
      </c>
      <c r="N78" s="46">
        <f t="shared" si="26"/>
        <v>94.823412184142427</v>
      </c>
      <c r="O78" s="46">
        <f t="shared" si="26"/>
        <v>97.229893461518941</v>
      </c>
      <c r="P78" s="46">
        <f t="shared" si="26"/>
        <v>94.782790537151087</v>
      </c>
      <c r="Q78" s="46">
        <f t="shared" si="26"/>
        <v>95.103684073174662</v>
      </c>
      <c r="R78" s="46">
        <f t="shared" si="26"/>
        <v>96.022540629275483</v>
      </c>
      <c r="S78" s="46">
        <f t="shared" si="26"/>
        <v>96.893303457872179</v>
      </c>
      <c r="T78" s="46">
        <f t="shared" si="26"/>
        <v>96.752945416540342</v>
      </c>
      <c r="U78" s="46">
        <f t="shared" si="26"/>
        <v>97.97356564399351</v>
      </c>
      <c r="V78" s="46">
        <f t="shared" si="26"/>
        <v>97.287318961018556</v>
      </c>
    </row>
    <row r="79" spans="1:23" x14ac:dyDescent="0.2">
      <c r="A79" s="16"/>
      <c r="B79" s="36" t="s">
        <v>47</v>
      </c>
      <c r="C79" s="78" t="s">
        <v>48</v>
      </c>
      <c r="D79" s="48">
        <f t="shared" ref="D79:V79" si="27">+IFERROR(IF(D53&gt;0,+((D53/D27)*100)," "),"")</f>
        <v>93.314815976948879</v>
      </c>
      <c r="E79" s="48">
        <f t="shared" si="27"/>
        <v>95.917898467049056</v>
      </c>
      <c r="F79" s="48">
        <f t="shared" si="27"/>
        <v>95.852633059446489</v>
      </c>
      <c r="G79" s="48">
        <f t="shared" si="27"/>
        <v>98.789933630308653</v>
      </c>
      <c r="H79" s="48">
        <f t="shared" si="27"/>
        <v>98.522566726160775</v>
      </c>
      <c r="I79" s="48">
        <f t="shared" si="27"/>
        <v>97.662340187000879</v>
      </c>
      <c r="J79" s="48">
        <f t="shared" si="27"/>
        <v>97.304611429412148</v>
      </c>
      <c r="K79" s="48">
        <f t="shared" si="27"/>
        <v>94.066017403338293</v>
      </c>
      <c r="L79" s="48">
        <f t="shared" si="27"/>
        <v>98.032978094114242</v>
      </c>
      <c r="M79" s="48">
        <f t="shared" si="27"/>
        <v>94.605052643994185</v>
      </c>
      <c r="N79" s="48">
        <f t="shared" si="27"/>
        <v>92.637699610349003</v>
      </c>
      <c r="O79" s="48">
        <f t="shared" si="27"/>
        <v>98.421931547181842</v>
      </c>
      <c r="P79" s="48">
        <f t="shared" si="27"/>
        <v>97.426289889196923</v>
      </c>
      <c r="Q79" s="48">
        <f t="shared" si="27"/>
        <v>96.829584201653915</v>
      </c>
      <c r="R79" s="48">
        <f t="shared" si="27"/>
        <v>95.628725156252187</v>
      </c>
      <c r="S79" s="48">
        <f t="shared" si="27"/>
        <v>97.9406174131299</v>
      </c>
      <c r="T79" s="48">
        <f t="shared" si="27"/>
        <v>98.686447096492472</v>
      </c>
      <c r="U79" s="48">
        <f t="shared" si="27"/>
        <v>99.067135507361101</v>
      </c>
      <c r="V79" s="48">
        <f t="shared" si="27"/>
        <v>97.408977440654056</v>
      </c>
    </row>
    <row r="80" spans="1:23" x14ac:dyDescent="0.2">
      <c r="A80" s="16"/>
      <c r="B80" s="38" t="s">
        <v>49</v>
      </c>
      <c r="C80" s="79" t="s">
        <v>63</v>
      </c>
      <c r="D80" s="45">
        <f t="shared" ref="D80:V80" si="28">+IFERROR(IF(D54&gt;0,+((D54/D28)*100)," "),"")</f>
        <v>93.964307401903156</v>
      </c>
      <c r="E80" s="45">
        <f t="shared" si="28"/>
        <v>96.913214856921542</v>
      </c>
      <c r="F80" s="45">
        <f t="shared" si="28"/>
        <v>97.011110706938226</v>
      </c>
      <c r="G80" s="45">
        <f t="shared" si="28"/>
        <v>98.955184919646683</v>
      </c>
      <c r="H80" s="45">
        <f t="shared" si="28"/>
        <v>97.42678416266466</v>
      </c>
      <c r="I80" s="45">
        <f t="shared" si="28"/>
        <v>97.727593219199051</v>
      </c>
      <c r="J80" s="45">
        <f t="shared" si="28"/>
        <v>97.013088724646394</v>
      </c>
      <c r="K80" s="45">
        <f t="shared" si="28"/>
        <v>95.008638122876903</v>
      </c>
      <c r="L80" s="45">
        <f t="shared" si="28"/>
        <v>95.850619009622918</v>
      </c>
      <c r="M80" s="45">
        <f t="shared" si="28"/>
        <v>92.856791850237158</v>
      </c>
      <c r="N80" s="45">
        <f t="shared" si="28"/>
        <v>89.277964133186657</v>
      </c>
      <c r="O80" s="45">
        <f t="shared" si="28"/>
        <v>97.759419255718811</v>
      </c>
      <c r="P80" s="45">
        <f t="shared" si="28"/>
        <v>97.931082959875198</v>
      </c>
      <c r="Q80" s="45">
        <f t="shared" si="28"/>
        <v>93.853962657483819</v>
      </c>
      <c r="R80" s="45">
        <f t="shared" si="28"/>
        <v>96.074267562203673</v>
      </c>
      <c r="S80" s="45">
        <f t="shared" si="28"/>
        <v>98.097100234628243</v>
      </c>
      <c r="T80" s="45">
        <f t="shared" si="28"/>
        <v>95.427120451151168</v>
      </c>
      <c r="U80" s="45">
        <f t="shared" si="28"/>
        <v>98.778229789447138</v>
      </c>
      <c r="V80" s="45">
        <f t="shared" si="28"/>
        <v>97.537845662100693</v>
      </c>
    </row>
    <row r="81" spans="2:22" x14ac:dyDescent="0.2">
      <c r="B81" s="1" t="s">
        <v>52</v>
      </c>
      <c r="C81" s="15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customHeight="1" x14ac:dyDescent="0.2">
      <c r="C85" s="131"/>
      <c r="D85" s="155" t="s">
        <v>79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</row>
    <row r="86" spans="2:22" ht="15.75" customHeight="1" x14ac:dyDescent="0.2">
      <c r="B86" s="157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2:22" x14ac:dyDescent="0.2">
      <c r="B87" s="158"/>
      <c r="C87" s="159" t="s">
        <v>38</v>
      </c>
      <c r="D87" s="153">
        <v>2000</v>
      </c>
      <c r="E87" s="153">
        <v>2001</v>
      </c>
      <c r="F87" s="153">
        <v>2002</v>
      </c>
      <c r="G87" s="153">
        <v>2003</v>
      </c>
      <c r="H87" s="153">
        <v>2004</v>
      </c>
      <c r="I87" s="153">
        <v>2005</v>
      </c>
      <c r="J87" s="153">
        <v>2006</v>
      </c>
      <c r="K87" s="153">
        <v>2007</v>
      </c>
      <c r="L87" s="153">
        <v>2008</v>
      </c>
      <c r="M87" s="153">
        <v>2009</v>
      </c>
      <c r="N87" s="153">
        <v>2010</v>
      </c>
      <c r="O87" s="153">
        <v>2011</v>
      </c>
      <c r="P87" s="153">
        <v>2012</v>
      </c>
      <c r="Q87" s="153">
        <v>2013</v>
      </c>
      <c r="R87" s="153">
        <v>2014</v>
      </c>
      <c r="S87" s="153">
        <v>2015</v>
      </c>
      <c r="T87" s="153">
        <v>2016</v>
      </c>
      <c r="U87" s="153">
        <v>2017</v>
      </c>
      <c r="V87" s="153">
        <v>2018</v>
      </c>
    </row>
    <row r="88" spans="2:22" ht="12" customHeight="1" thickBot="1" x14ac:dyDescent="0.25">
      <c r="B88" s="154"/>
      <c r="C88" s="160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86238.396338861698</v>
      </c>
      <c r="E89" s="41">
        <f t="shared" si="29"/>
        <v>91607.120289310056</v>
      </c>
      <c r="F89" s="41">
        <f t="shared" si="29"/>
        <v>94368.846775558413</v>
      </c>
      <c r="G89" s="41">
        <f t="shared" si="29"/>
        <v>94602.161330276795</v>
      </c>
      <c r="H89" s="41">
        <f t="shared" si="29"/>
        <v>105244.13393009754</v>
      </c>
      <c r="I89" s="41">
        <f t="shared" si="29"/>
        <v>116742.11734314702</v>
      </c>
      <c r="J89" s="41">
        <f t="shared" si="29"/>
        <v>123047.61829528597</v>
      </c>
      <c r="K89" s="41">
        <f t="shared" si="29"/>
        <v>128936.96126653905</v>
      </c>
      <c r="L89" s="41">
        <f t="shared" si="29"/>
        <v>136890.11636859595</v>
      </c>
      <c r="M89" s="41">
        <f t="shared" si="29"/>
        <v>148843.97568494253</v>
      </c>
      <c r="N89" s="41">
        <f t="shared" si="29"/>
        <v>158443.80036498301</v>
      </c>
      <c r="O89" s="41">
        <f t="shared" si="29"/>
        <v>162324.14333815573</v>
      </c>
      <c r="P89" s="41">
        <f t="shared" si="29"/>
        <v>173084.11930963254</v>
      </c>
      <c r="Q89" s="41">
        <f t="shared" si="29"/>
        <v>187461.67489039258</v>
      </c>
      <c r="R89" s="41">
        <f t="shared" si="29"/>
        <v>195034.68839401638</v>
      </c>
      <c r="S89" s="41">
        <f t="shared" si="29"/>
        <v>188977.97830564031</v>
      </c>
      <c r="T89" s="41">
        <f t="shared" si="29"/>
        <v>192449.26953642338</v>
      </c>
      <c r="U89" s="41">
        <f t="shared" si="29"/>
        <v>212439.3268241859</v>
      </c>
      <c r="V89" s="41">
        <f t="shared" si="29"/>
        <v>213434.80986954004</v>
      </c>
    </row>
    <row r="90" spans="2:22" x14ac:dyDescent="0.2">
      <c r="B90" s="40"/>
      <c r="C90" s="77" t="s">
        <v>56</v>
      </c>
      <c r="D90" s="42">
        <f>5788.54300133193*Deflactores!$A$5</f>
        <v>21554.872676260733</v>
      </c>
      <c r="E90" s="42">
        <f>6226.02580777387*Deflactores!$B$5</f>
        <v>21536.737890949746</v>
      </c>
      <c r="F90" s="42">
        <f>6749.27750588904*Deflactores!$C$5</f>
        <v>21821.049430710416</v>
      </c>
      <c r="G90" s="42">
        <f>7343.69965827011*Deflactores!$D$5</f>
        <v>22295.585103956448</v>
      </c>
      <c r="H90" s="42">
        <f>7925.12153008757*Deflactores!$E$5</f>
        <v>22807.08907896046</v>
      </c>
      <c r="I90" s="42">
        <f>8630.95519555088*Deflactores!$F$5</f>
        <v>23688.249052802763</v>
      </c>
      <c r="J90" s="42">
        <f>9608.32162909425*Deflactores!$G$5</f>
        <v>25240.444267316103</v>
      </c>
      <c r="K90" s="42">
        <f>10542.7368183158*Deflactores!$H$5</f>
        <v>26202.974761485926</v>
      </c>
      <c r="L90" s="42">
        <f>11769.0282546864*Deflactores!$I$5</f>
        <v>27165.987332182594</v>
      </c>
      <c r="M90" s="42">
        <f>13254.2098876382*Deflactores!$J$5</f>
        <v>29993.756553839507</v>
      </c>
      <c r="N90" s="42">
        <f>14299.2494563826*Deflactores!$K$5</f>
        <v>31364.017376692984</v>
      </c>
      <c r="O90" s="42">
        <f>15115.1169106513*Deflactores!$L$5</f>
        <v>31962.405316709133</v>
      </c>
      <c r="P90" s="42">
        <f>17038.4566477198*Deflactores!$M$5</f>
        <v>35171.31673657323</v>
      </c>
      <c r="Q90" s="42">
        <f>18841.6176992014*Deflactores!$N$5</f>
        <v>38153.284625429893</v>
      </c>
      <c r="R90" s="42">
        <f>20841.599094189*Deflactores!$O$5</f>
        <v>40713.04431383613</v>
      </c>
      <c r="S90" s="42">
        <f>22275.1787486698*Deflactores!$P$5</f>
        <v>40754.399215029676</v>
      </c>
      <c r="T90" s="42">
        <f>24225.6066335424*Deflactores!$Q$5</f>
        <v>41912.887586198187</v>
      </c>
      <c r="U90" s="42">
        <f>26117.3604958183*Deflactores!$R$5</f>
        <v>43410.340927005796</v>
      </c>
      <c r="V90" s="42">
        <f>28628.3014048874*Deflactores!$S$5</f>
        <v>46117.31033880762</v>
      </c>
    </row>
    <row r="91" spans="2:22" x14ac:dyDescent="0.2">
      <c r="B91" s="40"/>
      <c r="C91" s="77" t="s">
        <v>57</v>
      </c>
      <c r="D91" s="42">
        <f>1273.43923354033*Deflactores!$A$5</f>
        <v>4741.922195896439</v>
      </c>
      <c r="E91" s="42">
        <f>1336.22054933624*Deflactores!$B$5</f>
        <v>4622.1831749594157</v>
      </c>
      <c r="F91" s="42">
        <f>1539.6726618435*Deflactores!$C$5</f>
        <v>4977.906632507762</v>
      </c>
      <c r="G91" s="42">
        <f>1708.14491831114*Deflactores!$D$5</f>
        <v>5185.9542421793267</v>
      </c>
      <c r="H91" s="42">
        <f>1885.30476507525*Deflactores!$E$5</f>
        <v>5425.5715265460076</v>
      </c>
      <c r="I91" s="42">
        <f>2083.69104322052*Deflactores!$F$5</f>
        <v>5718.8331143632704</v>
      </c>
      <c r="J91" s="42">
        <f>2444.62374856876*Deflactores!$G$5</f>
        <v>6421.8696940231157</v>
      </c>
      <c r="K91" s="42">
        <f>3263.04724748004*Deflactores!$H$5</f>
        <v>8109.9951696332364</v>
      </c>
      <c r="L91" s="42">
        <f>3585.58693083528*Deflactores!$I$5</f>
        <v>8276.4699883122321</v>
      </c>
      <c r="M91" s="42">
        <f>4115.50400136097*Deflactores!$J$5</f>
        <v>9313.2239612639223</v>
      </c>
      <c r="N91" s="42">
        <f>4532.32441600928*Deflactores!$K$5</f>
        <v>9941.2141996777409</v>
      </c>
      <c r="O91" s="42">
        <f>4856.00601690604*Deflactores!$L$5</f>
        <v>10268.503608024112</v>
      </c>
      <c r="P91" s="42">
        <f>5582.9885520968*Deflactores!$M$5</f>
        <v>11524.580116752375</v>
      </c>
      <c r="Q91" s="42">
        <f>6491.11964330533*Deflactores!$N$5</f>
        <v>13144.175794376943</v>
      </c>
      <c r="R91" s="42">
        <f>6819.64730760715*Deflactores!$O$5</f>
        <v>13321.847416053424</v>
      </c>
      <c r="S91" s="42">
        <f>6709.31501787059*Deflactores!$P$5</f>
        <v>12275.282087871934</v>
      </c>
      <c r="T91" s="42">
        <f>6875.13957095281*Deflactores!$Q$5</f>
        <v>11894.725954056823</v>
      </c>
      <c r="U91" s="42">
        <f>6993.05365510317*Deflactores!$R$5</f>
        <v>11623.335495081057</v>
      </c>
      <c r="V91" s="42">
        <f>6788.53771233023*Deflactores!$S$5</f>
        <v>10935.650564751475</v>
      </c>
    </row>
    <row r="92" spans="2:22" x14ac:dyDescent="0.2">
      <c r="B92" s="40"/>
      <c r="C92" s="77" t="s">
        <v>58</v>
      </c>
      <c r="D92" s="42">
        <f>16093.9795080808*Deflactores!$A$5</f>
        <v>59929.360302101806</v>
      </c>
      <c r="E92" s="42">
        <f>18916.5438552905*Deflactores!$B$5</f>
        <v>65435.104092463531</v>
      </c>
      <c r="F92" s="42">
        <f>20895.6034886807*Deflactores!$C$5</f>
        <v>67557.452810790201</v>
      </c>
      <c r="G92" s="42">
        <f>22103.5204609336*Deflactores!$D$5</f>
        <v>67106.62805753616</v>
      </c>
      <c r="H92" s="42">
        <f>26749.763182508*Deflactores!$E$5</f>
        <v>76981.056937535133</v>
      </c>
      <c r="I92" s="42">
        <f>31809.4026939225*Deflactores!$F$5</f>
        <v>87303.089422008969</v>
      </c>
      <c r="J92" s="42">
        <f>34773.4417205905*Deflactores!$G$5</f>
        <v>91347.599675851743</v>
      </c>
      <c r="K92" s="42">
        <f>38057.1374518781*Deflactores!$H$5</f>
        <v>94587.414001791127</v>
      </c>
      <c r="L92" s="42">
        <f>43932.022448872*Deflactores!$I$5</f>
        <v>101406.56811219621</v>
      </c>
      <c r="M92" s="42">
        <f>48397.0210672094*Deflactores!$J$5</f>
        <v>109520.55838309848</v>
      </c>
      <c r="N92" s="42">
        <f>53397.3371526671*Deflactores!$K$5</f>
        <v>117121.88219626049</v>
      </c>
      <c r="O92" s="42">
        <f>56767.6955833396*Deflactores!$L$5</f>
        <v>120040.8905770135</v>
      </c>
      <c r="P92" s="42">
        <f>61217.8692962968*Deflactores!$M$5</f>
        <v>126367.84630645171</v>
      </c>
      <c r="Q92" s="42">
        <f>67233.4214271821*Deflactores!$N$5</f>
        <v>136144.14138980646</v>
      </c>
      <c r="R92" s="42">
        <f>72165.1132780602*Deflactores!$O$5</f>
        <v>140971.01865959275</v>
      </c>
      <c r="S92" s="42">
        <f>74287.5016536634*Deflactores!$P$5</f>
        <v>135915.51983668684</v>
      </c>
      <c r="T92" s="42">
        <f>80120.8290881152*Deflactores!$Q$5</f>
        <v>138617.59392367923</v>
      </c>
      <c r="U92" s="42">
        <f>94672.6718078178*Deflactores!$R$5</f>
        <v>157357.8984103667</v>
      </c>
      <c r="V92" s="42">
        <f>97043.4605101576*Deflactores!$S$5</f>
        <v>156327.24140366662</v>
      </c>
    </row>
    <row r="93" spans="2:22" x14ac:dyDescent="0.2">
      <c r="B93" s="40"/>
      <c r="C93" s="77" t="s">
        <v>59</v>
      </c>
      <c r="D93" s="42">
        <f>3.28735449999999*Deflactores!$A$5</f>
        <v>12.241164602720957</v>
      </c>
      <c r="E93" s="42">
        <f>3.78565331411999*Deflactores!$B$5</f>
        <v>13.095130937364189</v>
      </c>
      <c r="F93" s="42">
        <f>3.84705829198*Deflactores!$C$5</f>
        <v>12.437901550035935</v>
      </c>
      <c r="G93" s="42">
        <f>4.60930688954*Deflactores!$D$5</f>
        <v>13.993926604863331</v>
      </c>
      <c r="H93" s="42">
        <f>10.56923849817*Deflactores!$E$5</f>
        <v>30.416387055944348</v>
      </c>
      <c r="I93" s="42">
        <f>11.63962649185*Deflactores!$F$5</f>
        <v>31.945753972013925</v>
      </c>
      <c r="J93" s="42">
        <f>14.353094504*Deflactores!$G$5</f>
        <v>37.70465809499386</v>
      </c>
      <c r="K93" s="42">
        <f>14.7168482004*Deflactores!$H$5</f>
        <v>36.577333628755454</v>
      </c>
      <c r="L93" s="42">
        <f>17.80168634267*Deflactores!$I$5</f>
        <v>41.090935904915732</v>
      </c>
      <c r="M93" s="42">
        <f>7.2633989993*Deflactores!$J$5</f>
        <v>16.436786740610916</v>
      </c>
      <c r="N93" s="42">
        <f>7.60762703799999*Deflactores!$K$5</f>
        <v>16.686592351791386</v>
      </c>
      <c r="O93" s="42">
        <f>24.7535565309999*Deflactores!$L$5</f>
        <v>52.343836408990086</v>
      </c>
      <c r="P93" s="42">
        <f>9.871059095*Deflactores!$M$5</f>
        <v>20.376149855224043</v>
      </c>
      <c r="Q93" s="42">
        <f>9.912890012*Deflactores!$N$5</f>
        <v>20.073080779281891</v>
      </c>
      <c r="R93" s="42">
        <f>14.731878771*Deflactores!$O$5</f>
        <v>28.778004534067335</v>
      </c>
      <c r="S93" s="42">
        <f>17.915053264*Deflactores!$P$5</f>
        <v>32.777166051840396</v>
      </c>
      <c r="T93" s="42">
        <f>13.907853562*Deflactores!$Q$5</f>
        <v>24.062072489128603</v>
      </c>
      <c r="U93" s="42">
        <f>28.72946758386*Deflactores!$R$5</f>
        <v>47.751991732334844</v>
      </c>
      <c r="V93" s="42">
        <f>33.89880592418*Deflactores!$S$5</f>
        <v>54.607562314316368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58463.789775913807</v>
      </c>
      <c r="E94" s="41">
        <f t="shared" si="30"/>
        <v>72994.269449114669</v>
      </c>
      <c r="F94" s="41">
        <f t="shared" si="30"/>
        <v>72965.682720018391</v>
      </c>
      <c r="G94" s="41">
        <f t="shared" si="30"/>
        <v>82014.132318863063</v>
      </c>
      <c r="H94" s="41">
        <f t="shared" si="30"/>
        <v>73215.684685891873</v>
      </c>
      <c r="I94" s="41">
        <f t="shared" si="30"/>
        <v>84694.568514696497</v>
      </c>
      <c r="J94" s="41">
        <f t="shared" si="30"/>
        <v>98713.945541420704</v>
      </c>
      <c r="K94" s="41">
        <f t="shared" si="30"/>
        <v>94451.834881027811</v>
      </c>
      <c r="L94" s="41">
        <f t="shared" si="30"/>
        <v>82074.818591776042</v>
      </c>
      <c r="M94" s="41">
        <f t="shared" si="30"/>
        <v>74055.985471466338</v>
      </c>
      <c r="N94" s="41">
        <f t="shared" si="30"/>
        <v>70652.260620420464</v>
      </c>
      <c r="O94" s="41">
        <f t="shared" si="30"/>
        <v>71242.391730049159</v>
      </c>
      <c r="P94" s="41">
        <f t="shared" si="30"/>
        <v>74804.766032819418</v>
      </c>
      <c r="Q94" s="41">
        <f t="shared" si="30"/>
        <v>76573.168122108618</v>
      </c>
      <c r="R94" s="41">
        <f t="shared" si="30"/>
        <v>78107.685776797603</v>
      </c>
      <c r="S94" s="41">
        <f t="shared" si="30"/>
        <v>84258.285343922704</v>
      </c>
      <c r="T94" s="41">
        <f t="shared" si="30"/>
        <v>68576.277282109368</v>
      </c>
      <c r="U94" s="41">
        <f t="shared" si="30"/>
        <v>81298.230666229065</v>
      </c>
      <c r="V94" s="41">
        <f t="shared" si="30"/>
        <v>58626.252510089005</v>
      </c>
    </row>
    <row r="95" spans="2:22" x14ac:dyDescent="0.2">
      <c r="B95" s="34"/>
      <c r="C95" s="76" t="s">
        <v>43</v>
      </c>
      <c r="D95" s="41">
        <f t="shared" ref="D95:V95" si="31">+D96+D97</f>
        <v>18530.950431152494</v>
      </c>
      <c r="E95" s="41">
        <f t="shared" si="31"/>
        <v>26949.276050078475</v>
      </c>
      <c r="F95" s="41">
        <f t="shared" si="31"/>
        <v>30526.892113623951</v>
      </c>
      <c r="G95" s="41">
        <f t="shared" si="31"/>
        <v>40015.593611209355</v>
      </c>
      <c r="H95" s="41">
        <f t="shared" si="31"/>
        <v>23796.736098681366</v>
      </c>
      <c r="I95" s="41">
        <f t="shared" si="31"/>
        <v>35135.439316754528</v>
      </c>
      <c r="J95" s="41">
        <f t="shared" si="31"/>
        <v>25304.67925107673</v>
      </c>
      <c r="K95" s="41">
        <f t="shared" si="31"/>
        <v>18484.36180011947</v>
      </c>
      <c r="L95" s="41">
        <f t="shared" si="31"/>
        <v>16891.985248522073</v>
      </c>
      <c r="M95" s="41">
        <f t="shared" si="31"/>
        <v>15501.350397824765</v>
      </c>
      <c r="N95" s="41">
        <f t="shared" si="31"/>
        <v>15416.261364996381</v>
      </c>
      <c r="O95" s="41">
        <f t="shared" si="31"/>
        <v>12915.190954477333</v>
      </c>
      <c r="P95" s="41">
        <f t="shared" si="31"/>
        <v>13363.892954335912</v>
      </c>
      <c r="Q95" s="41">
        <f t="shared" si="31"/>
        <v>13885.649056566144</v>
      </c>
      <c r="R95" s="41">
        <f t="shared" si="31"/>
        <v>17268.02994720417</v>
      </c>
      <c r="S95" s="41">
        <f t="shared" si="31"/>
        <v>20135.243686137597</v>
      </c>
      <c r="T95" s="41">
        <f t="shared" si="31"/>
        <v>16026.365030980258</v>
      </c>
      <c r="U95" s="41">
        <f t="shared" si="31"/>
        <v>23226.786857435138</v>
      </c>
      <c r="V95" s="41">
        <f t="shared" si="31"/>
        <v>15461.875803470983</v>
      </c>
    </row>
    <row r="96" spans="2:22" x14ac:dyDescent="0.2">
      <c r="B96" s="32"/>
      <c r="C96" s="77" t="s">
        <v>60</v>
      </c>
      <c r="D96" s="42">
        <f>2524.53615011964*Deflactores!$A$5</f>
        <v>9400.6480162495609</v>
      </c>
      <c r="E96" s="42">
        <f>4398.17005089057*Deflactores!$B$5</f>
        <v>15213.91631039889</v>
      </c>
      <c r="F96" s="42">
        <f>5648.24748038399*Deflactores!$C$5</f>
        <v>18261.315727320885</v>
      </c>
      <c r="G96" s="42">
        <f>7828.35459273359*Deflactores!$D$5</f>
        <v>23767.004938673428</v>
      </c>
      <c r="H96" s="42">
        <f>3996.43172118164*Deflactores!$E$5</f>
        <v>11501.019122159227</v>
      </c>
      <c r="I96" s="42">
        <f>8411.06129619726*Deflactores!$F$5</f>
        <v>23084.735150220393</v>
      </c>
      <c r="J96" s="42">
        <f>4942.61546714898*Deflactores!$G$5</f>
        <v>12983.933620164275</v>
      </c>
      <c r="K96" s="42">
        <f>3519.23972920904*Deflactores!$H$5</f>
        <v>8746.7373409036973</v>
      </c>
      <c r="L96" s="42">
        <f>3471.56170551639*Deflactores!$I$5</f>
        <v>8013.2700231554854</v>
      </c>
      <c r="M96" s="42">
        <f>2845.4082608112*Deflactores!$J$5</f>
        <v>6439.0471702619716</v>
      </c>
      <c r="N96" s="42">
        <f>3360.86251068273*Deflactores!$K$5</f>
        <v>7371.726083055245</v>
      </c>
      <c r="O96" s="42">
        <f>2372.81323438591*Deflactores!$L$5</f>
        <v>5017.5475840911695</v>
      </c>
      <c r="P96" s="42">
        <f>3393.13494986786*Deflactores!$M$5</f>
        <v>7004.2156117297191</v>
      </c>
      <c r="Q96" s="42">
        <f>2909.13372410395*Deflactores!$N$5</f>
        <v>5890.8427482784173</v>
      </c>
      <c r="R96" s="42">
        <f>4840.87593730627*Deflactores!$O$5</f>
        <v>9456.4143405044397</v>
      </c>
      <c r="S96" s="42">
        <f>5998.53613662173*Deflactores!$P$5</f>
        <v>10974.849592722685</v>
      </c>
      <c r="T96" s="42">
        <f>3415.25511858014*Deflactores!$Q$5</f>
        <v>5908.7562193403855</v>
      </c>
      <c r="U96" s="42">
        <f>7662.48186229947*Deflactores!$R$5</f>
        <v>12736.009446386301</v>
      </c>
      <c r="V96" s="42">
        <f>2964.77775272413*Deflactores!$S$5</f>
        <v>4775.9583698049701</v>
      </c>
    </row>
    <row r="97" spans="2:22" x14ac:dyDescent="0.2">
      <c r="B97" s="32"/>
      <c r="C97" s="77" t="s">
        <v>61</v>
      </c>
      <c r="D97" s="42">
        <f>2451.9350653385*Deflactores!$A$5</f>
        <v>9130.3024149029352</v>
      </c>
      <c r="E97" s="42">
        <f>3392.55893686012*Deflactores!$B$5</f>
        <v>11735.359739679585</v>
      </c>
      <c r="F97" s="42">
        <f>3793.75790626876*Deflactores!$C$5</f>
        <v>12265.576386303066</v>
      </c>
      <c r="G97" s="42">
        <f>5351.9454423602*Deflactores!$D$5</f>
        <v>16248.588672535927</v>
      </c>
      <c r="H97" s="42">
        <f>4272.57731142866*Deflactores!$E$5</f>
        <v>12295.716976522137</v>
      </c>
      <c r="I97" s="42">
        <f>4390.74612498167*Deflactores!$F$5</f>
        <v>12050.704166534137</v>
      </c>
      <c r="J97" s="42">
        <f>4690.15859936179*Deflactores!$G$5</f>
        <v>12320.745630912455</v>
      </c>
      <c r="K97" s="42">
        <f>3917.92202387653*Deflactores!$H$5</f>
        <v>9737.6244592157709</v>
      </c>
      <c r="L97" s="42">
        <f>3846.49558563489*Deflactores!$I$5</f>
        <v>8878.7152253665881</v>
      </c>
      <c r="M97" s="42">
        <f>4004.62238959403*Deflactores!$J$5</f>
        <v>9062.3032275627938</v>
      </c>
      <c r="N97" s="42">
        <f>3667.60467498747*Deflactores!$K$5</f>
        <v>8044.5352819411355</v>
      </c>
      <c r="O97" s="42">
        <f>3734.81913138782*Deflactores!$L$5</f>
        <v>7897.6433703861649</v>
      </c>
      <c r="P97" s="42">
        <f>3080.89365851928*Deflactores!$M$5</f>
        <v>6359.6773426061936</v>
      </c>
      <c r="Q97" s="42">
        <f>3948.15506761166*Deflactores!$N$5</f>
        <v>7994.8063082877279</v>
      </c>
      <c r="R97" s="42">
        <f>3998.87956051021*Deflactores!$O$5</f>
        <v>7811.6156066997291</v>
      </c>
      <c r="S97" s="42">
        <f>5006.80711209762*Deflactores!$P$5</f>
        <v>9160.3940934149123</v>
      </c>
      <c r="T97" s="42">
        <f>5847.96766003692*Deflactores!$Q$5</f>
        <v>10117.608811639871</v>
      </c>
      <c r="U97" s="42">
        <f>6311.66237524982*Deflactores!$R$5</f>
        <v>10490.777411048837</v>
      </c>
      <c r="V97" s="42">
        <f>6633.5105588606*Deflactores!$S$5</f>
        <v>10685.917433666013</v>
      </c>
    </row>
    <row r="98" spans="2:22" x14ac:dyDescent="0.2">
      <c r="B98" s="34"/>
      <c r="C98" s="76" t="s">
        <v>44</v>
      </c>
      <c r="D98" s="41">
        <f t="shared" ref="D98:V98" si="32">+D99+D100</f>
        <v>39932.839344761313</v>
      </c>
      <c r="E98" s="41">
        <f t="shared" si="32"/>
        <v>46044.99339903619</v>
      </c>
      <c r="F98" s="41">
        <f t="shared" si="32"/>
        <v>42438.790606394439</v>
      </c>
      <c r="G98" s="41">
        <f t="shared" si="32"/>
        <v>41998.538707653715</v>
      </c>
      <c r="H98" s="41">
        <f t="shared" si="32"/>
        <v>49418.948587210507</v>
      </c>
      <c r="I98" s="41">
        <f t="shared" si="32"/>
        <v>49559.129197941977</v>
      </c>
      <c r="J98" s="41">
        <f t="shared" si="32"/>
        <v>73409.266290343978</v>
      </c>
      <c r="K98" s="41">
        <f t="shared" si="32"/>
        <v>75967.473080908341</v>
      </c>
      <c r="L98" s="41">
        <f t="shared" si="32"/>
        <v>65182.833343253966</v>
      </c>
      <c r="M98" s="41">
        <f t="shared" si="32"/>
        <v>58554.635073641577</v>
      </c>
      <c r="N98" s="41">
        <f t="shared" si="32"/>
        <v>55235.999255424082</v>
      </c>
      <c r="O98" s="41">
        <f t="shared" si="32"/>
        <v>58327.200775571822</v>
      </c>
      <c r="P98" s="41">
        <f t="shared" si="32"/>
        <v>61440.873078483506</v>
      </c>
      <c r="Q98" s="41">
        <f t="shared" si="32"/>
        <v>62687.519065542481</v>
      </c>
      <c r="R98" s="41">
        <f t="shared" si="32"/>
        <v>60839.655829593437</v>
      </c>
      <c r="S98" s="41">
        <f t="shared" si="32"/>
        <v>64123.041657785114</v>
      </c>
      <c r="T98" s="41">
        <f t="shared" si="32"/>
        <v>52549.912251129113</v>
      </c>
      <c r="U98" s="41">
        <f t="shared" si="32"/>
        <v>58071.443808793934</v>
      </c>
      <c r="V98" s="41">
        <f t="shared" si="32"/>
        <v>43164.376706618023</v>
      </c>
    </row>
    <row r="99" spans="2:22" x14ac:dyDescent="0.2">
      <c r="B99" s="32"/>
      <c r="C99" s="77" t="s">
        <v>60</v>
      </c>
      <c r="D99" s="42">
        <f>6074.22972292359*Deflactores!$A$5</f>
        <v>22618.688028032269</v>
      </c>
      <c r="E99" s="42">
        <f>8299.65154502352*Deflactores!$B$5</f>
        <v>28709.713937934866</v>
      </c>
      <c r="F99" s="42">
        <f>7978.05026683677*Deflactores!$C$5</f>
        <v>25793.787421162775</v>
      </c>
      <c r="G99" s="42">
        <f>7096.54240308964*Deflactores!$D$5</f>
        <v>21545.211876106532</v>
      </c>
      <c r="H99" s="42">
        <f>9573.32850353675*Deflactores!$E$5</f>
        <v>27550.335365002447</v>
      </c>
      <c r="I99" s="42">
        <f>9499.11209202548*Deflactores!$F$5</f>
        <v>26070.965254504241</v>
      </c>
      <c r="J99" s="42">
        <f>17041.7316504578*Deflactores!$G$5</f>
        <v>44767.535324739671</v>
      </c>
      <c r="K99" s="42">
        <f>18284.0067513306*Deflactores!$H$5</f>
        <v>45443.168666757003</v>
      </c>
      <c r="L99" s="42">
        <f>16319.0142442899*Deflactores!$I$5</f>
        <v>37668.541925503225</v>
      </c>
      <c r="M99" s="42">
        <f>13696.6251719467*Deflactores!$J$5</f>
        <v>30994.924970949232</v>
      </c>
      <c r="N99" s="42">
        <f>13721.2577621111*Deflactores!$K$5</f>
        <v>30096.248631346429</v>
      </c>
      <c r="O99" s="42">
        <f>14339.1939088717*Deflactores!$L$5</f>
        <v>30321.639610162671</v>
      </c>
      <c r="P99" s="42">
        <f>16596.7196116956*Deflactores!$M$5</f>
        <v>34259.469288796245</v>
      </c>
      <c r="Q99" s="42">
        <f>17902.1626864768*Deflactores!$N$5</f>
        <v>36250.937647293948</v>
      </c>
      <c r="R99" s="42">
        <f>17331.4251576063*Deflactores!$O$5</f>
        <v>33856.091237274464</v>
      </c>
      <c r="S99" s="42">
        <f>20376.7749838661*Deflactores!$P$5</f>
        <v>37281.10251222564</v>
      </c>
      <c r="T99" s="42">
        <f>13862.1487996668*Deflactores!$Q$5</f>
        <v>23982.99836748523</v>
      </c>
      <c r="U99" s="42">
        <f>17062.9997412807*Deflactores!$R$5</f>
        <v>28360.853545097081</v>
      </c>
      <c r="V99" s="42">
        <f>8077.16362790233*Deflactores!$S$5</f>
        <v>13011.497134150914</v>
      </c>
    </row>
    <row r="100" spans="2:22" x14ac:dyDescent="0.2">
      <c r="B100" s="32"/>
      <c r="C100" s="77" t="s">
        <v>61</v>
      </c>
      <c r="D100" s="42">
        <f>4649.70083255627*Deflactores!$A$5</f>
        <v>17314.151316729043</v>
      </c>
      <c r="E100" s="42">
        <f>5011.43199384638*Deflactores!$B$5</f>
        <v>17335.279461101327</v>
      </c>
      <c r="F100" s="42">
        <f>5148.32001734199*Deflactores!$C$5</f>
        <v>16645.003185231661</v>
      </c>
      <c r="G100" s="42">
        <f>6736.89829457159*Deflactores!$D$5</f>
        <v>20453.326831547183</v>
      </c>
      <c r="H100" s="42">
        <f>7599.01523953614*Deflactores!$E$5</f>
        <v>21868.61322220806</v>
      </c>
      <c r="I100" s="42">
        <f>8558.05298946646*Deflactores!$F$5</f>
        <v>23488.163943437732</v>
      </c>
      <c r="J100" s="42">
        <f>10903.0950571607*Deflactores!$G$5</f>
        <v>28641.730965604307</v>
      </c>
      <c r="K100" s="42">
        <f>12281.4188438467*Deflactores!$H$5</f>
        <v>30524.304414151335</v>
      </c>
      <c r="L100" s="42">
        <f>11919.9228485088*Deflactores!$I$5</f>
        <v>27514.291417750737</v>
      </c>
      <c r="M100" s="42">
        <f>12178.6072874152*Deflactores!$J$5</f>
        <v>27559.710102692341</v>
      </c>
      <c r="N100" s="42">
        <f>11461.5280666204*Deflactores!$K$5</f>
        <v>25139.750624077653</v>
      </c>
      <c r="O100" s="42">
        <f>13243.9134967812*Deflactores!$L$5</f>
        <v>28005.561165409155</v>
      </c>
      <c r="P100" s="42">
        <f>13167.8086880712*Deflactores!$M$5</f>
        <v>27181.403789687258</v>
      </c>
      <c r="Q100" s="42">
        <f>13055.4411041311*Deflactores!$N$5</f>
        <v>26436.581418248537</v>
      </c>
      <c r="R100" s="42">
        <f>13813.2788850217*Deflactores!$O$5</f>
        <v>26983.56459231897</v>
      </c>
      <c r="S100" s="42">
        <f>14671.0294825731*Deflactores!$P$5</f>
        <v>26841.93914555947</v>
      </c>
      <c r="T100" s="42">
        <f>16511.6473317703*Deflactores!$Q$5</f>
        <v>28566.913883643883</v>
      </c>
      <c r="U100" s="42">
        <f>17875.0541896295*Deflactores!$R$5</f>
        <v>29710.590263696853</v>
      </c>
      <c r="V100" s="42">
        <f>18718.0414097016*Deflactores!$S$5</f>
        <v>30152.879572467111</v>
      </c>
    </row>
    <row r="101" spans="2:22" x14ac:dyDescent="0.2">
      <c r="B101" s="34" t="s">
        <v>45</v>
      </c>
      <c r="C101" s="76" t="s">
        <v>46</v>
      </c>
      <c r="D101" s="41">
        <f>3782.81883124352*Deflactores!$A$5</f>
        <v>14086.13156126745</v>
      </c>
      <c r="E101" s="41">
        <f>5449.1810180333*Deflactores!$B$5</f>
        <v>18849.517642408129</v>
      </c>
      <c r="F101" s="41">
        <f>4024.86747222247*Deflactores!$C$5</f>
        <v>13012.775365480564</v>
      </c>
      <c r="G101" s="41">
        <f>4043.25983760931*Deflactores!$D$5</f>
        <v>12275.399049756697</v>
      </c>
      <c r="H101" s="41">
        <f>4998.85522849166*Deflactores!$E$5</f>
        <v>14385.815543168936</v>
      </c>
      <c r="I101" s="41">
        <f>6108.25926121626*Deflactores!$F$5</f>
        <v>16764.536876911054</v>
      </c>
      <c r="J101" s="41">
        <f>6660.05394145813*Deflactores!$G$5</f>
        <v>17495.53426871905</v>
      </c>
      <c r="K101" s="41">
        <f>12478.0178422548*Deflactores!$H$5</f>
        <v>31012.932621626951</v>
      </c>
      <c r="L101" s="41">
        <f>13824.4138626633*Deflactores!$I$5</f>
        <v>31910.353492304341</v>
      </c>
      <c r="M101" s="41">
        <f>20174.0490011978*Deflactores!$J$5</f>
        <v>45653.080762777878</v>
      </c>
      <c r="N101" s="41">
        <f>14331.419520534*Deflactores!$K$5</f>
        <v>31434.579293535651</v>
      </c>
      <c r="O101" s="41">
        <f>21508.7119451102*Deflactores!$L$5</f>
        <v>45482.292534933018</v>
      </c>
      <c r="P101" s="41">
        <f>25722.2427249388*Deflactores!$M$5</f>
        <v>53096.660381790505</v>
      </c>
      <c r="Q101" s="41">
        <f>30679.663845779*Deflactores!$N$5</f>
        <v>62124.705299064102</v>
      </c>
      <c r="R101" s="41">
        <f>33675.6836975565*Deflactores!$O$5</f>
        <v>65783.80077657364</v>
      </c>
      <c r="S101" s="41">
        <f>34705.7334084421*Deflactores!$P$5</f>
        <v>63497.192562933116</v>
      </c>
      <c r="T101" s="41">
        <f>28471.4423253231*Deflactores!$Q$5</f>
        <v>49258.636931136301</v>
      </c>
      <c r="U101" s="41">
        <f>27855.3330214092*Deflactores!$R$5</f>
        <v>46299.070049144691</v>
      </c>
      <c r="V101" s="41">
        <f>23430.6340216743*Deflactores!$S$5</f>
        <v>37744.391653921382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100324.52790012915</v>
      </c>
      <c r="E102" s="43">
        <f t="shared" si="33"/>
        <v>110456.63793171819</v>
      </c>
      <c r="F102" s="43">
        <f t="shared" si="33"/>
        <v>107381.62214103897</v>
      </c>
      <c r="G102" s="43">
        <f t="shared" si="33"/>
        <v>106877.56038003349</v>
      </c>
      <c r="H102" s="43">
        <f t="shared" si="33"/>
        <v>119629.94947326648</v>
      </c>
      <c r="I102" s="43">
        <f t="shared" si="33"/>
        <v>133506.65422005809</v>
      </c>
      <c r="J102" s="43">
        <f t="shared" si="33"/>
        <v>140543.15256400502</v>
      </c>
      <c r="K102" s="43">
        <f t="shared" si="33"/>
        <v>159949.893888166</v>
      </c>
      <c r="L102" s="43">
        <f t="shared" si="33"/>
        <v>168800.46986090028</v>
      </c>
      <c r="M102" s="43">
        <f t="shared" si="33"/>
        <v>194497.05644772042</v>
      </c>
      <c r="N102" s="43">
        <f t="shared" si="33"/>
        <v>189878.37965851865</v>
      </c>
      <c r="O102" s="43">
        <f t="shared" si="33"/>
        <v>207806.43587308875</v>
      </c>
      <c r="P102" s="43">
        <f t="shared" si="33"/>
        <v>226180.77969142306</v>
      </c>
      <c r="Q102" s="43">
        <f t="shared" si="33"/>
        <v>249586.38018945669</v>
      </c>
      <c r="R102" s="43">
        <f t="shared" si="33"/>
        <v>260818.48917059001</v>
      </c>
      <c r="S102" s="43">
        <f t="shared" si="33"/>
        <v>252475.17086857342</v>
      </c>
      <c r="T102" s="43">
        <f t="shared" si="33"/>
        <v>241707.90646755969</v>
      </c>
      <c r="U102" s="43">
        <f t="shared" si="33"/>
        <v>258738.39687333058</v>
      </c>
      <c r="V102" s="43">
        <f t="shared" si="33"/>
        <v>251179.20152346144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158788.31767604296</v>
      </c>
      <c r="E103" s="44">
        <f t="shared" si="34"/>
        <v>183450.90738083288</v>
      </c>
      <c r="F103" s="44">
        <f t="shared" si="34"/>
        <v>180347.30486105738</v>
      </c>
      <c r="G103" s="44">
        <f t="shared" si="34"/>
        <v>188891.69269889657</v>
      </c>
      <c r="H103" s="44">
        <f t="shared" si="34"/>
        <v>192845.63415915833</v>
      </c>
      <c r="I103" s="44">
        <f t="shared" si="34"/>
        <v>218201.22273475458</v>
      </c>
      <c r="J103" s="44">
        <f t="shared" si="34"/>
        <v>239257.09810542574</v>
      </c>
      <c r="K103" s="44">
        <f t="shared" si="34"/>
        <v>254401.72876919381</v>
      </c>
      <c r="L103" s="44">
        <f t="shared" si="34"/>
        <v>250875.28845267632</v>
      </c>
      <c r="M103" s="44">
        <f t="shared" si="34"/>
        <v>268553.04191918677</v>
      </c>
      <c r="N103" s="44">
        <f t="shared" si="34"/>
        <v>260530.64027893913</v>
      </c>
      <c r="O103" s="44">
        <f t="shared" si="34"/>
        <v>279048.82760313794</v>
      </c>
      <c r="P103" s="44">
        <f t="shared" si="34"/>
        <v>300985.54572424246</v>
      </c>
      <c r="Q103" s="44">
        <f t="shared" si="34"/>
        <v>326159.5483115653</v>
      </c>
      <c r="R103" s="44">
        <f t="shared" si="34"/>
        <v>338926.17494738766</v>
      </c>
      <c r="S103" s="44">
        <f t="shared" si="34"/>
        <v>336733.45621249615</v>
      </c>
      <c r="T103" s="44">
        <f t="shared" si="34"/>
        <v>310284.18374966906</v>
      </c>
      <c r="U103" s="44">
        <f t="shared" si="34"/>
        <v>340036.62753955962</v>
      </c>
      <c r="V103" s="44">
        <f t="shared" si="34"/>
        <v>309805.45403355046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111363.29711017608</v>
      </c>
      <c r="E104" s="43">
        <f t="shared" si="35"/>
        <v>126557.22322319902</v>
      </c>
      <c r="F104" s="43">
        <f t="shared" si="35"/>
        <v>125259.72411381538</v>
      </c>
      <c r="G104" s="43">
        <f t="shared" si="35"/>
        <v>119958.2301391129</v>
      </c>
      <c r="H104" s="43">
        <f t="shared" si="35"/>
        <v>135550.78170708026</v>
      </c>
      <c r="I104" s="43">
        <f t="shared" si="35"/>
        <v>148634.38925074867</v>
      </c>
      <c r="J104" s="43">
        <f t="shared" si="35"/>
        <v>157677.06284776024</v>
      </c>
      <c r="K104" s="43">
        <f t="shared" si="35"/>
        <v>174524.85549177532</v>
      </c>
      <c r="L104" s="43">
        <f t="shared" si="35"/>
        <v>179117.91843452962</v>
      </c>
      <c r="M104" s="43">
        <f t="shared" si="35"/>
        <v>212262.50103120372</v>
      </c>
      <c r="N104" s="43">
        <f t="shared" si="35"/>
        <v>213335.4094097648</v>
      </c>
      <c r="O104" s="43">
        <f t="shared" si="35"/>
        <v>218297.43569925087</v>
      </c>
      <c r="P104" s="43">
        <f t="shared" si="35"/>
        <v>239372.80233480548</v>
      </c>
      <c r="Q104" s="43">
        <f t="shared" si="35"/>
        <v>263274.6570916099</v>
      </c>
      <c r="R104" s="43">
        <f t="shared" si="35"/>
        <v>282460.57819123683</v>
      </c>
      <c r="S104" s="43">
        <f t="shared" si="35"/>
        <v>271438.84044545511</v>
      </c>
      <c r="T104" s="43">
        <f t="shared" si="35"/>
        <v>260145.01122387865</v>
      </c>
      <c r="U104" s="43">
        <f t="shared" si="35"/>
        <v>273741.81192111562</v>
      </c>
      <c r="V104" s="43">
        <f t="shared" si="35"/>
        <v>276409.41956844262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90.087605614688442</v>
      </c>
      <c r="E105" s="45">
        <f t="shared" si="36"/>
        <v>87.278019474964694</v>
      </c>
      <c r="F105" s="45">
        <f t="shared" si="36"/>
        <v>85.727174397628616</v>
      </c>
      <c r="G105" s="45">
        <f t="shared" si="36"/>
        <v>89.095646256276012</v>
      </c>
      <c r="H105" s="45">
        <f t="shared" si="36"/>
        <v>88.254710129065842</v>
      </c>
      <c r="I105" s="45">
        <f t="shared" si="36"/>
        <v>89.822183744321876</v>
      </c>
      <c r="J105" s="45">
        <f t="shared" si="36"/>
        <v>89.133542967946909</v>
      </c>
      <c r="K105" s="45">
        <f t="shared" si="36"/>
        <v>91.648776008127868</v>
      </c>
      <c r="L105" s="45">
        <f t="shared" si="36"/>
        <v>94.239856813990102</v>
      </c>
      <c r="M105" s="45">
        <f t="shared" si="36"/>
        <v>91.63043660694845</v>
      </c>
      <c r="N105" s="45">
        <f t="shared" si="36"/>
        <v>89.004624306792422</v>
      </c>
      <c r="O105" s="45">
        <f t="shared" si="36"/>
        <v>95.194171753526419</v>
      </c>
      <c r="P105" s="45">
        <f t="shared" si="36"/>
        <v>94.488921667495447</v>
      </c>
      <c r="Q105" s="45">
        <f t="shared" si="36"/>
        <v>94.80076166336427</v>
      </c>
      <c r="R105" s="45">
        <f t="shared" si="36"/>
        <v>92.3380143313329</v>
      </c>
      <c r="S105" s="45">
        <f t="shared" si="36"/>
        <v>93.013649208874966</v>
      </c>
      <c r="T105" s="45">
        <f t="shared" si="36"/>
        <v>92.912758668874815</v>
      </c>
      <c r="U105" s="45">
        <f t="shared" si="36"/>
        <v>94.519136502205754</v>
      </c>
      <c r="V105" s="45">
        <f t="shared" si="36"/>
        <v>90.872156931419681</v>
      </c>
    </row>
    <row r="106" spans="2:22" x14ac:dyDescent="0.2">
      <c r="B106" s="1" t="s">
        <v>52</v>
      </c>
      <c r="C106" s="15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customHeight="1" x14ac:dyDescent="0.2">
      <c r="C111" s="131"/>
      <c r="D111" s="155" t="s">
        <v>80</v>
      </c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</row>
    <row r="112" spans="2:22" x14ac:dyDescent="0.2">
      <c r="U112" s="29"/>
      <c r="V112" s="29"/>
    </row>
    <row r="113" spans="2:22" x14ac:dyDescent="0.2">
      <c r="B113" s="158"/>
      <c r="C113" s="159" t="s">
        <v>38</v>
      </c>
      <c r="D113" s="153">
        <v>2000</v>
      </c>
      <c r="E113" s="153">
        <v>2001</v>
      </c>
      <c r="F113" s="153">
        <v>2002</v>
      </c>
      <c r="G113" s="153">
        <v>2003</v>
      </c>
      <c r="H113" s="153">
        <v>2004</v>
      </c>
      <c r="I113" s="153">
        <v>2005</v>
      </c>
      <c r="J113" s="153">
        <v>2006</v>
      </c>
      <c r="K113" s="153">
        <v>2007</v>
      </c>
      <c r="L113" s="153">
        <v>2008</v>
      </c>
      <c r="M113" s="153">
        <v>2009</v>
      </c>
      <c r="N113" s="153">
        <v>2010</v>
      </c>
      <c r="O113" s="153">
        <v>2011</v>
      </c>
      <c r="P113" s="153">
        <v>2012</v>
      </c>
      <c r="Q113" s="153">
        <v>2013</v>
      </c>
      <c r="R113" s="153">
        <v>2014</v>
      </c>
      <c r="S113" s="153">
        <v>2015</v>
      </c>
      <c r="T113" s="153">
        <v>2016</v>
      </c>
      <c r="U113" s="153">
        <v>2017</v>
      </c>
      <c r="V113" s="153">
        <v>2018</v>
      </c>
    </row>
    <row r="114" spans="2:22" ht="12" customHeight="1" thickBot="1" x14ac:dyDescent="0.25">
      <c r="B114" s="154"/>
      <c r="C114" s="160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94.051309074160258</v>
      </c>
      <c r="E115" s="46">
        <f t="shared" si="37"/>
        <v>94.907577082778033</v>
      </c>
      <c r="F115" s="46">
        <f t="shared" si="37"/>
        <v>93.999517285764384</v>
      </c>
      <c r="G115" s="46">
        <f t="shared" si="37"/>
        <v>93.739976043077277</v>
      </c>
      <c r="H115" s="46">
        <f t="shared" si="37"/>
        <v>93.440805797927979</v>
      </c>
      <c r="I115" s="46">
        <f t="shared" si="37"/>
        <v>94.540372470062962</v>
      </c>
      <c r="J115" s="46">
        <f t="shared" si="37"/>
        <v>95.061710012407644</v>
      </c>
      <c r="K115" s="46">
        <f t="shared" si="37"/>
        <v>95.902687494738643</v>
      </c>
      <c r="L115" s="46">
        <f t="shared" si="37"/>
        <v>96.619088386185908</v>
      </c>
      <c r="M115" s="46">
        <f t="shared" si="37"/>
        <v>93.82903409098499</v>
      </c>
      <c r="N115" s="46">
        <f t="shared" si="37"/>
        <v>91.370043709493004</v>
      </c>
      <c r="O115" s="46">
        <f t="shared" si="37"/>
        <v>98.168259562117413</v>
      </c>
      <c r="P115" s="46">
        <f t="shared" si="37"/>
        <v>97.370048114617617</v>
      </c>
      <c r="Q115" s="46">
        <f t="shared" si="37"/>
        <v>97.150172883544968</v>
      </c>
      <c r="R115" s="46">
        <f t="shared" si="37"/>
        <v>94.174839394848547</v>
      </c>
      <c r="S115" s="46">
        <f t="shared" si="37"/>
        <v>95.082502879841527</v>
      </c>
      <c r="T115" s="46">
        <f t="shared" si="37"/>
        <v>95.109222318098958</v>
      </c>
      <c r="U115" s="46">
        <f t="shared" si="37"/>
        <v>96.105148202470218</v>
      </c>
      <c r="V115" s="46">
        <f t="shared" si="37"/>
        <v>94.210779301931424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98.220293880536261</v>
      </c>
      <c r="E116" s="47">
        <f t="shared" si="38"/>
        <v>97.619170314756516</v>
      </c>
      <c r="F116" s="47">
        <f t="shared" si="38"/>
        <v>98.253926400523142</v>
      </c>
      <c r="G116" s="47">
        <f t="shared" si="38"/>
        <v>98.559013617245228</v>
      </c>
      <c r="H116" s="47">
        <f t="shared" si="38"/>
        <v>96.556525140890287</v>
      </c>
      <c r="I116" s="47">
        <f t="shared" si="38"/>
        <v>98.571628143020888</v>
      </c>
      <c r="J116" s="47">
        <f t="shared" si="38"/>
        <v>98.106343656800277</v>
      </c>
      <c r="K116" s="47">
        <f t="shared" si="38"/>
        <v>97.569847424844696</v>
      </c>
      <c r="L116" s="47">
        <f t="shared" si="38"/>
        <v>97.430393853458668</v>
      </c>
      <c r="M116" s="47">
        <f t="shared" si="38"/>
        <v>97.489634493333838</v>
      </c>
      <c r="N116" s="47">
        <f t="shared" si="38"/>
        <v>95.442239839431664</v>
      </c>
      <c r="O116" s="47">
        <f t="shared" si="38"/>
        <v>98.617123729711579</v>
      </c>
      <c r="P116" s="47">
        <f t="shared" si="38"/>
        <v>97.32474876244531</v>
      </c>
      <c r="Q116" s="47">
        <f t="shared" si="38"/>
        <v>96.241923631279832</v>
      </c>
      <c r="R116" s="47">
        <f t="shared" si="38"/>
        <v>94.98887519295846</v>
      </c>
      <c r="S116" s="47">
        <f t="shared" si="38"/>
        <v>96.234668675443018</v>
      </c>
      <c r="T116" s="47">
        <f t="shared" si="38"/>
        <v>98.809817616638639</v>
      </c>
      <c r="U116" s="47">
        <f t="shared" si="38"/>
        <v>99.006277060097219</v>
      </c>
      <c r="V116" s="47">
        <f t="shared" si="38"/>
        <v>96.521006361016546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88.97549757478302</v>
      </c>
      <c r="E117" s="47">
        <f t="shared" si="39"/>
        <v>81.026467161340022</v>
      </c>
      <c r="F117" s="47">
        <f t="shared" si="39"/>
        <v>76.047378079520172</v>
      </c>
      <c r="G117" s="47">
        <f t="shared" si="39"/>
        <v>76.416715123053692</v>
      </c>
      <c r="H117" s="47">
        <f t="shared" si="39"/>
        <v>71.72361841503772</v>
      </c>
      <c r="I117" s="47">
        <f t="shared" si="39"/>
        <v>72.288678255600715</v>
      </c>
      <c r="J117" s="47">
        <f t="shared" si="39"/>
        <v>76.705874736100924</v>
      </c>
      <c r="K117" s="47">
        <f t="shared" si="39"/>
        <v>92.419899267171928</v>
      </c>
      <c r="L117" s="47">
        <f t="shared" si="39"/>
        <v>94.697553285095708</v>
      </c>
      <c r="M117" s="47">
        <f t="shared" si="39"/>
        <v>92.611530944748338</v>
      </c>
      <c r="N117" s="47">
        <f t="shared" si="39"/>
        <v>93.143877172448725</v>
      </c>
      <c r="O117" s="47">
        <f t="shared" si="39"/>
        <v>91.601858445812994</v>
      </c>
      <c r="P117" s="47">
        <f t="shared" si="39"/>
        <v>92.595509412013271</v>
      </c>
      <c r="Q117" s="47">
        <f t="shared" si="39"/>
        <v>94.023274965284159</v>
      </c>
      <c r="R117" s="47">
        <f t="shared" si="39"/>
        <v>94.041608711705578</v>
      </c>
      <c r="S117" s="47">
        <f t="shared" si="39"/>
        <v>94.189951906391642</v>
      </c>
      <c r="T117" s="47">
        <f t="shared" si="39"/>
        <v>94.909214219402799</v>
      </c>
      <c r="U117" s="47">
        <f t="shared" si="39"/>
        <v>95.801740791972463</v>
      </c>
      <c r="V117" s="47">
        <f t="shared" si="39"/>
        <v>85.95431458246405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93.049665567975509</v>
      </c>
      <c r="E118" s="47">
        <f t="shared" si="40"/>
        <v>95.206556861331421</v>
      </c>
      <c r="F118" s="47">
        <f t="shared" si="40"/>
        <v>94.333458140110366</v>
      </c>
      <c r="G118" s="47">
        <f t="shared" si="40"/>
        <v>93.870128538710247</v>
      </c>
      <c r="H118" s="47">
        <f t="shared" si="40"/>
        <v>94.559625873296099</v>
      </c>
      <c r="I118" s="47">
        <f t="shared" si="40"/>
        <v>95.423428366560415</v>
      </c>
      <c r="J118" s="47">
        <f t="shared" si="40"/>
        <v>95.859206133559582</v>
      </c>
      <c r="K118" s="47">
        <f t="shared" si="40"/>
        <v>95.767686884351505</v>
      </c>
      <c r="L118" s="47">
        <f t="shared" si="40"/>
        <v>96.564790815766884</v>
      </c>
      <c r="M118" s="47">
        <f t="shared" si="40"/>
        <v>92.977583121286926</v>
      </c>
      <c r="N118" s="47">
        <f t="shared" si="40"/>
        <v>90.194403484331104</v>
      </c>
      <c r="O118" s="47">
        <f t="shared" si="40"/>
        <v>98.658097738276524</v>
      </c>
      <c r="P118" s="47">
        <f t="shared" si="40"/>
        <v>97.843706293225196</v>
      </c>
      <c r="Q118" s="47">
        <f t="shared" si="40"/>
        <v>97.72272255301543</v>
      </c>
      <c r="R118" s="47">
        <f t="shared" si="40"/>
        <v>93.955099706849779</v>
      </c>
      <c r="S118" s="47">
        <f t="shared" si="40"/>
        <v>94.822351335939786</v>
      </c>
      <c r="T118" s="47">
        <f t="shared" si="40"/>
        <v>94.064187287251002</v>
      </c>
      <c r="U118" s="47">
        <f t="shared" si="40"/>
        <v>95.357473356813784</v>
      </c>
      <c r="V118" s="47">
        <f t="shared" si="40"/>
        <v>94.192067187358688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100</v>
      </c>
      <c r="E119" s="47">
        <f t="shared" si="41"/>
        <v>49.789514989853892</v>
      </c>
      <c r="F119" s="47">
        <f t="shared" si="41"/>
        <v>54.798277761666078</v>
      </c>
      <c r="G119" s="47">
        <f t="shared" si="41"/>
        <v>60.867182217721385</v>
      </c>
      <c r="H119" s="47">
        <f t="shared" si="41"/>
        <v>82.650495134778197</v>
      </c>
      <c r="I119" s="47">
        <f t="shared" si="41"/>
        <v>62.565423800557362</v>
      </c>
      <c r="J119" s="47">
        <f t="shared" si="41"/>
        <v>81.06351662801724</v>
      </c>
      <c r="K119" s="47">
        <f t="shared" si="41"/>
        <v>77.357491913569817</v>
      </c>
      <c r="L119" s="47">
        <f t="shared" si="41"/>
        <v>93.7630924998533</v>
      </c>
      <c r="M119" s="47">
        <f t="shared" si="41"/>
        <v>89.245198856082666</v>
      </c>
      <c r="N119" s="47">
        <f t="shared" si="41"/>
        <v>86.744054160680349</v>
      </c>
      <c r="O119" s="47">
        <f t="shared" si="41"/>
        <v>88.996293320739682</v>
      </c>
      <c r="P119" s="47">
        <f t="shared" si="41"/>
        <v>92.271860522724296</v>
      </c>
      <c r="Q119" s="47">
        <f t="shared" si="41"/>
        <v>94.934685705529688</v>
      </c>
      <c r="R119" s="47">
        <f t="shared" si="41"/>
        <v>93.106847582693192</v>
      </c>
      <c r="S119" s="47">
        <f t="shared" si="41"/>
        <v>98.960574996764947</v>
      </c>
      <c r="T119" s="47">
        <f t="shared" si="41"/>
        <v>79.768703707086686</v>
      </c>
      <c r="U119" s="47">
        <f t="shared" si="41"/>
        <v>93.341713864944893</v>
      </c>
      <c r="V119" s="47">
        <f t="shared" si="41"/>
        <v>66.875410108032582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95.108656411651722</v>
      </c>
      <c r="E120" s="46">
        <f t="shared" si="42"/>
        <v>98.610704418604996</v>
      </c>
      <c r="F120" s="46">
        <f t="shared" si="42"/>
        <v>98.29540910198142</v>
      </c>
      <c r="G120" s="46">
        <f t="shared" si="42"/>
        <v>98.820414514357111</v>
      </c>
      <c r="H120" s="46">
        <f t="shared" si="42"/>
        <v>94.633519319561813</v>
      </c>
      <c r="I120" s="46">
        <f t="shared" si="42"/>
        <v>97.797809909346157</v>
      </c>
      <c r="J120" s="46">
        <f t="shared" si="42"/>
        <v>96.533612024768317</v>
      </c>
      <c r="K120" s="46">
        <f t="shared" si="42"/>
        <v>96.657036919019404</v>
      </c>
      <c r="L120" s="46">
        <f t="shared" si="42"/>
        <v>91.448463068207388</v>
      </c>
      <c r="M120" s="46">
        <f t="shared" si="42"/>
        <v>88.37424746754121</v>
      </c>
      <c r="N120" s="46">
        <f t="shared" si="42"/>
        <v>80.752518769070392</v>
      </c>
      <c r="O120" s="46">
        <f t="shared" si="42"/>
        <v>95.753666575076792</v>
      </c>
      <c r="P120" s="46">
        <f t="shared" si="42"/>
        <v>99.529646630238588</v>
      </c>
      <c r="Q120" s="46">
        <f t="shared" si="42"/>
        <v>84.902040045068233</v>
      </c>
      <c r="R120" s="46">
        <f t="shared" si="42"/>
        <v>97.639320599935274</v>
      </c>
      <c r="S120" s="46">
        <f t="shared" si="42"/>
        <v>98.036671809401994</v>
      </c>
      <c r="T120" s="46">
        <f t="shared" si="42"/>
        <v>84.866909233146686</v>
      </c>
      <c r="U120" s="46">
        <f t="shared" si="42"/>
        <v>97.813794003806265</v>
      </c>
      <c r="V120" s="46">
        <f t="shared" si="42"/>
        <v>75.932567061832543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97.221672620421074</v>
      </c>
      <c r="E121" s="46">
        <f t="shared" si="43"/>
        <v>98.232016517571452</v>
      </c>
      <c r="F121" s="46">
        <f t="shared" si="43"/>
        <v>98.434895041920029</v>
      </c>
      <c r="G121" s="46">
        <f t="shared" si="43"/>
        <v>98.759108026024634</v>
      </c>
      <c r="H121" s="46">
        <f t="shared" si="43"/>
        <v>87.932973138092422</v>
      </c>
      <c r="I121" s="46">
        <f t="shared" si="43"/>
        <v>97.723889301934861</v>
      </c>
      <c r="J121" s="46">
        <f t="shared" si="43"/>
        <v>90.721578511392167</v>
      </c>
      <c r="K121" s="46">
        <f t="shared" si="43"/>
        <v>96.400051152764533</v>
      </c>
      <c r="L121" s="46">
        <f t="shared" si="43"/>
        <v>89.338787970649008</v>
      </c>
      <c r="M121" s="46">
        <f t="shared" si="43"/>
        <v>82.84453356857513</v>
      </c>
      <c r="N121" s="46">
        <f t="shared" si="43"/>
        <v>81.531221848819726</v>
      </c>
      <c r="O121" s="46">
        <f t="shared" si="43"/>
        <v>86.880523858629445</v>
      </c>
      <c r="P121" s="46">
        <f t="shared" si="43"/>
        <v>98.667360747551044</v>
      </c>
      <c r="Q121" s="46">
        <f t="shared" si="43"/>
        <v>97.138136870766786</v>
      </c>
      <c r="R121" s="46">
        <f t="shared" si="43"/>
        <v>98.085670511311875</v>
      </c>
      <c r="S121" s="46">
        <f t="shared" si="43"/>
        <v>98.810606937954077</v>
      </c>
      <c r="T121" s="46">
        <f t="shared" si="43"/>
        <v>95.719919508910493</v>
      </c>
      <c r="U121" s="46">
        <f t="shared" si="43"/>
        <v>97.003269744020542</v>
      </c>
      <c r="V121" s="46">
        <f t="shared" si="43"/>
        <v>85.895680396572388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97.384951136690162</v>
      </c>
      <c r="E122" s="47">
        <f t="shared" si="44"/>
        <v>98.480772680160754</v>
      </c>
      <c r="F122" s="47">
        <f t="shared" si="44"/>
        <v>98.892274388888382</v>
      </c>
      <c r="G122" s="47">
        <f t="shared" si="44"/>
        <v>98.97611611613361</v>
      </c>
      <c r="H122" s="47">
        <f t="shared" si="44"/>
        <v>89.417164810687055</v>
      </c>
      <c r="I122" s="47">
        <f t="shared" si="44"/>
        <v>98.170484252025972</v>
      </c>
      <c r="J122" s="47">
        <f t="shared" si="44"/>
        <v>91.190116941193011</v>
      </c>
      <c r="K122" s="47">
        <f t="shared" si="44"/>
        <v>94.58836107401774</v>
      </c>
      <c r="L122" s="47">
        <f t="shared" si="44"/>
        <v>84.013291378162322</v>
      </c>
      <c r="M122" s="47">
        <f t="shared" si="44"/>
        <v>83.582644318144645</v>
      </c>
      <c r="N122" s="47">
        <f t="shared" si="44"/>
        <v>86.63851219357413</v>
      </c>
      <c r="O122" s="47">
        <f t="shared" si="44"/>
        <v>78.482727262216827</v>
      </c>
      <c r="P122" s="47">
        <f t="shared" si="44"/>
        <v>99.972607949259171</v>
      </c>
      <c r="Q122" s="47">
        <f t="shared" si="44"/>
        <v>98.183931399020338</v>
      </c>
      <c r="R122" s="47">
        <f t="shared" si="44"/>
        <v>97.123773270178546</v>
      </c>
      <c r="S122" s="47">
        <f t="shared" si="44"/>
        <v>98.669143005836787</v>
      </c>
      <c r="T122" s="47">
        <f t="shared" si="44"/>
        <v>96.016320348965735</v>
      </c>
      <c r="U122" s="47">
        <f t="shared" si="44"/>
        <v>97.185664731607289</v>
      </c>
      <c r="V122" s="47">
        <f t="shared" si="44"/>
        <v>96.431337057915329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97.054130561813338</v>
      </c>
      <c r="E123" s="47">
        <f t="shared" si="45"/>
        <v>97.911389414985692</v>
      </c>
      <c r="F123" s="47">
        <f t="shared" si="45"/>
        <v>97.761721360180971</v>
      </c>
      <c r="G123" s="47">
        <f t="shared" si="45"/>
        <v>98.44339615186135</v>
      </c>
      <c r="H123" s="47">
        <f t="shared" si="45"/>
        <v>86.588623000664498</v>
      </c>
      <c r="I123" s="47">
        <f t="shared" si="45"/>
        <v>96.879626216829422</v>
      </c>
      <c r="J123" s="47">
        <f t="shared" si="45"/>
        <v>90.233002489634998</v>
      </c>
      <c r="K123" s="47">
        <f t="shared" si="45"/>
        <v>98.087588236912765</v>
      </c>
      <c r="L123" s="47">
        <f t="shared" si="45"/>
        <v>94.76000557696112</v>
      </c>
      <c r="M123" s="47">
        <f t="shared" si="45"/>
        <v>82.327955728655724</v>
      </c>
      <c r="N123" s="47">
        <f t="shared" si="45"/>
        <v>77.352694607499089</v>
      </c>
      <c r="O123" s="47">
        <f t="shared" si="45"/>
        <v>93.217509794758811</v>
      </c>
      <c r="P123" s="47">
        <f t="shared" si="45"/>
        <v>97.268709847897583</v>
      </c>
      <c r="Q123" s="47">
        <f t="shared" si="45"/>
        <v>96.381704625466853</v>
      </c>
      <c r="R123" s="47">
        <f t="shared" si="45"/>
        <v>99.275905237332253</v>
      </c>
      <c r="S123" s="47">
        <f t="shared" si="45"/>
        <v>98.980626536714226</v>
      </c>
      <c r="T123" s="47">
        <f t="shared" si="45"/>
        <v>95.547664192381021</v>
      </c>
      <c r="U123" s="47">
        <f t="shared" si="45"/>
        <v>96.78275665260982</v>
      </c>
      <c r="V123" s="47">
        <f t="shared" si="45"/>
        <v>81.896618647176751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94.158994422959324</v>
      </c>
      <c r="E124" s="46">
        <f t="shared" si="46"/>
        <v>98.83370095457029</v>
      </c>
      <c r="F124" s="46">
        <f t="shared" si="46"/>
        <v>98.195318862549087</v>
      </c>
      <c r="G124" s="46">
        <f t="shared" si="46"/>
        <v>98.878897290458283</v>
      </c>
      <c r="H124" s="46">
        <f t="shared" si="46"/>
        <v>98.238164999101528</v>
      </c>
      <c r="I124" s="46">
        <f t="shared" si="46"/>
        <v>97.850284444196674</v>
      </c>
      <c r="J124" s="46">
        <f t="shared" si="46"/>
        <v>98.71355050649413</v>
      </c>
      <c r="K124" s="46">
        <f t="shared" si="46"/>
        <v>96.719773934970874</v>
      </c>
      <c r="L124" s="46">
        <f t="shared" si="46"/>
        <v>92.011536795557546</v>
      </c>
      <c r="M124" s="46">
        <f t="shared" si="46"/>
        <v>89.963948915396216</v>
      </c>
      <c r="N124" s="46">
        <f t="shared" si="46"/>
        <v>80.537832273331631</v>
      </c>
      <c r="O124" s="46">
        <f t="shared" si="46"/>
        <v>97.969179062023045</v>
      </c>
      <c r="P124" s="46">
        <f t="shared" si="46"/>
        <v>99.719200284495642</v>
      </c>
      <c r="Q124" s="46">
        <f t="shared" si="46"/>
        <v>82.597392199896063</v>
      </c>
      <c r="R124" s="46">
        <f t="shared" si="46"/>
        <v>97.513372937661401</v>
      </c>
      <c r="S124" s="46">
        <f t="shared" si="46"/>
        <v>97.796143887748954</v>
      </c>
      <c r="T124" s="46">
        <f t="shared" si="46"/>
        <v>82.030390199701415</v>
      </c>
      <c r="U124" s="46">
        <f t="shared" si="46"/>
        <v>98.141783625593476</v>
      </c>
      <c r="V124" s="46">
        <f t="shared" si="46"/>
        <v>72.903500380792309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95.158211933642988</v>
      </c>
      <c r="E125" s="47">
        <f t="shared" si="47"/>
        <v>98.674930210381717</v>
      </c>
      <c r="F125" s="47">
        <f t="shared" si="47"/>
        <v>98.261581470375631</v>
      </c>
      <c r="G125" s="47">
        <f t="shared" si="47"/>
        <v>99.307464826930698</v>
      </c>
      <c r="H125" s="47">
        <f t="shared" si="47"/>
        <v>98.78527191295899</v>
      </c>
      <c r="I125" s="47">
        <f t="shared" si="47"/>
        <v>98.699169429975669</v>
      </c>
      <c r="J125" s="47">
        <f t="shared" si="47"/>
        <v>99.533211590728442</v>
      </c>
      <c r="K125" s="47">
        <f t="shared" si="47"/>
        <v>95.59562743957197</v>
      </c>
      <c r="L125" s="47">
        <f t="shared" si="47"/>
        <v>87.86093915153414</v>
      </c>
      <c r="M125" s="47">
        <f t="shared" si="47"/>
        <v>85.34924200581176</v>
      </c>
      <c r="N125" s="47">
        <f t="shared" si="47"/>
        <v>75.557570203020248</v>
      </c>
      <c r="O125" s="47">
        <f t="shared" si="47"/>
        <v>96.928442479222383</v>
      </c>
      <c r="P125" s="47">
        <f t="shared" si="47"/>
        <v>99.54903100803925</v>
      </c>
      <c r="Q125" s="47">
        <f t="shared" si="47"/>
        <v>78.488465749234805</v>
      </c>
      <c r="R125" s="47">
        <f t="shared" si="47"/>
        <v>97.460816548609387</v>
      </c>
      <c r="S125" s="47">
        <f t="shared" si="47"/>
        <v>99.895471985020919</v>
      </c>
      <c r="T125" s="47">
        <f t="shared" si="47"/>
        <v>69.59247954407229</v>
      </c>
      <c r="U125" s="47">
        <f t="shared" si="47"/>
        <v>99.756125829008383</v>
      </c>
      <c r="V125" s="47">
        <f t="shared" si="47"/>
        <v>50.126516931109833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92.884832080482411</v>
      </c>
      <c r="E126" s="47">
        <f t="shared" si="48"/>
        <v>99.097774911858579</v>
      </c>
      <c r="F126" s="47">
        <f t="shared" si="48"/>
        <v>98.092811940730442</v>
      </c>
      <c r="G126" s="47">
        <f t="shared" si="48"/>
        <v>98.431433398072272</v>
      </c>
      <c r="H126" s="47">
        <f t="shared" si="48"/>
        <v>97.557479932270169</v>
      </c>
      <c r="I126" s="47">
        <f t="shared" si="48"/>
        <v>96.924991675866764</v>
      </c>
      <c r="J126" s="47">
        <f t="shared" si="48"/>
        <v>97.459102600913766</v>
      </c>
      <c r="K126" s="47">
        <f t="shared" si="48"/>
        <v>98.443203144959185</v>
      </c>
      <c r="L126" s="47">
        <f t="shared" si="48"/>
        <v>98.373848352085005</v>
      </c>
      <c r="M126" s="47">
        <f t="shared" si="48"/>
        <v>95.788661550648115</v>
      </c>
      <c r="N126" s="47">
        <f t="shared" si="48"/>
        <v>87.437416680760634</v>
      </c>
      <c r="O126" s="47">
        <f t="shared" si="48"/>
        <v>99.121479600710444</v>
      </c>
      <c r="P126" s="47">
        <f t="shared" si="48"/>
        <v>99.93451234725535</v>
      </c>
      <c r="Q126" s="47">
        <f t="shared" si="48"/>
        <v>88.985238312105196</v>
      </c>
      <c r="R126" s="47">
        <f t="shared" si="48"/>
        <v>97.579395304848319</v>
      </c>
      <c r="S126" s="47">
        <f t="shared" si="48"/>
        <v>95.022592293244941</v>
      </c>
      <c r="T126" s="47">
        <f t="shared" si="48"/>
        <v>96.511597830926831</v>
      </c>
      <c r="U126" s="47">
        <f t="shared" si="48"/>
        <v>96.648781498826025</v>
      </c>
      <c r="V126" s="47">
        <f t="shared" si="48"/>
        <v>90.684706011721715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71.610905573604228</v>
      </c>
      <c r="E127" s="46">
        <f t="shared" si="49"/>
        <v>62.75898471297873</v>
      </c>
      <c r="F127" s="46">
        <f t="shared" si="49"/>
        <v>52.329876563801172</v>
      </c>
      <c r="G127" s="46">
        <f t="shared" si="49"/>
        <v>64.476823338793736</v>
      </c>
      <c r="H127" s="46">
        <f t="shared" si="49"/>
        <v>62.768339267332273</v>
      </c>
      <c r="I127" s="46">
        <f t="shared" si="49"/>
        <v>66.65684090654095</v>
      </c>
      <c r="J127" s="46">
        <f t="shared" si="49"/>
        <v>61.958871072715525</v>
      </c>
      <c r="K127" s="46">
        <f t="shared" si="49"/>
        <v>77.379049287391581</v>
      </c>
      <c r="L127" s="46">
        <f t="shared" si="49"/>
        <v>85.235836167650461</v>
      </c>
      <c r="M127" s="46">
        <f t="shared" si="49"/>
        <v>85.1270824961275</v>
      </c>
      <c r="N127" s="46">
        <f t="shared" si="49"/>
        <v>78.731125382053918</v>
      </c>
      <c r="O127" s="46">
        <f t="shared" si="49"/>
        <v>85.905677148064967</v>
      </c>
      <c r="P127" s="46">
        <f t="shared" si="49"/>
        <v>86.176705340446503</v>
      </c>
      <c r="Q127" s="46">
        <f t="shared" si="49"/>
        <v>88.353332948790253</v>
      </c>
      <c r="R127" s="46">
        <f t="shared" si="49"/>
        <v>87.290332690460801</v>
      </c>
      <c r="S127" s="46">
        <f t="shared" si="49"/>
        <v>87.356702643653279</v>
      </c>
      <c r="T127" s="46">
        <f t="shared" si="49"/>
        <v>85.223334972240295</v>
      </c>
      <c r="U127" s="46">
        <f t="shared" si="49"/>
        <v>87.865760677232814</v>
      </c>
      <c r="V127" s="46">
        <f t="shared" si="49"/>
        <v>75.702092991969053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90.087605614688442</v>
      </c>
      <c r="E128" s="48">
        <f t="shared" si="50"/>
        <v>87.278019474964694</v>
      </c>
      <c r="F128" s="48">
        <f t="shared" si="50"/>
        <v>85.727174397628616</v>
      </c>
      <c r="G128" s="48">
        <f t="shared" si="50"/>
        <v>89.095646256276012</v>
      </c>
      <c r="H128" s="48">
        <f t="shared" si="50"/>
        <v>88.254710129065842</v>
      </c>
      <c r="I128" s="48">
        <f t="shared" si="50"/>
        <v>89.822183744321876</v>
      </c>
      <c r="J128" s="48">
        <f t="shared" si="50"/>
        <v>89.133542967946909</v>
      </c>
      <c r="K128" s="48">
        <f t="shared" si="50"/>
        <v>91.648776008127868</v>
      </c>
      <c r="L128" s="48">
        <f t="shared" si="50"/>
        <v>94.239856813990102</v>
      </c>
      <c r="M128" s="48">
        <f t="shared" si="50"/>
        <v>91.63043660694845</v>
      </c>
      <c r="N128" s="48">
        <f t="shared" si="50"/>
        <v>89.004624306792422</v>
      </c>
      <c r="O128" s="48">
        <f t="shared" si="50"/>
        <v>95.194171753526419</v>
      </c>
      <c r="P128" s="48">
        <f t="shared" si="50"/>
        <v>94.488921667495447</v>
      </c>
      <c r="Q128" s="48">
        <f t="shared" si="50"/>
        <v>94.80076166336427</v>
      </c>
      <c r="R128" s="48">
        <f t="shared" si="50"/>
        <v>92.3380143313329</v>
      </c>
      <c r="S128" s="48">
        <f t="shared" si="50"/>
        <v>93.013649208874966</v>
      </c>
      <c r="T128" s="48">
        <f t="shared" si="50"/>
        <v>92.912758668874815</v>
      </c>
      <c r="U128" s="48">
        <f t="shared" si="50"/>
        <v>94.519136502205754</v>
      </c>
      <c r="V128" s="48">
        <f t="shared" si="50"/>
        <v>90.872156931419681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91.873405538528388</v>
      </c>
      <c r="E129" s="45">
        <f t="shared" si="51"/>
        <v>91.460270918618988</v>
      </c>
      <c r="F129" s="45">
        <f t="shared" si="51"/>
        <v>90.403846837909782</v>
      </c>
      <c r="G129" s="45">
        <f t="shared" si="51"/>
        <v>93.072406122733014</v>
      </c>
      <c r="H129" s="45">
        <f t="shared" si="51"/>
        <v>90.57256151663276</v>
      </c>
      <c r="I129" s="45">
        <f t="shared" si="51"/>
        <v>92.758394764921277</v>
      </c>
      <c r="J129" s="45">
        <f t="shared" si="51"/>
        <v>92.04472803300601</v>
      </c>
      <c r="K129" s="45">
        <f t="shared" si="51"/>
        <v>93.446431773883376</v>
      </c>
      <c r="L129" s="45">
        <f t="shared" si="51"/>
        <v>93.30807131057945</v>
      </c>
      <c r="M129" s="45">
        <f t="shared" si="51"/>
        <v>90.708792249046695</v>
      </c>
      <c r="N129" s="45">
        <f t="shared" si="51"/>
        <v>86.604593161625615</v>
      </c>
      <c r="O129" s="45">
        <f t="shared" si="51"/>
        <v>95.3363907643446</v>
      </c>
      <c r="P129" s="45">
        <f t="shared" si="51"/>
        <v>95.693420116846212</v>
      </c>
      <c r="Q129" s="45">
        <f t="shared" si="51"/>
        <v>92.275004581460351</v>
      </c>
      <c r="R129" s="45">
        <f t="shared" si="51"/>
        <v>93.50804101159099</v>
      </c>
      <c r="S129" s="45">
        <f t="shared" si="51"/>
        <v>94.221611704931505</v>
      </c>
      <c r="T129" s="45">
        <f t="shared" si="51"/>
        <v>91.005905051031021</v>
      </c>
      <c r="U129" s="45">
        <f t="shared" si="51"/>
        <v>95.286492521008356</v>
      </c>
      <c r="V129" s="45">
        <f t="shared" si="51"/>
        <v>87.610271565141886</v>
      </c>
    </row>
    <row r="130" spans="2:22" x14ac:dyDescent="0.2">
      <c r="B130" s="1" t="s">
        <v>52</v>
      </c>
      <c r="C130" s="15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5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customHeight="1" x14ac:dyDescent="0.2">
      <c r="C135" s="131"/>
      <c r="D135" s="155" t="s">
        <v>81</v>
      </c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</row>
    <row r="136" spans="2:22" ht="15.75" customHeight="1" x14ac:dyDescent="0.2">
      <c r="B136" s="157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</row>
    <row r="137" spans="2:22" x14ac:dyDescent="0.2">
      <c r="B137" s="158"/>
      <c r="C137" s="159" t="s">
        <v>38</v>
      </c>
      <c r="D137" s="153" t="s">
        <v>1</v>
      </c>
      <c r="E137" s="153" t="s">
        <v>2</v>
      </c>
      <c r="F137" s="153" t="s">
        <v>3</v>
      </c>
      <c r="G137" s="153" t="s">
        <v>4</v>
      </c>
      <c r="H137" s="153">
        <v>2004</v>
      </c>
      <c r="I137" s="153" t="s">
        <v>5</v>
      </c>
      <c r="J137" s="153" t="s">
        <v>6</v>
      </c>
      <c r="K137" s="153" t="s">
        <v>7</v>
      </c>
      <c r="L137" s="153" t="s">
        <v>8</v>
      </c>
      <c r="M137" s="153" t="s">
        <v>9</v>
      </c>
      <c r="N137" s="153">
        <v>2010</v>
      </c>
      <c r="O137" s="153">
        <v>2011</v>
      </c>
      <c r="P137" s="153">
        <v>2012</v>
      </c>
      <c r="Q137" s="153">
        <v>2013</v>
      </c>
      <c r="R137" s="153">
        <v>2014</v>
      </c>
      <c r="S137" s="153">
        <v>2015</v>
      </c>
      <c r="T137" s="153">
        <v>2016</v>
      </c>
      <c r="U137" s="153">
        <v>2017</v>
      </c>
      <c r="V137" s="153">
        <v>2018</v>
      </c>
    </row>
    <row r="138" spans="2:22" ht="12" customHeight="1" thickBot="1" x14ac:dyDescent="0.25">
      <c r="B138" s="154"/>
      <c r="C138" s="160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77117.394961615108</v>
      </c>
      <c r="E139" s="41">
        <f t="shared" si="52"/>
        <v>89004.861962464725</v>
      </c>
      <c r="F139" s="41">
        <f t="shared" si="52"/>
        <v>91315.266803145438</v>
      </c>
      <c r="G139" s="41">
        <f t="shared" si="52"/>
        <v>93015.938780569501</v>
      </c>
      <c r="H139" s="41">
        <f t="shared" si="52"/>
        <v>102286.92954389972</v>
      </c>
      <c r="I139" s="41">
        <f t="shared" si="52"/>
        <v>115176.47199802118</v>
      </c>
      <c r="J139" s="41">
        <f t="shared" si="52"/>
        <v>120676.20406120585</v>
      </c>
      <c r="K139" s="41">
        <f t="shared" si="52"/>
        <v>126609.15621353606</v>
      </c>
      <c r="L139" s="41">
        <f t="shared" si="52"/>
        <v>133353.68895342373</v>
      </c>
      <c r="M139" s="41">
        <f t="shared" si="52"/>
        <v>142656.65923533693</v>
      </c>
      <c r="N139" s="41">
        <f t="shared" si="52"/>
        <v>147170.63742311142</v>
      </c>
      <c r="O139" s="41">
        <f t="shared" si="52"/>
        <v>149645.42414064464</v>
      </c>
      <c r="P139" s="41">
        <f t="shared" si="52"/>
        <v>158208.76090697991</v>
      </c>
      <c r="Q139" s="41">
        <f t="shared" si="52"/>
        <v>173974.74906472903</v>
      </c>
      <c r="R139" s="41">
        <f t="shared" si="52"/>
        <v>184246.39596661247</v>
      </c>
      <c r="S139" s="41">
        <f t="shared" si="52"/>
        <v>183488.4005095395</v>
      </c>
      <c r="T139" s="41">
        <f t="shared" si="52"/>
        <v>188431.26911643156</v>
      </c>
      <c r="U139" s="41">
        <f t="shared" si="52"/>
        <v>207838.51173083921</v>
      </c>
      <c r="V139" s="41">
        <f t="shared" si="52"/>
        <v>213202.89928747326</v>
      </c>
    </row>
    <row r="140" spans="2:22" x14ac:dyDescent="0.2">
      <c r="B140" s="40"/>
      <c r="C140" s="77" t="s">
        <v>56</v>
      </c>
      <c r="D140" s="42">
        <f>5536.69532383403*Deflactores!$A$5</f>
        <v>20617.064212018504</v>
      </c>
      <c r="E140" s="42">
        <f>6085.78580803861*Deflactores!$B$5</f>
        <v>21051.627130189012</v>
      </c>
      <c r="F140" s="42">
        <f>6583.09505979162*Deflactores!$C$5</f>
        <v>21283.76594108592</v>
      </c>
      <c r="G140" s="42">
        <f>7167.7117535827*Deflactores!$D$5</f>
        <v>21761.283118742987</v>
      </c>
      <c r="H140" s="42">
        <f>7781.42628950585*Deflactores!$E$5</f>
        <v>22393.55975455479</v>
      </c>
      <c r="I140" s="42">
        <f>8514.89685575096*Deflactores!$F$5</f>
        <v>23369.718971769264</v>
      </c>
      <c r="J140" s="42">
        <f>9536.43673933454*Deflactores!$G$5</f>
        <v>25051.607275416496</v>
      </c>
      <c r="K140" s="42">
        <f>10488.5906271949*Deflactores!$H$5</f>
        <v>26068.399527007281</v>
      </c>
      <c r="L140" s="42">
        <f>11689.6227300988*Deflactores!$I$5</f>
        <v>26982.698667360746</v>
      </c>
      <c r="M140" s="42">
        <f>13129.6224664513*Deflactores!$J$5</f>
        <v>29711.820111574787</v>
      </c>
      <c r="N140" s="42">
        <f>14221.9583182624*Deflactores!$K$5</f>
        <v>31194.486758567826</v>
      </c>
      <c r="O140" s="42">
        <f>15015.9375952732*Deflactores!$L$5</f>
        <v>31752.680873564754</v>
      </c>
      <c r="P140" s="42">
        <f>16734.6894176685*Deflactores!$M$5</f>
        <v>34544.270890624757</v>
      </c>
      <c r="Q140" s="42">
        <f>18674.8932389789*Deflactores!$N$5</f>
        <v>37815.676364481056</v>
      </c>
      <c r="R140" s="42">
        <f>20622.2648127526*Deflactores!$O$5</f>
        <v>40284.585524311035</v>
      </c>
      <c r="S140" s="42">
        <f>21941.9005402817*Deflactores!$P$5</f>
        <v>40144.637412102289</v>
      </c>
      <c r="T140" s="42">
        <f>23627.7357138171*Deflactores!$Q$5</f>
        <v>40878.507022336147</v>
      </c>
      <c r="U140" s="42">
        <f>25585.9840042135*Deflactores!$R$5</f>
        <v>42527.126305648715</v>
      </c>
      <c r="V140" s="42">
        <f>28619.9621744331*Deflactores!$S$5</f>
        <v>46103.876678409521</v>
      </c>
    </row>
    <row r="141" spans="2:22" x14ac:dyDescent="0.2">
      <c r="B141" s="40"/>
      <c r="C141" s="77" t="s">
        <v>57</v>
      </c>
      <c r="D141" s="42">
        <f>888.064024843599*Deflactores!$A$5</f>
        <v>3306.8955313050055</v>
      </c>
      <c r="E141" s="42">
        <f>1230.06552794873*Deflactores!$B$5</f>
        <v>4254.9773614890701</v>
      </c>
      <c r="F141" s="42">
        <f>1334.13783427012*Deflactores!$C$5</f>
        <v>4313.3931896543718</v>
      </c>
      <c r="G141" s="42">
        <f>1546.14778712226*Deflactores!$D$5</f>
        <v>4694.1284604766379</v>
      </c>
      <c r="H141" s="42">
        <f>1604.02403697395*Deflactores!$E$5</f>
        <v>4616.0956595014395</v>
      </c>
      <c r="I141" s="42">
        <f>1835.50396917425*Deflactores!$F$5</f>
        <v>5037.6666514988774</v>
      </c>
      <c r="J141" s="42">
        <f>2266.66424057011*Deflactores!$G$5</f>
        <v>5954.3814877709738</v>
      </c>
      <c r="K141" s="42">
        <f>2942.72075225407*Deflactores!$H$5</f>
        <v>7313.8539764603802</v>
      </c>
      <c r="L141" s="42">
        <f>3253.7157159398*Deflactores!$I$5</f>
        <v>7510.4246509517188</v>
      </c>
      <c r="M141" s="42">
        <f>3623.79789436037*Deflactores!$J$5</f>
        <v>8200.5123477887755</v>
      </c>
      <c r="N141" s="42">
        <f>4073.29148183188*Deflactores!$K$5</f>
        <v>8934.3699615986534</v>
      </c>
      <c r="O141" s="42">
        <f>4403.67004205122*Deflactores!$L$5</f>
        <v>9311.9945811273064</v>
      </c>
      <c r="P141" s="42">
        <f>4978.31161383418*Deflactores!$M$5</f>
        <v>10276.387011082674</v>
      </c>
      <c r="Q141" s="42">
        <f>5901.46207552404*Deflactores!$N$5</f>
        <v>11950.150240188364</v>
      </c>
      <c r="R141" s="42">
        <f>6096.68206768592*Deflactores!$O$5</f>
        <v>11909.570185440974</v>
      </c>
      <c r="S141" s="42">
        <f>5966.37169783937*Deflactores!$P$5</f>
        <v>10916.001922252613</v>
      </c>
      <c r="T141" s="42">
        <f>5784.7300651314*Deflactores!$Q$5</f>
        <v>10008.201016549745</v>
      </c>
      <c r="U141" s="42">
        <f>5903.87585680597*Deflactores!$R$5</f>
        <v>9812.9848832044336</v>
      </c>
      <c r="V141" s="42">
        <f>6728.57401724903*Deflactores!$S$5</f>
        <v>10839.055091062308</v>
      </c>
    </row>
    <row r="142" spans="2:22" x14ac:dyDescent="0.2">
      <c r="B142" s="40"/>
      <c r="C142" s="77" t="s">
        <v>58</v>
      </c>
      <c r="D142" s="42">
        <f>14283.634446176*Deflactores!$A$5</f>
        <v>53188.154907155869</v>
      </c>
      <c r="E142" s="42">
        <f>18410.6556112563*Deflactores!$B$5</f>
        <v>63685.162339849281</v>
      </c>
      <c r="F142" s="42">
        <f>20322.8447101945*Deflactores!$C$5</f>
        <v>65705.669770855107</v>
      </c>
      <c r="G142" s="42">
        <f>21920.9485596407*Deflactores!$D$5</f>
        <v>66552.336957370731</v>
      </c>
      <c r="H142" s="42">
        <f>26149.0506906068*Deflactores!$E$5</f>
        <v>75252.313313652354</v>
      </c>
      <c r="I142" s="42">
        <f>31603.7566373406*Deflactores!$F$5</f>
        <v>86738.679702033827</v>
      </c>
      <c r="J142" s="42">
        <f>34120.591114632*Deflactores!$G$5</f>
        <v>89632.60303328697</v>
      </c>
      <c r="K142" s="42">
        <f>37495.0536371099*Deflactores!$H$5</f>
        <v>93190.407867044065</v>
      </c>
      <c r="L142" s="42">
        <f>42811.3485133804*Deflactores!$I$5</f>
        <v>98819.760325159994</v>
      </c>
      <c r="M142" s="42">
        <f>46279.4565657244*Deflactores!$J$5</f>
        <v>104728.59306166269</v>
      </c>
      <c r="N142" s="42">
        <f>48794.0939955158*Deflactores!$K$5</f>
        <v>107025.11461342817</v>
      </c>
      <c r="O142" s="42">
        <f>51339.1703046179*Deflactores!$L$5</f>
        <v>108561.73852968555</v>
      </c>
      <c r="P142" s="42">
        <f>54920.6022913183*Deflactores!$M$5</f>
        <v>113368.83019917354</v>
      </c>
      <c r="Q142" s="42">
        <f>61330.5806793997*Deflactores!$N$5</f>
        <v>124191.1994108238</v>
      </c>
      <c r="R142" s="42">
        <f>67585.0603719136*Deflactores!$O$5</f>
        <v>132024.10935167639</v>
      </c>
      <c r="S142" s="42">
        <f>72367.6028223255*Deflactores!$P$5</f>
        <v>132402.89601859575</v>
      </c>
      <c r="T142" s="42">
        <f>79487.0375321914*Deflactores!$Q$5</f>
        <v>137521.06682166085</v>
      </c>
      <c r="U142" s="42">
        <f>93531.9782274185*Deflactores!$R$5</f>
        <v>155461.92208357409</v>
      </c>
      <c r="V142" s="42">
        <f>96968.0847192129*Deflactores!$S$5</f>
        <v>156205.81859573023</v>
      </c>
    </row>
    <row r="143" spans="2:22" x14ac:dyDescent="0.2">
      <c r="B143" s="40"/>
      <c r="C143" s="77" t="s">
        <v>59</v>
      </c>
      <c r="D143" s="42">
        <f>1.41802313233999*Deflactores!$A$5</f>
        <v>5.2803111357293018</v>
      </c>
      <c r="E143" s="42">
        <f>3.78565331411999*Deflactores!$B$5</f>
        <v>13.095130937364189</v>
      </c>
      <c r="F143" s="42">
        <f>3.84705829198*Deflactores!$C$5</f>
        <v>12.437901550035935</v>
      </c>
      <c r="G143" s="42">
        <f>2.69769515491*Deflactores!$D$5</f>
        <v>8.1902439791492085</v>
      </c>
      <c r="H143" s="42">
        <f>8.6735094128*Deflactores!$E$5</f>
        <v>24.960816191136161</v>
      </c>
      <c r="I143" s="42">
        <f>11.07885303385*Deflactores!$F$5</f>
        <v>30.406672719205083</v>
      </c>
      <c r="J143" s="42">
        <f>14.3179229696*Deflactores!$G$5</f>
        <v>37.612264731398383</v>
      </c>
      <c r="K143" s="42">
        <f>14.6836582004*Deflactores!$H$5</f>
        <v>36.494843024340213</v>
      </c>
      <c r="L143" s="42">
        <f>17.67794558267*Deflactores!$I$5</f>
        <v>40.805309951277962</v>
      </c>
      <c r="M143" s="42">
        <f>6.9527120223*Deflactores!$J$5</f>
        <v>15.733714310674706</v>
      </c>
      <c r="N143" s="42">
        <f>7.598279538*Deflactores!$K$5</f>
        <v>16.666089516777379</v>
      </c>
      <c r="O143" s="42">
        <f>8.989959661*Deflactores!$L$5</f>
        <v>19.010156267019287</v>
      </c>
      <c r="P143" s="42">
        <f>9.336553239*Deflactores!$M$5</f>
        <v>19.272806098942866</v>
      </c>
      <c r="Q143" s="42">
        <f>8.752350458*Deflactores!$N$5</f>
        <v>17.723049235827521</v>
      </c>
      <c r="R143" s="42">
        <f>14.400619209*Deflactores!$O$5</f>
        <v>28.130905184054015</v>
      </c>
      <c r="S143" s="42">
        <f>13.590577172*Deflactores!$P$5</f>
        <v>24.865156588852631</v>
      </c>
      <c r="T143" s="42">
        <f>13.579656139*Deflactores!$Q$5</f>
        <v>23.494255884807416</v>
      </c>
      <c r="U143" s="42">
        <f>21.94686861086*Deflactores!$R$5</f>
        <v>36.478458411989095</v>
      </c>
      <c r="V143" s="42">
        <f>33.61409536118*Deflactores!$S$5</f>
        <v>54.148922271202728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57647.702720454996</v>
      </c>
      <c r="E144" s="41">
        <f t="shared" si="53"/>
        <v>70665.310364432866</v>
      </c>
      <c r="F144" s="41">
        <f t="shared" si="53"/>
        <v>70152.530304980261</v>
      </c>
      <c r="G144" s="41">
        <f t="shared" si="53"/>
        <v>77387.8475885472</v>
      </c>
      <c r="H144" s="41">
        <f t="shared" si="53"/>
        <v>68705.077815347177</v>
      </c>
      <c r="I144" s="41">
        <f t="shared" si="53"/>
        <v>82352.713680537243</v>
      </c>
      <c r="J144" s="41">
        <f t="shared" si="53"/>
        <v>94363.468330043339</v>
      </c>
      <c r="K144" s="41">
        <f t="shared" si="53"/>
        <v>90653.712546619005</v>
      </c>
      <c r="L144" s="41">
        <f t="shared" si="53"/>
        <v>79631.982070355967</v>
      </c>
      <c r="M144" s="41">
        <f t="shared" si="53"/>
        <v>71747.574203047974</v>
      </c>
      <c r="N144" s="41">
        <f t="shared" si="53"/>
        <v>69067.499823297127</v>
      </c>
      <c r="O144" s="41">
        <f t="shared" si="53"/>
        <v>69324.351454659569</v>
      </c>
      <c r="P144" s="41">
        <f t="shared" si="53"/>
        <v>74618.395703833681</v>
      </c>
      <c r="Q144" s="41">
        <f t="shared" si="53"/>
        <v>75418.350575128861</v>
      </c>
      <c r="R144" s="41">
        <f t="shared" si="53"/>
        <v>76768.014164752574</v>
      </c>
      <c r="S144" s="41">
        <f t="shared" si="53"/>
        <v>83787.016302700067</v>
      </c>
      <c r="T144" s="41">
        <f t="shared" si="53"/>
        <v>68445.969692782528</v>
      </c>
      <c r="U144" s="41">
        <f t="shared" si="53"/>
        <v>81273.317001454619</v>
      </c>
      <c r="V144" s="41">
        <f t="shared" si="53"/>
        <v>58602.086072375598</v>
      </c>
    </row>
    <row r="145" spans="2:22" x14ac:dyDescent="0.2">
      <c r="B145" s="34"/>
      <c r="C145" s="76" t="s">
        <v>43</v>
      </c>
      <c r="D145" s="41">
        <f t="shared" ref="D145:V145" si="54">+D146+D147</f>
        <v>18336.021832426082</v>
      </c>
      <c r="E145" s="41">
        <f t="shared" si="54"/>
        <v>26467.510108374903</v>
      </c>
      <c r="F145" s="41">
        <f t="shared" si="54"/>
        <v>29943.710506372692</v>
      </c>
      <c r="G145" s="41">
        <f t="shared" si="54"/>
        <v>36702.489526483114</v>
      </c>
      <c r="H145" s="41">
        <f t="shared" si="54"/>
        <v>21038.370896770772</v>
      </c>
      <c r="I145" s="41">
        <f t="shared" si="54"/>
        <v>33229.375695980656</v>
      </c>
      <c r="J145" s="41">
        <f t="shared" si="54"/>
        <v>23078.923250888958</v>
      </c>
      <c r="K145" s="41">
        <f t="shared" si="54"/>
        <v>17019.0789886036</v>
      </c>
      <c r="L145" s="41">
        <f t="shared" si="54"/>
        <v>15611.590664961734</v>
      </c>
      <c r="M145" s="41">
        <f t="shared" si="54"/>
        <v>14230.656230133036</v>
      </c>
      <c r="N145" s="41">
        <f t="shared" si="54"/>
        <v>14338.141476191755</v>
      </c>
      <c r="O145" s="41">
        <f t="shared" si="54"/>
        <v>11418.864236829104</v>
      </c>
      <c r="P145" s="41">
        <f t="shared" si="54"/>
        <v>13363.81445408567</v>
      </c>
      <c r="Q145" s="41">
        <f t="shared" si="54"/>
        <v>12949.007117502821</v>
      </c>
      <c r="R145" s="41">
        <f t="shared" si="54"/>
        <v>16123.665450264456</v>
      </c>
      <c r="S145" s="41">
        <f t="shared" si="54"/>
        <v>19867.061384730245</v>
      </c>
      <c r="T145" s="41">
        <f t="shared" si="54"/>
        <v>16026.365030980258</v>
      </c>
      <c r="U145" s="41">
        <f t="shared" si="54"/>
        <v>23226.786857435138</v>
      </c>
      <c r="V145" s="41">
        <f t="shared" si="54"/>
        <v>15461.875803470983</v>
      </c>
    </row>
    <row r="146" spans="2:22" x14ac:dyDescent="0.2">
      <c r="B146" s="32"/>
      <c r="C146" s="77" t="s">
        <v>60</v>
      </c>
      <c r="D146" s="42">
        <f>2493.60005488522*Deflactores!$A$5</f>
        <v>9285.4508770514658</v>
      </c>
      <c r="E146" s="42">
        <f>4319.99324263563*Deflactores!$B$5</f>
        <v>14943.491246237509</v>
      </c>
      <c r="F146" s="42">
        <f>5544.42162090215*Deflactores!$C$5</f>
        <v>17925.636951338951</v>
      </c>
      <c r="G146" s="42">
        <f>7544.53861961724*Deflactores!$D$5</f>
        <v>22905.335279382325</v>
      </c>
      <c r="H146" s="42">
        <f>3747.49133615979*Deflactores!$E$5</f>
        <v>10784.613005863201</v>
      </c>
      <c r="I146" s="42">
        <f>8189.87073913316*Deflactores!$F$5</f>
        <v>22477.662481535528</v>
      </c>
      <c r="J146" s="42">
        <f>4717.39946956163*Deflactores!$G$5</f>
        <v>12392.30564863608</v>
      </c>
      <c r="K146" s="42">
        <f>3340.27429503312*Deflactores!$H$5</f>
        <v>8301.9356887612375</v>
      </c>
      <c r="L146" s="42">
        <f>3374.09124745946*Deflactores!$I$5</f>
        <v>7788.2827793885917</v>
      </c>
      <c r="M146" s="42">
        <f>2750.38880165926*Deflactores!$J$5</f>
        <v>6224.021865106748</v>
      </c>
      <c r="N146" s="42">
        <f>3278.17077937629*Deflactores!$K$5</f>
        <v>7190.3497873611823</v>
      </c>
      <c r="O146" s="42">
        <f>2188.69272693391*Deflactores!$L$5</f>
        <v>4628.2066136517005</v>
      </c>
      <c r="P146" s="42">
        <f>3393.13494986786*Deflactores!$M$5</f>
        <v>7004.2156117297191</v>
      </c>
      <c r="Q146" s="42">
        <f>2851.34747890945*Deflactores!$N$5</f>
        <v>5773.828641764936</v>
      </c>
      <c r="R146" s="42">
        <f>4767.30280819024*Deflactores!$O$5</f>
        <v>9312.6928317818347</v>
      </c>
      <c r="S146" s="42">
        <f>5975.63018509173*Deflactores!$P$5</f>
        <v>10932.941139210971</v>
      </c>
      <c r="T146" s="42">
        <f>3415.25511858014*Deflactores!$Q$5</f>
        <v>5908.7562193403855</v>
      </c>
      <c r="U146" s="42">
        <f>7662.48186229947*Deflactores!$R$5</f>
        <v>12736.009446386301</v>
      </c>
      <c r="V146" s="42">
        <f>2964.77775272413*Deflactores!$S$5</f>
        <v>4775.9583698049701</v>
      </c>
    </row>
    <row r="147" spans="2:22" x14ac:dyDescent="0.2">
      <c r="B147" s="32"/>
      <c r="C147" s="77" t="s">
        <v>61</v>
      </c>
      <c r="D147" s="42">
        <f>2430.52324867085*Deflactores!$A$5</f>
        <v>9050.5709553746165</v>
      </c>
      <c r="E147" s="42">
        <f>3331.46269450077*Deflactores!$B$5</f>
        <v>11524.018862137393</v>
      </c>
      <c r="F147" s="42">
        <f>3717.20497525441*Deflactores!$C$5</f>
        <v>12018.073555033743</v>
      </c>
      <c r="G147" s="42">
        <f>4544.49418829354*Deflactores!$D$5</f>
        <v>13797.154247100792</v>
      </c>
      <c r="H147" s="42">
        <f>3563.02714231521*Deflactores!$E$5</f>
        <v>10253.757890907573</v>
      </c>
      <c r="I147" s="42">
        <f>3917.45100376292*Deflactores!$F$5</f>
        <v>10751.713214445128</v>
      </c>
      <c r="J147" s="42">
        <f>4068.09238229403*Deflactores!$G$5</f>
        <v>10686.617602252878</v>
      </c>
      <c r="K147" s="42">
        <f>3507.3326007574*Deflactores!$H$5</f>
        <v>8717.1432998423625</v>
      </c>
      <c r="L147" s="42">
        <f>3389.26505503247*Deflactores!$I$5</f>
        <v>7823.3078855731419</v>
      </c>
      <c r="M147" s="42">
        <f>3538.12341502287*Deflactores!$J$5</f>
        <v>8006.6343650262879</v>
      </c>
      <c r="N147" s="42">
        <f>3258.76800772336*Deflactores!$K$5</f>
        <v>7147.7916888305726</v>
      </c>
      <c r="O147" s="42">
        <f>3211.32226618982*Deflactores!$L$5</f>
        <v>6790.6576231774025</v>
      </c>
      <c r="P147" s="42">
        <f>3080.85562971528*Deflactores!$M$5</f>
        <v>6359.5988423559511</v>
      </c>
      <c r="Q147" s="42">
        <f>3543.39006695334*Deflactores!$N$5</f>
        <v>7175.1784757378855</v>
      </c>
      <c r="R147" s="42">
        <f>3486.63587182725*Deflactores!$O$5</f>
        <v>6810.9726184826213</v>
      </c>
      <c r="S147" s="42">
        <f>4883.13235538164*Deflactores!$P$5</f>
        <v>8934.1202455192724</v>
      </c>
      <c r="T147" s="42">
        <f>5847.96766003692*Deflactores!$Q$5</f>
        <v>10117.608811639871</v>
      </c>
      <c r="U147" s="42">
        <f>6311.66237524982*Deflactores!$R$5</f>
        <v>10490.777411048837</v>
      </c>
      <c r="V147" s="42">
        <f>6633.5105588606*Deflactores!$S$5</f>
        <v>10685.917433666013</v>
      </c>
    </row>
    <row r="148" spans="2:22" x14ac:dyDescent="0.2">
      <c r="B148" s="34"/>
      <c r="C148" s="76" t="s">
        <v>44</v>
      </c>
      <c r="D148" s="41">
        <f t="shared" ref="D148:V148" si="55">+D149+D150</f>
        <v>39311.68088802891</v>
      </c>
      <c r="E148" s="41">
        <f t="shared" si="55"/>
        <v>44197.800256057963</v>
      </c>
      <c r="F148" s="41">
        <f t="shared" si="55"/>
        <v>40208.819798607568</v>
      </c>
      <c r="G148" s="41">
        <f t="shared" si="55"/>
        <v>40685.358062064086</v>
      </c>
      <c r="H148" s="41">
        <f t="shared" si="55"/>
        <v>47666.706918576398</v>
      </c>
      <c r="I148" s="41">
        <f t="shared" si="55"/>
        <v>49123.337984556594</v>
      </c>
      <c r="J148" s="41">
        <f t="shared" si="55"/>
        <v>71284.545079154384</v>
      </c>
      <c r="K148" s="41">
        <f t="shared" si="55"/>
        <v>73634.633558015412</v>
      </c>
      <c r="L148" s="41">
        <f t="shared" si="55"/>
        <v>64020.391405394235</v>
      </c>
      <c r="M148" s="41">
        <f t="shared" si="55"/>
        <v>57516.917972914933</v>
      </c>
      <c r="N148" s="41">
        <f t="shared" si="55"/>
        <v>54729.358347105372</v>
      </c>
      <c r="O148" s="41">
        <f t="shared" si="55"/>
        <v>57905.487217830472</v>
      </c>
      <c r="P148" s="41">
        <f t="shared" si="55"/>
        <v>61254.581249748007</v>
      </c>
      <c r="Q148" s="41">
        <f t="shared" si="55"/>
        <v>62469.343457626048</v>
      </c>
      <c r="R148" s="41">
        <f t="shared" si="55"/>
        <v>60644.348714488115</v>
      </c>
      <c r="S148" s="41">
        <f t="shared" si="55"/>
        <v>63919.954917969822</v>
      </c>
      <c r="T148" s="41">
        <f t="shared" si="55"/>
        <v>52419.604661802266</v>
      </c>
      <c r="U148" s="41">
        <f t="shared" si="55"/>
        <v>58046.530144019489</v>
      </c>
      <c r="V148" s="41">
        <f t="shared" si="55"/>
        <v>43140.210268904615</v>
      </c>
    </row>
    <row r="149" spans="2:22" x14ac:dyDescent="0.2">
      <c r="B149" s="32"/>
      <c r="C149" s="77" t="s">
        <v>60</v>
      </c>
      <c r="D149" s="42">
        <f>5996.64616033858*Deflactores!$A$5</f>
        <v>22329.789109443289</v>
      </c>
      <c r="E149" s="42">
        <f>7838.04527889175*Deflactores!$B$5</f>
        <v>27112.950052040451</v>
      </c>
      <c r="F149" s="42">
        <f>7294.42019768011*Deflactores!$C$5</f>
        <v>23583.547063084257</v>
      </c>
      <c r="G149" s="42">
        <f>7015.17017846429*Deflactores!$D$5</f>
        <v>21298.164550690708</v>
      </c>
      <c r="H149" s="42">
        <f>9383.45183920503*Deflactores!$E$5</f>
        <v>27003.904123413453</v>
      </c>
      <c r="I149" s="42">
        <f>9471.38247462775*Deflactores!$F$5</f>
        <v>25994.859415906565</v>
      </c>
      <c r="J149" s="42">
        <f>16553.412144309*Deflactores!$G$5</f>
        <v>43484.751321936259</v>
      </c>
      <c r="K149" s="42">
        <f>17728.5609090329*Deflactores!$H$5</f>
        <v>44062.660584471036</v>
      </c>
      <c r="L149" s="42">
        <f>16110.7426538197*Deflactores!$I$5</f>
        <v>37187.79676405678</v>
      </c>
      <c r="M149" s="42">
        <f>13480.4910184717*Deflactores!$J$5</f>
        <v>30505.821868066763</v>
      </c>
      <c r="N149" s="42">
        <f>13648.382382926*Deflactores!$K$5</f>
        <v>29936.403552339547</v>
      </c>
      <c r="O149" s="42">
        <f>14231.952410353*Deflactores!$L$5</f>
        <v>30094.866885698291</v>
      </c>
      <c r="P149" s="42">
        <f>16531.6123650902*Deflactores!$M$5</f>
        <v>34125.07286783219</v>
      </c>
      <c r="Q149" s="42">
        <f>17809.7668843994*Deflactores!$N$5</f>
        <v>36063.841008824129</v>
      </c>
      <c r="R149" s="42">
        <f>17247.1774421307*Deflactores!$O$5</f>
        <v>33691.517446271355</v>
      </c>
      <c r="S149" s="42">
        <f>20267.0774013158*Deflactores!$P$5</f>
        <v>37080.401134130276</v>
      </c>
      <c r="T149" s="42">
        <f>13862.1487996668*Deflactores!$Q$5</f>
        <v>23982.99836748523</v>
      </c>
      <c r="U149" s="42">
        <f>17062.9997412807*Deflactores!$R$5</f>
        <v>28360.853545097081</v>
      </c>
      <c r="V149" s="42">
        <f>8077.16197390233*Deflactores!$S$5</f>
        <v>13011.494469723493</v>
      </c>
    </row>
    <row r="150" spans="2:22" x14ac:dyDescent="0.2">
      <c r="B150" s="32"/>
      <c r="C150" s="77" t="s">
        <v>61</v>
      </c>
      <c r="D150" s="42">
        <f>4560.47281191182*Deflactores!$A$5</f>
        <v>16981.891778585621</v>
      </c>
      <c r="E150" s="42">
        <f>4939.03574583889*Deflactores!$B$5</f>
        <v>17084.850204017508</v>
      </c>
      <c r="F150" s="42">
        <f>5142.21736490905*Deflactores!$C$5</f>
        <v>16625.272735523315</v>
      </c>
      <c r="G150" s="42">
        <f>6385.73626574278*Deflactores!$D$5</f>
        <v>19387.193511373382</v>
      </c>
      <c r="H150" s="42">
        <f>7180.01419369926*Deflactores!$E$5</f>
        <v>20662.802795162945</v>
      </c>
      <c r="I150" s="42">
        <f>8426.999472283*Deflactores!$F$5</f>
        <v>23128.478568650029</v>
      </c>
      <c r="J150" s="42">
        <f>10582.5934287424*Deflactores!$G$5</f>
        <v>27799.793757218125</v>
      </c>
      <c r="K150" s="42">
        <f>11898.2493818479*Deflactores!$H$5</f>
        <v>29571.972973544376</v>
      </c>
      <c r="L150" s="42">
        <f>11624.5936736611*Deflactores!$I$5</f>
        <v>26832.594641337455</v>
      </c>
      <c r="M150" s="42">
        <f>11936.1753312289*Deflactores!$J$5</f>
        <v>27011.096104848169</v>
      </c>
      <c r="N150" s="42">
        <f>11303.4194922562*Deflactores!$K$5</f>
        <v>24792.954794765825</v>
      </c>
      <c r="O150" s="42">
        <f>13151.7253946517*Deflactores!$L$5</f>
        <v>27810.620332132181</v>
      </c>
      <c r="P150" s="42">
        <f>13142.6683823456*Deflactores!$M$5</f>
        <v>27129.508381915821</v>
      </c>
      <c r="Q150" s="42">
        <f>13040.0930661693*Deflactores!$N$5</f>
        <v>26405.502448801915</v>
      </c>
      <c r="R150" s="42">
        <f>13797.5460497458*Deflactores!$O$5</f>
        <v>26952.83126821676</v>
      </c>
      <c r="S150" s="42">
        <f>14669.7257126804*Deflactores!$P$5</f>
        <v>26839.553783839543</v>
      </c>
      <c r="T150" s="42">
        <f>16436.3296769343*Deflactores!$Q$5</f>
        <v>28436.60629431704</v>
      </c>
      <c r="U150" s="42">
        <f>17860.0651536005*Deflactores!$R$5</f>
        <v>29685.676598922408</v>
      </c>
      <c r="V150" s="42">
        <f>18703.0412334201*Deflactores!$S$5</f>
        <v>30128.715799181118</v>
      </c>
    </row>
    <row r="151" spans="2:22" x14ac:dyDescent="0.2">
      <c r="B151" s="34" t="s">
        <v>45</v>
      </c>
      <c r="C151" s="76" t="s">
        <v>46</v>
      </c>
      <c r="D151" s="41">
        <f>2615.81160303518*Deflactores!$A$5</f>
        <v>9740.5316045048094</v>
      </c>
      <c r="E151" s="41">
        <f>5175.8680623544*Deflactores!$B$5</f>
        <v>17904.087978222095</v>
      </c>
      <c r="F151" s="41">
        <f>3612.64863811889*Deflactores!$C$5</f>
        <v>11680.03307604359</v>
      </c>
      <c r="G151" s="41">
        <f>3818.87483637343*Deflactores!$D$5</f>
        <v>11594.162735105398</v>
      </c>
      <c r="H151" s="41">
        <f>4668.08029494895*Deflactores!$E$5</f>
        <v>13433.904162913739</v>
      </c>
      <c r="I151" s="41">
        <f>5852.53477107567*Deflactores!$F$5</f>
        <v>16062.683458129093</v>
      </c>
      <c r="J151" s="41">
        <f>6256.14431597698*Deflactores!$G$5</f>
        <v>16434.489605089224</v>
      </c>
      <c r="K151" s="41">
        <f>11094.5779598787*Deflactores!$H$5</f>
        <v>27574.523701188304</v>
      </c>
      <c r="L151" s="41">
        <f>11878.5029609326*Deflactores!$I$5</f>
        <v>27418.683512251195</v>
      </c>
      <c r="M151" s="41">
        <f>17017.6982478993*Deflactores!$J$5</f>
        <v>38510.382941064665</v>
      </c>
      <c r="N151" s="41">
        <f>12521.4130145728*Deflactores!$K$5</f>
        <v>27464.505502036402</v>
      </c>
      <c r="O151" s="41">
        <f>16684.2655093627*Deflactores!$L$5</f>
        <v>35280.524773583304</v>
      </c>
      <c r="P151" s="41">
        <f>19741.6364103951*Deflactores!$M$5</f>
        <v>40751.305205873432</v>
      </c>
      <c r="Q151" s="41">
        <f>23694.7128255822*Deflactores!$N$5</f>
        <v>47980.546945848444</v>
      </c>
      <c r="R151" s="41">
        <f>27831.8570110541*Deflactores!$O$5</f>
        <v>54368.171209248998</v>
      </c>
      <c r="S151" s="41">
        <f>28783.8317050822*Deflactores!$P$5</f>
        <v>52662.552407899304</v>
      </c>
      <c r="T151" s="41">
        <f>23899.681646081*Deflactores!$Q$5</f>
        <v>41349.002538131375</v>
      </c>
      <c r="U151" s="41">
        <f>22330.7659023129*Deflactores!$R$5</f>
        <v>37116.544037280095</v>
      </c>
      <c r="V151" s="41">
        <f>23227.7350515509*Deflactores!$S$5</f>
        <v>37417.541847491448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86857.926566119917</v>
      </c>
      <c r="E152" s="43">
        <f t="shared" si="56"/>
        <v>106908.94994068681</v>
      </c>
      <c r="F152" s="43">
        <f t="shared" si="56"/>
        <v>102995.29987918903</v>
      </c>
      <c r="G152" s="43">
        <f t="shared" si="56"/>
        <v>104610.10151567491</v>
      </c>
      <c r="H152" s="43">
        <f t="shared" si="56"/>
        <v>115720.83370681346</v>
      </c>
      <c r="I152" s="43">
        <f t="shared" si="56"/>
        <v>131239.15545615027</v>
      </c>
      <c r="J152" s="43">
        <f t="shared" si="56"/>
        <v>137110.69366629506</v>
      </c>
      <c r="K152" s="43">
        <f t="shared" si="56"/>
        <v>154183.67991472437</v>
      </c>
      <c r="L152" s="43">
        <f t="shared" si="56"/>
        <v>160772.37246567491</v>
      </c>
      <c r="M152" s="43">
        <f t="shared" si="56"/>
        <v>181167.04217640159</v>
      </c>
      <c r="N152" s="43">
        <f t="shared" si="56"/>
        <v>174635.14292514781</v>
      </c>
      <c r="O152" s="43">
        <f t="shared" si="56"/>
        <v>184925.94891422795</v>
      </c>
      <c r="P152" s="43">
        <f t="shared" si="56"/>
        <v>198960.06611285335</v>
      </c>
      <c r="Q152" s="43">
        <f t="shared" si="56"/>
        <v>221955.29601057747</v>
      </c>
      <c r="R152" s="43">
        <f t="shared" si="56"/>
        <v>238614.56717586148</v>
      </c>
      <c r="S152" s="43">
        <f t="shared" si="56"/>
        <v>236150.95291743882</v>
      </c>
      <c r="T152" s="43">
        <f t="shared" si="56"/>
        <v>229780.27165456294</v>
      </c>
      <c r="U152" s="43">
        <f t="shared" si="56"/>
        <v>244955.05576811929</v>
      </c>
      <c r="V152" s="43">
        <f t="shared" si="56"/>
        <v>250620.4411349647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144505.6292865749</v>
      </c>
      <c r="E153" s="44">
        <f t="shared" si="57"/>
        <v>177574.26030511968</v>
      </c>
      <c r="F153" s="44">
        <f t="shared" si="57"/>
        <v>173147.83018416929</v>
      </c>
      <c r="G153" s="44">
        <f t="shared" si="57"/>
        <v>181997.94910422209</v>
      </c>
      <c r="H153" s="44">
        <f t="shared" si="57"/>
        <v>184425.91152216063</v>
      </c>
      <c r="I153" s="44">
        <f t="shared" si="57"/>
        <v>213591.86913668751</v>
      </c>
      <c r="J153" s="44">
        <f t="shared" si="57"/>
        <v>231474.1619963384</v>
      </c>
      <c r="K153" s="44">
        <f t="shared" si="57"/>
        <v>244837.39246134335</v>
      </c>
      <c r="L153" s="44">
        <f t="shared" si="57"/>
        <v>240404.35453603088</v>
      </c>
      <c r="M153" s="44">
        <f t="shared" si="57"/>
        <v>252914.61637944955</v>
      </c>
      <c r="N153" s="44">
        <f t="shared" si="57"/>
        <v>243702.64274844495</v>
      </c>
      <c r="O153" s="44">
        <f t="shared" si="57"/>
        <v>254250.30036888752</v>
      </c>
      <c r="P153" s="44">
        <f t="shared" si="57"/>
        <v>273578.46181668702</v>
      </c>
      <c r="Q153" s="44">
        <f t="shared" si="57"/>
        <v>297373.64658570633</v>
      </c>
      <c r="R153" s="44">
        <f t="shared" si="57"/>
        <v>315382.58134061407</v>
      </c>
      <c r="S153" s="44">
        <f t="shared" si="57"/>
        <v>319937.96922013885</v>
      </c>
      <c r="T153" s="44">
        <f t="shared" si="57"/>
        <v>298226.24134734547</v>
      </c>
      <c r="U153" s="44">
        <f t="shared" si="57"/>
        <v>326228.37276957388</v>
      </c>
      <c r="V153" s="44">
        <f t="shared" si="57"/>
        <v>309222.52720734035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111363.29711017608</v>
      </c>
      <c r="E154" s="43">
        <f t="shared" si="58"/>
        <v>126557.22322319902</v>
      </c>
      <c r="F154" s="43">
        <f t="shared" si="58"/>
        <v>125259.72411381538</v>
      </c>
      <c r="G154" s="43">
        <f t="shared" si="58"/>
        <v>119958.2301391129</v>
      </c>
      <c r="H154" s="43">
        <f t="shared" si="58"/>
        <v>135550.78170708026</v>
      </c>
      <c r="I154" s="43">
        <f t="shared" si="58"/>
        <v>148634.38925074867</v>
      </c>
      <c r="J154" s="43">
        <f t="shared" si="58"/>
        <v>157677.06284776024</v>
      </c>
      <c r="K154" s="43">
        <f t="shared" si="58"/>
        <v>174524.85549177532</v>
      </c>
      <c r="L154" s="43">
        <f t="shared" si="58"/>
        <v>179117.91843452962</v>
      </c>
      <c r="M154" s="43">
        <f t="shared" si="58"/>
        <v>212262.50103120372</v>
      </c>
      <c r="N154" s="43">
        <f t="shared" si="58"/>
        <v>213335.4094097648</v>
      </c>
      <c r="O154" s="43">
        <f t="shared" si="58"/>
        <v>218297.43569925087</v>
      </c>
      <c r="P154" s="43">
        <f t="shared" si="58"/>
        <v>239372.80233480548</v>
      </c>
      <c r="Q154" s="43">
        <f t="shared" si="58"/>
        <v>263274.6570916099</v>
      </c>
      <c r="R154" s="43">
        <f t="shared" si="58"/>
        <v>282460.57819123683</v>
      </c>
      <c r="S154" s="43">
        <f t="shared" si="58"/>
        <v>271438.84044545511</v>
      </c>
      <c r="T154" s="43">
        <f t="shared" si="58"/>
        <v>260145.01122387865</v>
      </c>
      <c r="U154" s="43">
        <f t="shared" si="58"/>
        <v>273741.81192111562</v>
      </c>
      <c r="V154" s="43">
        <f t="shared" si="58"/>
        <v>276409.41956844262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77.995110435880832</v>
      </c>
      <c r="E155" s="45">
        <f t="shared" si="59"/>
        <v>84.474791100733853</v>
      </c>
      <c r="F155" s="45">
        <f t="shared" si="59"/>
        <v>82.225392565613419</v>
      </c>
      <c r="G155" s="45">
        <f t="shared" si="59"/>
        <v>87.205439255281519</v>
      </c>
      <c r="H155" s="45">
        <f t="shared" si="59"/>
        <v>85.37083464179608</v>
      </c>
      <c r="I155" s="45">
        <f t="shared" si="59"/>
        <v>88.296629143305211</v>
      </c>
      <c r="J155" s="45">
        <f t="shared" si="59"/>
        <v>86.956651265553859</v>
      </c>
      <c r="K155" s="45">
        <f t="shared" si="59"/>
        <v>88.344826002156722</v>
      </c>
      <c r="L155" s="45">
        <f t="shared" si="59"/>
        <v>89.757838786207031</v>
      </c>
      <c r="M155" s="45">
        <f t="shared" si="59"/>
        <v>85.350469958784231</v>
      </c>
      <c r="N155" s="45">
        <f t="shared" si="59"/>
        <v>81.859426622289732</v>
      </c>
      <c r="O155" s="45">
        <f t="shared" si="59"/>
        <v>84.712836099916927</v>
      </c>
      <c r="P155" s="45">
        <f t="shared" si="59"/>
        <v>83.117239791750563</v>
      </c>
      <c r="Q155" s="45">
        <f t="shared" si="59"/>
        <v>84.305606343775494</v>
      </c>
      <c r="R155" s="45">
        <f t="shared" si="59"/>
        <v>84.477121977110059</v>
      </c>
      <c r="S155" s="45">
        <f t="shared" si="59"/>
        <v>86.999691175328579</v>
      </c>
      <c r="T155" s="45">
        <f t="shared" si="59"/>
        <v>88.327764031890638</v>
      </c>
      <c r="U155" s="45">
        <f t="shared" si="59"/>
        <v>89.483975447166316</v>
      </c>
      <c r="V155" s="45">
        <f t="shared" si="59"/>
        <v>90.670007384790935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customHeight="1" x14ac:dyDescent="0.2">
      <c r="C163" s="131"/>
      <c r="D163" s="155" t="s">
        <v>82</v>
      </c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</row>
    <row r="164" spans="2:22" x14ac:dyDescent="0.2">
      <c r="U164" s="29"/>
      <c r="V164" s="29"/>
    </row>
    <row r="165" spans="2:22" x14ac:dyDescent="0.2">
      <c r="B165" s="158"/>
      <c r="C165" s="159" t="s">
        <v>38</v>
      </c>
      <c r="D165" s="153" t="s">
        <v>1</v>
      </c>
      <c r="E165" s="153" t="s">
        <v>2</v>
      </c>
      <c r="F165" s="153" t="s">
        <v>3</v>
      </c>
      <c r="G165" s="153" t="s">
        <v>4</v>
      </c>
      <c r="H165" s="153">
        <v>2004</v>
      </c>
      <c r="I165" s="153" t="s">
        <v>5</v>
      </c>
      <c r="J165" s="153" t="s">
        <v>6</v>
      </c>
      <c r="K165" s="153" t="s">
        <v>7</v>
      </c>
      <c r="L165" s="153" t="s">
        <v>8</v>
      </c>
      <c r="M165" s="153" t="s">
        <v>9</v>
      </c>
      <c r="N165" s="153">
        <v>2010</v>
      </c>
      <c r="O165" s="153">
        <v>2011</v>
      </c>
      <c r="P165" s="153">
        <v>2012</v>
      </c>
      <c r="Q165" s="153">
        <v>2013</v>
      </c>
      <c r="R165" s="153">
        <v>2014</v>
      </c>
      <c r="S165" s="153">
        <v>2015</v>
      </c>
      <c r="T165" s="153">
        <v>2016</v>
      </c>
      <c r="U165" s="153">
        <v>2017</v>
      </c>
      <c r="V165" s="153">
        <v>2018</v>
      </c>
    </row>
    <row r="166" spans="2:22" ht="12" customHeight="1" thickBot="1" x14ac:dyDescent="0.25">
      <c r="B166" s="154"/>
      <c r="C166" s="160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84.103975218061052</v>
      </c>
      <c r="E167" s="46">
        <f t="shared" si="60"/>
        <v>92.211563585525965</v>
      </c>
      <c r="F167" s="46">
        <f t="shared" si="60"/>
        <v>90.957888048915009</v>
      </c>
      <c r="G167" s="46">
        <f t="shared" si="60"/>
        <v>92.168210010275629</v>
      </c>
      <c r="H167" s="46">
        <f t="shared" si="60"/>
        <v>90.815257461533065</v>
      </c>
      <c r="I167" s="46">
        <f t="shared" si="60"/>
        <v>93.272477922209745</v>
      </c>
      <c r="J167" s="46">
        <f t="shared" si="60"/>
        <v>93.229649421860998</v>
      </c>
      <c r="K167" s="46">
        <f t="shared" si="60"/>
        <v>94.17127736723198</v>
      </c>
      <c r="L167" s="46">
        <f t="shared" si="60"/>
        <v>94.123025105197698</v>
      </c>
      <c r="M167" s="46">
        <f t="shared" si="60"/>
        <v>89.928641593336295</v>
      </c>
      <c r="N167" s="46">
        <f t="shared" si="60"/>
        <v>84.869130525320941</v>
      </c>
      <c r="O167" s="46">
        <f t="shared" si="60"/>
        <v>90.500590591250869</v>
      </c>
      <c r="P167" s="46">
        <f t="shared" si="60"/>
        <v>89.001779730633885</v>
      </c>
      <c r="Q167" s="46">
        <f t="shared" si="60"/>
        <v>90.160705962389713</v>
      </c>
      <c r="R167" s="46">
        <f t="shared" si="60"/>
        <v>88.965582954051243</v>
      </c>
      <c r="S167" s="46">
        <f t="shared" si="60"/>
        <v>92.320473138139647</v>
      </c>
      <c r="T167" s="46">
        <f t="shared" si="60"/>
        <v>93.123509947562312</v>
      </c>
      <c r="U167" s="46">
        <f t="shared" si="60"/>
        <v>94.023791501673585</v>
      </c>
      <c r="V167" s="46">
        <f t="shared" si="60"/>
        <v>94.108413260149248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93.946929600218667</v>
      </c>
      <c r="E168" s="47">
        <f t="shared" si="61"/>
        <v>95.420317813694908</v>
      </c>
      <c r="F168" s="47">
        <f t="shared" si="61"/>
        <v>95.834692962030203</v>
      </c>
      <c r="G168" s="47">
        <f t="shared" si="61"/>
        <v>96.197098628657201</v>
      </c>
      <c r="H168" s="47">
        <f t="shared" si="61"/>
        <v>94.805799545430318</v>
      </c>
      <c r="I168" s="47">
        <f t="shared" si="61"/>
        <v>97.246159610922462</v>
      </c>
      <c r="J168" s="47">
        <f t="shared" si="61"/>
        <v>97.372358683072662</v>
      </c>
      <c r="K168" s="47">
        <f t="shared" si="61"/>
        <v>97.068740767498923</v>
      </c>
      <c r="L168" s="47">
        <f t="shared" si="61"/>
        <v>96.773031888877625</v>
      </c>
      <c r="M168" s="47">
        <f t="shared" si="61"/>
        <v>96.573247756067346</v>
      </c>
      <c r="N168" s="47">
        <f t="shared" si="61"/>
        <v>94.926349871609744</v>
      </c>
      <c r="O168" s="47">
        <f t="shared" si="61"/>
        <v>97.970037843847365</v>
      </c>
      <c r="P168" s="47">
        <f t="shared" si="61"/>
        <v>95.58961101151742</v>
      </c>
      <c r="Q168" s="47">
        <f t="shared" si="61"/>
        <v>95.39030446437144</v>
      </c>
      <c r="R168" s="47">
        <f t="shared" si="61"/>
        <v>93.98922460997089</v>
      </c>
      <c r="S168" s="47">
        <f t="shared" si="61"/>
        <v>94.794818592853218</v>
      </c>
      <c r="T168" s="47">
        <f t="shared" si="61"/>
        <v>96.371260868402089</v>
      </c>
      <c r="U168" s="47">
        <f t="shared" si="61"/>
        <v>96.991923114970533</v>
      </c>
      <c r="V168" s="47">
        <f t="shared" si="61"/>
        <v>96.492890445079325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62.049241461682392</v>
      </c>
      <c r="E169" s="47">
        <f t="shared" si="62"/>
        <v>74.589381338390268</v>
      </c>
      <c r="F169" s="47">
        <f t="shared" si="62"/>
        <v>65.895619768589938</v>
      </c>
      <c r="G169" s="47">
        <f t="shared" si="62"/>
        <v>69.169502962008195</v>
      </c>
      <c r="H169" s="47">
        <f t="shared" si="62"/>
        <v>61.0227110691443</v>
      </c>
      <c r="I169" s="47">
        <f t="shared" si="62"/>
        <v>63.678421182555823</v>
      </c>
      <c r="J169" s="47">
        <f t="shared" si="62"/>
        <v>71.121972617570606</v>
      </c>
      <c r="K169" s="47">
        <f t="shared" si="62"/>
        <v>83.347231856593311</v>
      </c>
      <c r="L169" s="47">
        <f t="shared" si="62"/>
        <v>85.93263064827849</v>
      </c>
      <c r="M169" s="47">
        <f t="shared" si="62"/>
        <v>81.546627270945876</v>
      </c>
      <c r="N169" s="47">
        <f t="shared" si="62"/>
        <v>83.710283432313219</v>
      </c>
      <c r="O169" s="47">
        <f t="shared" si="62"/>
        <v>83.069163923947485</v>
      </c>
      <c r="P169" s="47">
        <f t="shared" si="62"/>
        <v>82.566764304324394</v>
      </c>
      <c r="Q169" s="47">
        <f t="shared" si="62"/>
        <v>85.482138970657886</v>
      </c>
      <c r="R169" s="47">
        <f t="shared" si="62"/>
        <v>84.072058801258336</v>
      </c>
      <c r="S169" s="47">
        <f t="shared" si="62"/>
        <v>83.76000557110612</v>
      </c>
      <c r="T169" s="47">
        <f t="shared" si="62"/>
        <v>79.8564420819297</v>
      </c>
      <c r="U169" s="47">
        <f t="shared" si="62"/>
        <v>80.880486894157173</v>
      </c>
      <c r="V169" s="47">
        <f t="shared" si="62"/>
        <v>85.19507326585844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82.582894283204226</v>
      </c>
      <c r="E170" s="47">
        <f t="shared" si="63"/>
        <v>92.660432250008682</v>
      </c>
      <c r="F170" s="47">
        <f t="shared" si="63"/>
        <v>91.747731612327726</v>
      </c>
      <c r="G170" s="47">
        <f t="shared" si="63"/>
        <v>93.094774772227126</v>
      </c>
      <c r="H170" s="47">
        <f t="shared" si="63"/>
        <v>92.436124887360748</v>
      </c>
      <c r="I170" s="47">
        <f t="shared" si="63"/>
        <v>94.806521097413295</v>
      </c>
      <c r="J170" s="47">
        <f t="shared" si="63"/>
        <v>94.059506773517853</v>
      </c>
      <c r="K170" s="47">
        <f t="shared" si="63"/>
        <v>94.353248742661293</v>
      </c>
      <c r="L170" s="47">
        <f t="shared" si="63"/>
        <v>94.101493245540695</v>
      </c>
      <c r="M170" s="47">
        <f t="shared" si="63"/>
        <v>88.909439563895418</v>
      </c>
      <c r="N170" s="47">
        <f t="shared" si="63"/>
        <v>82.418982596477846</v>
      </c>
      <c r="O170" s="47">
        <f t="shared" si="63"/>
        <v>89.223718343104991</v>
      </c>
      <c r="P170" s="47">
        <f t="shared" si="63"/>
        <v>87.7788681933731</v>
      </c>
      <c r="Q170" s="47">
        <f t="shared" si="63"/>
        <v>89.143036194276007</v>
      </c>
      <c r="R170" s="47">
        <f t="shared" si="63"/>
        <v>87.99211693148041</v>
      </c>
      <c r="S170" s="47">
        <f t="shared" si="63"/>
        <v>92.371746355800354</v>
      </c>
      <c r="T170" s="47">
        <f t="shared" si="63"/>
        <v>93.320097538105642</v>
      </c>
      <c r="U170" s="47">
        <f t="shared" si="63"/>
        <v>94.208528728716445</v>
      </c>
      <c r="V170" s="47">
        <f t="shared" si="63"/>
        <v>94.11890613634462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43.135692616661636</v>
      </c>
      <c r="E171" s="47">
        <f t="shared" si="64"/>
        <v>49.789514989853892</v>
      </c>
      <c r="F171" s="47">
        <f t="shared" si="64"/>
        <v>54.798277761666078</v>
      </c>
      <c r="G171" s="47">
        <f t="shared" si="64"/>
        <v>35.623816442857425</v>
      </c>
      <c r="H171" s="47">
        <f t="shared" si="64"/>
        <v>67.826064067737803</v>
      </c>
      <c r="I171" s="47">
        <f t="shared" si="64"/>
        <v>59.551149323585065</v>
      </c>
      <c r="J171" s="47">
        <f t="shared" si="64"/>
        <v>80.864874567737303</v>
      </c>
      <c r="K171" s="47">
        <f t="shared" si="64"/>
        <v>77.183032333525929</v>
      </c>
      <c r="L171" s="47">
        <f t="shared" si="64"/>
        <v>93.111338722006309</v>
      </c>
      <c r="M171" s="47">
        <f t="shared" si="64"/>
        <v>85.427795867890453</v>
      </c>
      <c r="N171" s="47">
        <f t="shared" si="64"/>
        <v>86.637471642607906</v>
      </c>
      <c r="O171" s="47">
        <f t="shared" si="64"/>
        <v>32.321540782634969</v>
      </c>
      <c r="P171" s="47">
        <f t="shared" si="64"/>
        <v>87.275451391874967</v>
      </c>
      <c r="Q171" s="47">
        <f t="shared" si="64"/>
        <v>83.820322722136027</v>
      </c>
      <c r="R171" s="47">
        <f t="shared" si="64"/>
        <v>91.013256260847825</v>
      </c>
      <c r="S171" s="47">
        <f t="shared" si="64"/>
        <v>75.072695105051395</v>
      </c>
      <c r="T171" s="47">
        <f t="shared" si="64"/>
        <v>77.886322441278224</v>
      </c>
      <c r="U171" s="47">
        <f t="shared" si="64"/>
        <v>71.305126839778239</v>
      </c>
      <c r="V171" s="47">
        <f t="shared" si="64"/>
        <v>66.313734404608098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93.781049295227575</v>
      </c>
      <c r="E172" s="46">
        <f t="shared" si="65"/>
        <v>95.464425982834342</v>
      </c>
      <c r="F172" s="46">
        <f t="shared" si="65"/>
        <v>94.505682792375666</v>
      </c>
      <c r="G172" s="46">
        <f t="shared" si="65"/>
        <v>93.246114551835831</v>
      </c>
      <c r="H172" s="46">
        <f t="shared" si="65"/>
        <v>88.803421516639929</v>
      </c>
      <c r="I172" s="46">
        <f t="shared" si="65"/>
        <v>95.093642712760825</v>
      </c>
      <c r="J172" s="46">
        <f t="shared" si="65"/>
        <v>92.279225504785913</v>
      </c>
      <c r="K172" s="46">
        <f t="shared" si="65"/>
        <v>92.770238413068455</v>
      </c>
      <c r="L172" s="46">
        <f t="shared" si="65"/>
        <v>88.726633775816637</v>
      </c>
      <c r="M172" s="46">
        <f t="shared" si="65"/>
        <v>85.619519306227801</v>
      </c>
      <c r="N172" s="46">
        <f t="shared" si="65"/>
        <v>78.941204808407093</v>
      </c>
      <c r="O172" s="46">
        <f t="shared" si="65"/>
        <v>93.175715659235223</v>
      </c>
      <c r="P172" s="46">
        <f t="shared" si="65"/>
        <v>99.281676160306588</v>
      </c>
      <c r="Q172" s="46">
        <f t="shared" si="65"/>
        <v>83.621612866424258</v>
      </c>
      <c r="R172" s="46">
        <f t="shared" si="65"/>
        <v>95.964650242899125</v>
      </c>
      <c r="S172" s="46">
        <f t="shared" si="65"/>
        <v>97.488338216572629</v>
      </c>
      <c r="T172" s="46">
        <f t="shared" si="65"/>
        <v>84.705646435075906</v>
      </c>
      <c r="U172" s="46">
        <f t="shared" si="65"/>
        <v>97.783819180810028</v>
      </c>
      <c r="V172" s="46">
        <f t="shared" si="65"/>
        <v>75.901266755676971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96.198989813074206</v>
      </c>
      <c r="E173" s="46">
        <f t="shared" si="66"/>
        <v>96.475945599188066</v>
      </c>
      <c r="F173" s="46">
        <f t="shared" si="66"/>
        <v>96.554408155587566</v>
      </c>
      <c r="G173" s="46">
        <f t="shared" si="66"/>
        <v>90.582315563965892</v>
      </c>
      <c r="H173" s="46">
        <f t="shared" si="66"/>
        <v>77.740346208128969</v>
      </c>
      <c r="I173" s="46">
        <f t="shared" si="66"/>
        <v>92.422462767896107</v>
      </c>
      <c r="J173" s="46">
        <f t="shared" si="66"/>
        <v>82.741864731394529</v>
      </c>
      <c r="K173" s="46">
        <f t="shared" si="66"/>
        <v>88.758275931588997</v>
      </c>
      <c r="L173" s="46">
        <f t="shared" si="66"/>
        <v>82.567002503368144</v>
      </c>
      <c r="M173" s="46">
        <f t="shared" si="66"/>
        <v>76.053508081821278</v>
      </c>
      <c r="N173" s="46">
        <f t="shared" si="66"/>
        <v>75.829422316973535</v>
      </c>
      <c r="O173" s="46">
        <f t="shared" si="66"/>
        <v>76.814730054173623</v>
      </c>
      <c r="P173" s="46">
        <f t="shared" si="66"/>
        <v>98.666781169988141</v>
      </c>
      <c r="Q173" s="46">
        <f t="shared" si="66"/>
        <v>90.585785410277452</v>
      </c>
      <c r="R173" s="46">
        <f t="shared" si="66"/>
        <v>91.585464098950084</v>
      </c>
      <c r="S173" s="46">
        <f t="shared" si="66"/>
        <v>97.494543602186184</v>
      </c>
      <c r="T173" s="46">
        <f t="shared" si="66"/>
        <v>95.719919508910493</v>
      </c>
      <c r="U173" s="46">
        <f t="shared" si="66"/>
        <v>97.003269744020542</v>
      </c>
      <c r="V173" s="46">
        <f t="shared" si="66"/>
        <v>85.895680396572388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96.19157938694471</v>
      </c>
      <c r="E174" s="47">
        <f t="shared" si="67"/>
        <v>96.730291822546747</v>
      </c>
      <c r="F174" s="47">
        <f t="shared" si="67"/>
        <v>97.074440552782761</v>
      </c>
      <c r="G174" s="47">
        <f t="shared" si="67"/>
        <v>95.387749955912426</v>
      </c>
      <c r="H174" s="47">
        <f t="shared" si="67"/>
        <v>83.847310253293756</v>
      </c>
      <c r="I174" s="47">
        <f t="shared" si="67"/>
        <v>95.588838091775614</v>
      </c>
      <c r="J174" s="47">
        <f t="shared" si="67"/>
        <v>87.034933659483173</v>
      </c>
      <c r="K174" s="47">
        <f t="shared" si="67"/>
        <v>89.778217858396289</v>
      </c>
      <c r="L174" s="47">
        <f t="shared" si="67"/>
        <v>81.654464231150186</v>
      </c>
      <c r="M174" s="47">
        <f t="shared" si="67"/>
        <v>80.791488557833844</v>
      </c>
      <c r="N174" s="47">
        <f t="shared" si="67"/>
        <v>84.50683065399059</v>
      </c>
      <c r="O174" s="47">
        <f t="shared" si="67"/>
        <v>72.392791754302294</v>
      </c>
      <c r="P174" s="47">
        <f t="shared" si="67"/>
        <v>99.972607949259171</v>
      </c>
      <c r="Q174" s="47">
        <f t="shared" si="67"/>
        <v>96.233632350553137</v>
      </c>
      <c r="R174" s="47">
        <f t="shared" si="67"/>
        <v>95.647656136918741</v>
      </c>
      <c r="S174" s="47">
        <f t="shared" si="67"/>
        <v>98.292365979621991</v>
      </c>
      <c r="T174" s="47">
        <f t="shared" si="67"/>
        <v>96.016320348965735</v>
      </c>
      <c r="U174" s="47">
        <f t="shared" si="67"/>
        <v>97.185664731607289</v>
      </c>
      <c r="V174" s="47">
        <f t="shared" si="67"/>
        <v>96.431337057915329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96.206593740873586</v>
      </c>
      <c r="E175" s="47">
        <f t="shared" si="68"/>
        <v>96.148113348520326</v>
      </c>
      <c r="F175" s="47">
        <f t="shared" si="68"/>
        <v>95.789021336607078</v>
      </c>
      <c r="G175" s="47">
        <f t="shared" si="68"/>
        <v>83.591181282804826</v>
      </c>
      <c r="H175" s="47">
        <f t="shared" si="68"/>
        <v>72.208784412587946</v>
      </c>
      <c r="I175" s="47">
        <f t="shared" si="68"/>
        <v>86.436605115464147</v>
      </c>
      <c r="J175" s="47">
        <f t="shared" si="68"/>
        <v>78.26519770771759</v>
      </c>
      <c r="K175" s="47">
        <f t="shared" si="68"/>
        <v>87.808229427853959</v>
      </c>
      <c r="L175" s="47">
        <f t="shared" si="68"/>
        <v>83.49594283069105</v>
      </c>
      <c r="M175" s="47">
        <f t="shared" si="68"/>
        <v>72.737561631635472</v>
      </c>
      <c r="N175" s="47">
        <f t="shared" si="68"/>
        <v>68.730004685953375</v>
      </c>
      <c r="O175" s="47">
        <f t="shared" si="68"/>
        <v>80.151529236555206</v>
      </c>
      <c r="P175" s="47">
        <f t="shared" si="68"/>
        <v>97.267509218108927</v>
      </c>
      <c r="Q175" s="47">
        <f t="shared" si="68"/>
        <v>86.500648773277035</v>
      </c>
      <c r="R175" s="47">
        <f t="shared" si="68"/>
        <v>86.558979126753727</v>
      </c>
      <c r="S175" s="47">
        <f t="shared" si="68"/>
        <v>96.535674168378478</v>
      </c>
      <c r="T175" s="47">
        <f t="shared" si="68"/>
        <v>95.547664192381021</v>
      </c>
      <c r="U175" s="47">
        <f t="shared" si="68"/>
        <v>96.78275665260982</v>
      </c>
      <c r="V175" s="47">
        <f t="shared" si="68"/>
        <v>81.896618647176751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92.694343859089187</v>
      </c>
      <c r="E176" s="46">
        <f t="shared" si="69"/>
        <v>94.868776188129473</v>
      </c>
      <c r="F176" s="46">
        <f t="shared" si="69"/>
        <v>93.035589016434812</v>
      </c>
      <c r="G176" s="46">
        <f t="shared" si="69"/>
        <v>95.787221766152186</v>
      </c>
      <c r="H176" s="46">
        <f t="shared" si="69"/>
        <v>94.754946292863679</v>
      </c>
      <c r="I176" s="46">
        <f t="shared" si="69"/>
        <v>96.989851767550448</v>
      </c>
      <c r="J176" s="46">
        <f t="shared" si="69"/>
        <v>95.856434706379233</v>
      </c>
      <c r="K176" s="46">
        <f t="shared" si="69"/>
        <v>93.749664464033714</v>
      </c>
      <c r="L176" s="46">
        <f t="shared" si="69"/>
        <v>90.37064357793939</v>
      </c>
      <c r="M176" s="46">
        <f t="shared" si="69"/>
        <v>88.369589594037734</v>
      </c>
      <c r="N176" s="46">
        <f t="shared" si="69"/>
        <v>79.799115475464092</v>
      </c>
      <c r="O176" s="46">
        <f t="shared" si="69"/>
        <v>97.260848634677259</v>
      </c>
      <c r="P176" s="46">
        <f t="shared" si="69"/>
        <v>99.416846635365204</v>
      </c>
      <c r="Q176" s="46">
        <f t="shared" si="69"/>
        <v>82.309922915353425</v>
      </c>
      <c r="R176" s="46">
        <f t="shared" si="69"/>
        <v>97.200336065691133</v>
      </c>
      <c r="S176" s="46">
        <f t="shared" si="69"/>
        <v>97.486409671854048</v>
      </c>
      <c r="T176" s="46">
        <f t="shared" si="69"/>
        <v>81.826980109359454</v>
      </c>
      <c r="U176" s="46">
        <f t="shared" si="69"/>
        <v>98.099679084406858</v>
      </c>
      <c r="V176" s="46">
        <f t="shared" si="69"/>
        <v>72.86268390119811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93.942796411380186</v>
      </c>
      <c r="E177" s="47">
        <f t="shared" si="70"/>
        <v>93.186872567463141</v>
      </c>
      <c r="F177" s="47">
        <f t="shared" si="70"/>
        <v>89.841658119520403</v>
      </c>
      <c r="G177" s="47">
        <f t="shared" si="70"/>
        <v>98.168759683514267</v>
      </c>
      <c r="H177" s="47">
        <f t="shared" si="70"/>
        <v>96.825972395658894</v>
      </c>
      <c r="I177" s="47">
        <f t="shared" si="70"/>
        <v>98.411048795199221</v>
      </c>
      <c r="J177" s="47">
        <f t="shared" si="70"/>
        <v>96.681153494385697</v>
      </c>
      <c r="K177" s="47">
        <f t="shared" si="70"/>
        <v>92.691548780812695</v>
      </c>
      <c r="L177" s="47">
        <f t="shared" si="70"/>
        <v>86.739612993999941</v>
      </c>
      <c r="M177" s="47">
        <f t="shared" si="70"/>
        <v>84.002422191508757</v>
      </c>
      <c r="N177" s="47">
        <f t="shared" si="70"/>
        <v>75.15627415025935</v>
      </c>
      <c r="O177" s="47">
        <f t="shared" si="70"/>
        <v>96.203523666727335</v>
      </c>
      <c r="P177" s="47">
        <f t="shared" si="70"/>
        <v>99.158510262807056</v>
      </c>
      <c r="Q177" s="47">
        <f t="shared" si="70"/>
        <v>78.083374762535001</v>
      </c>
      <c r="R177" s="47">
        <f t="shared" si="70"/>
        <v>96.987061443767146</v>
      </c>
      <c r="S177" s="47">
        <f t="shared" si="70"/>
        <v>99.357688562808406</v>
      </c>
      <c r="T177" s="47">
        <f t="shared" si="70"/>
        <v>69.59247954407229</v>
      </c>
      <c r="U177" s="47">
        <f t="shared" si="70"/>
        <v>99.756125829008383</v>
      </c>
      <c r="V177" s="47">
        <f t="shared" si="70"/>
        <v>50.126506666459669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91.102366925648539</v>
      </c>
      <c r="E178" s="47">
        <f t="shared" si="71"/>
        <v>97.66618667553837</v>
      </c>
      <c r="F178" s="47">
        <f t="shared" si="71"/>
        <v>97.976535886517127</v>
      </c>
      <c r="G178" s="47">
        <f t="shared" si="71"/>
        <v>93.300677322914254</v>
      </c>
      <c r="H178" s="47">
        <f t="shared" si="71"/>
        <v>92.178271596411264</v>
      </c>
      <c r="I178" s="47">
        <f t="shared" si="71"/>
        <v>95.440733389813332</v>
      </c>
      <c r="J178" s="47">
        <f t="shared" si="71"/>
        <v>94.594246252874797</v>
      </c>
      <c r="K178" s="47">
        <f t="shared" si="71"/>
        <v>95.371861823073431</v>
      </c>
      <c r="L178" s="47">
        <f t="shared" si="71"/>
        <v>95.936528259526796</v>
      </c>
      <c r="M178" s="47">
        <f t="shared" si="71"/>
        <v>93.881856277093746</v>
      </c>
      <c r="N178" s="47">
        <f t="shared" si="71"/>
        <v>86.231241970274596</v>
      </c>
      <c r="O178" s="47">
        <f t="shared" si="71"/>
        <v>98.431515785492365</v>
      </c>
      <c r="P178" s="47">
        <f t="shared" si="71"/>
        <v>99.743714906886652</v>
      </c>
      <c r="Q178" s="47">
        <f t="shared" si="71"/>
        <v>88.880626847447616</v>
      </c>
      <c r="R178" s="47">
        <f t="shared" si="71"/>
        <v>97.468255830619796</v>
      </c>
      <c r="S178" s="47">
        <f t="shared" si="71"/>
        <v>95.014147923672553</v>
      </c>
      <c r="T178" s="47">
        <f t="shared" si="71"/>
        <v>96.071361489449629</v>
      </c>
      <c r="U178" s="47">
        <f t="shared" si="71"/>
        <v>96.567737153299746</v>
      </c>
      <c r="V178" s="47">
        <f t="shared" si="71"/>
        <v>90.612033527115145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49.518796976516306</v>
      </c>
      <c r="E179" s="46">
        <f t="shared" si="72"/>
        <v>59.611200935830155</v>
      </c>
      <c r="F179" s="46">
        <f t="shared" si="72"/>
        <v>46.970355820624256</v>
      </c>
      <c r="G179" s="46">
        <f t="shared" si="72"/>
        <v>60.898613511666902</v>
      </c>
      <c r="H179" s="46">
        <f t="shared" si="72"/>
        <v>58.614949680972337</v>
      </c>
      <c r="I179" s="46">
        <f t="shared" si="72"/>
        <v>63.866228077868456</v>
      </c>
      <c r="J179" s="46">
        <f t="shared" si="72"/>
        <v>58.201276219852168</v>
      </c>
      <c r="K179" s="46">
        <f t="shared" si="72"/>
        <v>68.800021416312703</v>
      </c>
      <c r="L179" s="46">
        <f t="shared" si="72"/>
        <v>73.238123681284733</v>
      </c>
      <c r="M179" s="46">
        <f t="shared" si="72"/>
        <v>71.808440762541821</v>
      </c>
      <c r="N179" s="46">
        <f t="shared" si="72"/>
        <v>68.787668702205451</v>
      </c>
      <c r="O179" s="46">
        <f t="shared" si="72"/>
        <v>66.636864632228651</v>
      </c>
      <c r="P179" s="46">
        <f t="shared" si="72"/>
        <v>66.140001945763331</v>
      </c>
      <c r="Q179" s="46">
        <f t="shared" si="72"/>
        <v>68.237607228302977</v>
      </c>
      <c r="R179" s="46">
        <f t="shared" si="72"/>
        <v>72.142620167932236</v>
      </c>
      <c r="S179" s="46">
        <f t="shared" si="72"/>
        <v>72.450871376606244</v>
      </c>
      <c r="T179" s="46">
        <f t="shared" si="72"/>
        <v>71.538721199321969</v>
      </c>
      <c r="U179" s="46">
        <f t="shared" si="72"/>
        <v>70.439284678588749</v>
      </c>
      <c r="V179" s="46">
        <f t="shared" si="72"/>
        <v>75.046546211201274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77.995110435880832</v>
      </c>
      <c r="E180" s="48">
        <f t="shared" si="73"/>
        <v>84.474791100733853</v>
      </c>
      <c r="F180" s="48">
        <f t="shared" si="73"/>
        <v>82.225392565613419</v>
      </c>
      <c r="G180" s="48">
        <f t="shared" si="73"/>
        <v>87.205439255281519</v>
      </c>
      <c r="H180" s="48">
        <f t="shared" si="73"/>
        <v>85.37083464179608</v>
      </c>
      <c r="I180" s="48">
        <f t="shared" si="73"/>
        <v>88.296629143305211</v>
      </c>
      <c r="J180" s="48">
        <f t="shared" si="73"/>
        <v>86.956651265553859</v>
      </c>
      <c r="K180" s="48">
        <f t="shared" si="73"/>
        <v>88.344826002156722</v>
      </c>
      <c r="L180" s="48">
        <f t="shared" si="73"/>
        <v>89.757838786207031</v>
      </c>
      <c r="M180" s="48">
        <f t="shared" si="73"/>
        <v>85.350469958784231</v>
      </c>
      <c r="N180" s="48">
        <f t="shared" si="73"/>
        <v>81.859426622289732</v>
      </c>
      <c r="O180" s="48">
        <f t="shared" si="73"/>
        <v>84.712836099916927</v>
      </c>
      <c r="P180" s="48">
        <f t="shared" si="73"/>
        <v>83.117239791750563</v>
      </c>
      <c r="Q180" s="48">
        <f t="shared" si="73"/>
        <v>84.305606343775494</v>
      </c>
      <c r="R180" s="48">
        <f t="shared" si="73"/>
        <v>84.477121977110059</v>
      </c>
      <c r="S180" s="48">
        <f t="shared" si="73"/>
        <v>86.999691175328579</v>
      </c>
      <c r="T180" s="48">
        <f t="shared" si="73"/>
        <v>88.327764031890638</v>
      </c>
      <c r="U180" s="48">
        <f t="shared" si="73"/>
        <v>89.483975447166316</v>
      </c>
      <c r="V180" s="48">
        <f t="shared" si="73"/>
        <v>90.670007384790935</v>
      </c>
    </row>
    <row r="181" spans="2:22" x14ac:dyDescent="0.2">
      <c r="B181" s="38" t="s">
        <v>49</v>
      </c>
      <c r="C181" s="66" t="s">
        <v>63</v>
      </c>
      <c r="D181" s="45">
        <f t="shared" ref="D181:V181" si="74">+IFERROR(IF(D153&gt;0,+((D153/D28)*100)," "),"")</f>
        <v>83.609578313762682</v>
      </c>
      <c r="E181" s="45">
        <f t="shared" si="74"/>
        <v>88.530442217788064</v>
      </c>
      <c r="F181" s="45">
        <f t="shared" si="74"/>
        <v>86.794920125618546</v>
      </c>
      <c r="G181" s="45">
        <f t="shared" si="74"/>
        <v>89.675659053647735</v>
      </c>
      <c r="H181" s="45">
        <f t="shared" si="74"/>
        <v>86.618124851174827</v>
      </c>
      <c r="I181" s="45">
        <f t="shared" si="74"/>
        <v>90.798936264634349</v>
      </c>
      <c r="J181" s="45">
        <f t="shared" si="74"/>
        <v>89.050550459458989</v>
      </c>
      <c r="K181" s="45">
        <f t="shared" si="74"/>
        <v>89.933275221928952</v>
      </c>
      <c r="L181" s="45">
        <f t="shared" si="74"/>
        <v>89.413615803986119</v>
      </c>
      <c r="M181" s="45">
        <f t="shared" si="74"/>
        <v>85.426622725854031</v>
      </c>
      <c r="N181" s="45">
        <f t="shared" si="74"/>
        <v>81.010694961041878</v>
      </c>
      <c r="O181" s="45">
        <f t="shared" si="74"/>
        <v>86.864030915740969</v>
      </c>
      <c r="P181" s="45">
        <f t="shared" si="74"/>
        <v>86.979787080972088</v>
      </c>
      <c r="Q181" s="45">
        <f t="shared" si="74"/>
        <v>84.131078618275794</v>
      </c>
      <c r="R181" s="45">
        <f t="shared" si="74"/>
        <v>87.012480977361818</v>
      </c>
      <c r="S181" s="45">
        <f t="shared" si="74"/>
        <v>89.522055350808856</v>
      </c>
      <c r="T181" s="45">
        <f t="shared" si="74"/>
        <v>87.469327878080506</v>
      </c>
      <c r="U181" s="45">
        <f t="shared" si="74"/>
        <v>91.417085350407731</v>
      </c>
      <c r="V181" s="45">
        <f t="shared" si="74"/>
        <v>87.44542495937057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C165:C166"/>
    <mergeCell ref="K38:K39"/>
    <mergeCell ref="K87:K88"/>
    <mergeCell ref="M87:M88"/>
    <mergeCell ref="H87:H88"/>
    <mergeCell ref="D2:V2"/>
    <mergeCell ref="B113:B114"/>
    <mergeCell ref="D113:D114"/>
    <mergeCell ref="A5:C6"/>
    <mergeCell ref="N113:N114"/>
    <mergeCell ref="S165:S166"/>
    <mergeCell ref="P113:P114"/>
    <mergeCell ref="K64:K65"/>
    <mergeCell ref="O6:O7"/>
    <mergeCell ref="M64:M65"/>
    <mergeCell ref="D4:V4"/>
    <mergeCell ref="N165:N166"/>
    <mergeCell ref="I113:I114"/>
    <mergeCell ref="K113:K114"/>
    <mergeCell ref="H6:H7"/>
    <mergeCell ref="F12:F13"/>
    <mergeCell ref="M113:M114"/>
    <mergeCell ref="J6:J7"/>
    <mergeCell ref="H64:H65"/>
    <mergeCell ref="V6:V7"/>
    <mergeCell ref="O113:O114"/>
    <mergeCell ref="Q113:Q114"/>
    <mergeCell ref="L64:L65"/>
    <mergeCell ref="Q165:Q166"/>
    <mergeCell ref="I12:I13"/>
    <mergeCell ref="N64:N65"/>
    <mergeCell ref="I165:I166"/>
    <mergeCell ref="K12:K13"/>
    <mergeCell ref="M6:M7"/>
    <mergeCell ref="K165:K166"/>
    <mergeCell ref="J12:J13"/>
    <mergeCell ref="D62:V63"/>
    <mergeCell ref="P6:P7"/>
    <mergeCell ref="R6:R7"/>
    <mergeCell ref="E137:E138"/>
    <mergeCell ref="G137:G138"/>
    <mergeCell ref="E87:E88"/>
    <mergeCell ref="S137:S138"/>
    <mergeCell ref="Q38:Q39"/>
    <mergeCell ref="G87:G88"/>
    <mergeCell ref="S38:S39"/>
    <mergeCell ref="R12:R13"/>
    <mergeCell ref="B37:V37"/>
    <mergeCell ref="E6:E7"/>
    <mergeCell ref="U12:U13"/>
    <mergeCell ref="Q137:Q138"/>
    <mergeCell ref="D10:V10"/>
    <mergeCell ref="I137:I138"/>
    <mergeCell ref="K137:K138"/>
    <mergeCell ref="C38:C39"/>
    <mergeCell ref="U38:U39"/>
    <mergeCell ref="M38:M39"/>
    <mergeCell ref="D135:V135"/>
    <mergeCell ref="H113:H114"/>
    <mergeCell ref="O38:O39"/>
    <mergeCell ref="C12:C13"/>
    <mergeCell ref="G6:G7"/>
    <mergeCell ref="R113:R114"/>
    <mergeCell ref="M12:M13"/>
    <mergeCell ref="O12:O13"/>
    <mergeCell ref="T113:T114"/>
    <mergeCell ref="Q6:Q7"/>
    <mergeCell ref="O64:O65"/>
    <mergeCell ref="U87:U88"/>
    <mergeCell ref="S6:S7"/>
    <mergeCell ref="V113:V114"/>
    <mergeCell ref="C87:C88"/>
    <mergeCell ref="H165:H166"/>
    <mergeCell ref="C64:C65"/>
    <mergeCell ref="F87:F88"/>
    <mergeCell ref="O87:O88"/>
    <mergeCell ref="Q87:Q88"/>
    <mergeCell ref="B86:V86"/>
    <mergeCell ref="L165:L166"/>
    <mergeCell ref="B38:B39"/>
    <mergeCell ref="B137:B138"/>
    <mergeCell ref="D137:D138"/>
    <mergeCell ref="N137:N138"/>
    <mergeCell ref="B87:B88"/>
    <mergeCell ref="P137:P138"/>
    <mergeCell ref="F38:F39"/>
    <mergeCell ref="N87:N88"/>
    <mergeCell ref="I64:I65"/>
    <mergeCell ref="B136:V136"/>
    <mergeCell ref="E165:E166"/>
    <mergeCell ref="G38:G39"/>
    <mergeCell ref="J87:J88"/>
    <mergeCell ref="L87:L88"/>
    <mergeCell ref="V87:V88"/>
    <mergeCell ref="F113:F114"/>
    <mergeCell ref="U165:U166"/>
    <mergeCell ref="D165:D166"/>
    <mergeCell ref="F165:F166"/>
    <mergeCell ref="S64:S65"/>
    <mergeCell ref="D36:V36"/>
    <mergeCell ref="P12:P13"/>
    <mergeCell ref="L6:L7"/>
    <mergeCell ref="P87:P88"/>
    <mergeCell ref="I38:I39"/>
    <mergeCell ref="N6:N7"/>
    <mergeCell ref="V12:V13"/>
    <mergeCell ref="S113:S114"/>
    <mergeCell ref="U113:U114"/>
    <mergeCell ref="P64:P65"/>
    <mergeCell ref="R64:R65"/>
    <mergeCell ref="J64:J65"/>
    <mergeCell ref="G165:G166"/>
    <mergeCell ref="V64:V65"/>
    <mergeCell ref="L137:L138"/>
    <mergeCell ref="V38:V39"/>
    <mergeCell ref="M137:M138"/>
    <mergeCell ref="O137:O138"/>
    <mergeCell ref="P165:P166"/>
    <mergeCell ref="H12:H13"/>
    <mergeCell ref="R165:R166"/>
    <mergeCell ref="A7:C7"/>
    <mergeCell ref="P38:P39"/>
    <mergeCell ref="R38:R39"/>
    <mergeCell ref="C113:C114"/>
    <mergeCell ref="H38:H39"/>
    <mergeCell ref="J38:J39"/>
    <mergeCell ref="R87:R88"/>
    <mergeCell ref="U64:U65"/>
    <mergeCell ref="T6:T7"/>
    <mergeCell ref="D6:D7"/>
    <mergeCell ref="F6:F7"/>
    <mergeCell ref="I6:I7"/>
    <mergeCell ref="K6:K7"/>
    <mergeCell ref="Q12:Q13"/>
    <mergeCell ref="S12:S13"/>
    <mergeCell ref="U6:U7"/>
    <mergeCell ref="T38:T39"/>
    <mergeCell ref="I87:I88"/>
    <mergeCell ref="D85:V85"/>
    <mergeCell ref="J113:J114"/>
    <mergeCell ref="L113:L114"/>
    <mergeCell ref="G64:G65"/>
    <mergeCell ref="D12:D13"/>
    <mergeCell ref="S87:S88"/>
    <mergeCell ref="D87:D88"/>
    <mergeCell ref="J137:J138"/>
    <mergeCell ref="V137:V138"/>
    <mergeCell ref="E113:E114"/>
    <mergeCell ref="L38:L39"/>
    <mergeCell ref="G113:G114"/>
    <mergeCell ref="N38:N39"/>
    <mergeCell ref="B64:B65"/>
    <mergeCell ref="D64:D65"/>
    <mergeCell ref="F64:F65"/>
    <mergeCell ref="D38:D39"/>
    <mergeCell ref="R137:R138"/>
    <mergeCell ref="T137:T138"/>
    <mergeCell ref="E12:E13"/>
    <mergeCell ref="G12:G13"/>
    <mergeCell ref="J165:J166"/>
    <mergeCell ref="C137:C138"/>
    <mergeCell ref="B12:B13"/>
    <mergeCell ref="B11:V11"/>
    <mergeCell ref="B165:B166"/>
    <mergeCell ref="T165:T166"/>
    <mergeCell ref="L12:L13"/>
    <mergeCell ref="Q64:Q65"/>
    <mergeCell ref="V165:V166"/>
    <mergeCell ref="N12:N13"/>
    <mergeCell ref="T87:T88"/>
    <mergeCell ref="T12:T13"/>
    <mergeCell ref="T64:T65"/>
    <mergeCell ref="M165:M166"/>
    <mergeCell ref="D163:V163"/>
    <mergeCell ref="O165:O166"/>
    <mergeCell ref="E64:E65"/>
    <mergeCell ref="E38:E39"/>
    <mergeCell ref="D111:V111"/>
    <mergeCell ref="U137:U138"/>
    <mergeCell ref="F137:F138"/>
    <mergeCell ref="H137:H138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X182"/>
  <sheetViews>
    <sheetView showGridLines="0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34" width="11.42578125" style="3" customWidth="1"/>
    <col min="35" max="16384" width="11.42578125" style="3"/>
  </cols>
  <sheetData>
    <row r="1" spans="1:24" ht="16.5" customHeight="1" x14ac:dyDescent="0.2"/>
    <row r="2" spans="1:24" s="98" customFormat="1" ht="16.5" customHeight="1" x14ac:dyDescent="0.25">
      <c r="A2" s="120"/>
      <c r="D2" s="163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34"/>
      <c r="X2" s="134"/>
    </row>
    <row r="3" spans="1:24" s="98" customFormat="1" ht="16.5" customHeight="1" x14ac:dyDescent="0.25">
      <c r="A3" s="99"/>
    </row>
    <row r="4" spans="1:24" s="98" customFormat="1" ht="15" customHeight="1" x14ac:dyDescent="0.25">
      <c r="A4" s="99"/>
      <c r="D4" s="16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4" s="98" customFormat="1" ht="15" customHeight="1" x14ac:dyDescent="0.25">
      <c r="A5" s="165" t="s">
        <v>15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4" s="98" customFormat="1" ht="15" customHeight="1" x14ac:dyDescent="0.25">
      <c r="A6" s="152"/>
      <c r="B6" s="152"/>
      <c r="C6" s="152"/>
      <c r="D6" s="151" t="s">
        <v>1</v>
      </c>
      <c r="E6" s="151" t="s">
        <v>2</v>
      </c>
      <c r="F6" s="151" t="s">
        <v>3</v>
      </c>
      <c r="G6" s="151" t="s">
        <v>4</v>
      </c>
      <c r="H6" s="151">
        <v>2004</v>
      </c>
      <c r="I6" s="151" t="s">
        <v>5</v>
      </c>
      <c r="J6" s="151" t="s">
        <v>6</v>
      </c>
      <c r="K6" s="151" t="s">
        <v>7</v>
      </c>
      <c r="L6" s="151" t="s">
        <v>8</v>
      </c>
      <c r="M6" s="151" t="s">
        <v>9</v>
      </c>
      <c r="N6" s="151">
        <v>2010</v>
      </c>
      <c r="O6" s="151">
        <v>2011</v>
      </c>
      <c r="P6" s="151">
        <v>2012</v>
      </c>
      <c r="Q6" s="151">
        <v>2013</v>
      </c>
      <c r="R6" s="151">
        <v>2014</v>
      </c>
      <c r="S6" s="151">
        <v>2015</v>
      </c>
      <c r="T6" s="151">
        <v>2016</v>
      </c>
      <c r="U6" s="151">
        <v>2017</v>
      </c>
      <c r="V6" s="151">
        <v>2018</v>
      </c>
    </row>
    <row r="7" spans="1:24" s="98" customFormat="1" ht="1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4" s="98" customFormat="1" ht="15" customHeight="1" x14ac:dyDescent="0.25">
      <c r="A8" s="99"/>
    </row>
    <row r="10" spans="1:24" ht="16.5" customHeight="1" x14ac:dyDescent="0.2">
      <c r="C10" s="131"/>
      <c r="D10" s="155" t="s">
        <v>83</v>
      </c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24" ht="15.75" customHeight="1" x14ac:dyDescent="0.2">
      <c r="B11" s="157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24" x14ac:dyDescent="0.2">
      <c r="B12" s="158"/>
      <c r="C12" s="159" t="s">
        <v>38</v>
      </c>
      <c r="D12" s="153" t="s">
        <v>1</v>
      </c>
      <c r="E12" s="153" t="s">
        <v>2</v>
      </c>
      <c r="F12" s="153" t="s">
        <v>3</v>
      </c>
      <c r="G12" s="153" t="s">
        <v>4</v>
      </c>
      <c r="H12" s="153">
        <v>2004</v>
      </c>
      <c r="I12" s="153" t="s">
        <v>5</v>
      </c>
      <c r="J12" s="153" t="s">
        <v>6</v>
      </c>
      <c r="K12" s="153" t="s">
        <v>7</v>
      </c>
      <c r="L12" s="153" t="s">
        <v>8</v>
      </c>
      <c r="M12" s="153" t="s">
        <v>9</v>
      </c>
      <c r="N12" s="153">
        <v>2010</v>
      </c>
      <c r="O12" s="153">
        <v>2011</v>
      </c>
      <c r="P12" s="153">
        <v>2012</v>
      </c>
      <c r="Q12" s="153">
        <v>2013</v>
      </c>
      <c r="R12" s="153">
        <v>2014</v>
      </c>
      <c r="S12" s="153">
        <v>2015</v>
      </c>
      <c r="T12" s="153">
        <v>2016</v>
      </c>
      <c r="U12" s="153">
        <v>2017</v>
      </c>
      <c r="V12" s="153">
        <v>2018</v>
      </c>
    </row>
    <row r="13" spans="1:24" ht="12" customHeight="1" thickBot="1" x14ac:dyDescent="0.25">
      <c r="B13" s="154"/>
      <c r="C13" s="160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1:24" x14ac:dyDescent="0.2">
      <c r="B14" s="34" t="s">
        <v>39</v>
      </c>
      <c r="C14" s="76" t="s">
        <v>40</v>
      </c>
      <c r="D14" s="41">
        <f t="shared" ref="D14:V14" si="0">+D15+D16+D17+D18</f>
        <v>6711.8236848471133</v>
      </c>
      <c r="E14" s="41">
        <f t="shared" si="0"/>
        <v>6846.1660402320013</v>
      </c>
      <c r="F14" s="41">
        <f t="shared" si="0"/>
        <v>6819.5928678417276</v>
      </c>
      <c r="G14" s="41">
        <f t="shared" si="0"/>
        <v>6677.6121840365622</v>
      </c>
      <c r="H14" s="41">
        <f t="shared" si="0"/>
        <v>12966.247528877702</v>
      </c>
      <c r="I14" s="41">
        <f t="shared" si="0"/>
        <v>11874.607413441012</v>
      </c>
      <c r="J14" s="41">
        <f t="shared" si="0"/>
        <v>7190.4641328165953</v>
      </c>
      <c r="K14" s="41">
        <f t="shared" si="0"/>
        <v>6892.2758009206646</v>
      </c>
      <c r="L14" s="41">
        <f t="shared" si="0"/>
        <v>6779.5048560128189</v>
      </c>
      <c r="M14" s="41">
        <f t="shared" si="0"/>
        <v>8421.3498795729138</v>
      </c>
      <c r="N14" s="41">
        <f t="shared" si="0"/>
        <v>11239.548078001038</v>
      </c>
      <c r="O14" s="41">
        <f t="shared" si="0"/>
        <v>10717.78049626672</v>
      </c>
      <c r="P14" s="41">
        <f t="shared" si="0"/>
        <v>10349.875049468035</v>
      </c>
      <c r="Q14" s="41">
        <f t="shared" si="0"/>
        <v>11101.560102333286</v>
      </c>
      <c r="R14" s="41">
        <f t="shared" si="0"/>
        <v>10758.657368582721</v>
      </c>
      <c r="S14" s="41">
        <f t="shared" si="0"/>
        <v>10789.806894671365</v>
      </c>
      <c r="T14" s="41">
        <f t="shared" si="0"/>
        <v>9729.0214600921081</v>
      </c>
      <c r="U14" s="41">
        <f t="shared" si="0"/>
        <v>9804.8096258839887</v>
      </c>
      <c r="V14" s="41">
        <f t="shared" si="0"/>
        <v>9782.3602057891039</v>
      </c>
    </row>
    <row r="15" spans="1:24" x14ac:dyDescent="0.2">
      <c r="B15" s="40"/>
      <c r="C15" s="77" t="s">
        <v>56</v>
      </c>
      <c r="D15" s="42">
        <f>457.39211624942*Deflactores!$A$5</f>
        <v>1703.1969576131951</v>
      </c>
      <c r="E15" s="42">
        <f>487.46464800409*Deflactores!$B$5</f>
        <v>1686.2118274646043</v>
      </c>
      <c r="F15" s="42">
        <f>508.088639466469*Deflactores!$C$5</f>
        <v>1642.6983936141767</v>
      </c>
      <c r="G15" s="42">
        <f>533.13004096*Deflactores!$D$5</f>
        <v>1618.5910035568434</v>
      </c>
      <c r="H15" s="42">
        <f>549.90061784487*Deflactores!$E$5</f>
        <v>1582.5160949455828</v>
      </c>
      <c r="I15" s="42">
        <f>556.41631552393*Deflactores!$F$5</f>
        <v>1527.1227761636501</v>
      </c>
      <c r="J15" s="42">
        <f>601.143216179*Deflactores!$G$5</f>
        <v>1579.1646481417313</v>
      </c>
      <c r="K15" s="42">
        <f>638.777217872999*Deflactores!$H$5</f>
        <v>1587.6203310946598</v>
      </c>
      <c r="L15" s="42">
        <f>747.13995296342*Deflactores!$I$5</f>
        <v>1724.5939136470022</v>
      </c>
      <c r="M15" s="42">
        <f>842.244122891*Deflactores!$J$5</f>
        <v>1905.9653796833186</v>
      </c>
      <c r="N15" s="42">
        <f>839.71032166405*Deflactores!$K$5</f>
        <v>1841.8231810274556</v>
      </c>
      <c r="O15" s="42">
        <f>883.667815514*Deflactores!$L$5</f>
        <v>1868.6027406699297</v>
      </c>
      <c r="P15" s="42">
        <f>1006.00150877*Deflactores!$M$5</f>
        <v>2076.6198743215004</v>
      </c>
      <c r="Q15" s="42">
        <f>1301.94520772074*Deflactores!$N$5</f>
        <v>2636.3705532030426</v>
      </c>
      <c r="R15" s="42">
        <f>1457.214984863*Deflactores!$O$5</f>
        <v>2846.5981897739766</v>
      </c>
      <c r="S15" s="42">
        <f>1464.37295195764*Deflactores!$P$5</f>
        <v>2679.1991461499269</v>
      </c>
      <c r="T15" s="42">
        <f>1530.764305732*Deflactores!$Q$5</f>
        <v>2648.3857860664184</v>
      </c>
      <c r="U15" s="42">
        <f>1661.431910594*Deflactores!$R$5</f>
        <v>2761.5089847015729</v>
      </c>
      <c r="V15" s="42">
        <f>1936.51496238158*Deflactores!$S$5</f>
        <v>3119.5305733594555</v>
      </c>
    </row>
    <row r="16" spans="1:24" x14ac:dyDescent="0.2">
      <c r="B16" s="40"/>
      <c r="C16" s="77" t="s">
        <v>57</v>
      </c>
      <c r="D16" s="42">
        <f>282.93993638758*Deflactores!$A$5</f>
        <v>1053.5871120695301</v>
      </c>
      <c r="E16" s="42">
        <f>263.318144886*Deflactores!$B$5</f>
        <v>910.85614538571861</v>
      </c>
      <c r="F16" s="42">
        <f>274.86106533421*Deflactores!$C$5</f>
        <v>888.65169464468113</v>
      </c>
      <c r="G16" s="42">
        <f>238.93056758924*Deflactores!$D$5</f>
        <v>725.39687780169584</v>
      </c>
      <c r="H16" s="42">
        <f>269.94858740706*Deflactores!$E$5</f>
        <v>776.86398326617598</v>
      </c>
      <c r="I16" s="42">
        <f>265.26232504202*Deflactores!$F$5</f>
        <v>728.03066144521119</v>
      </c>
      <c r="J16" s="42">
        <f>302.92279216805*Deflactores!$G$5</f>
        <v>795.7587337486126</v>
      </c>
      <c r="K16" s="42">
        <f>308.77206124621*Deflactores!$H$5</f>
        <v>767.42374084786491</v>
      </c>
      <c r="L16" s="42">
        <f>328.45491964231*Deflactores!$I$5</f>
        <v>758.15963672642272</v>
      </c>
      <c r="M16" s="42">
        <f>365.247319675999*Deflactores!$J$5</f>
        <v>826.54034311934618</v>
      </c>
      <c r="N16" s="42">
        <f>389.021029284*Deflactores!$K$5</f>
        <v>853.27991231849035</v>
      </c>
      <c r="O16" s="42">
        <f>424.56217133749*Deflactores!$L$5</f>
        <v>897.77858038719205</v>
      </c>
      <c r="P16" s="42">
        <f>561.470673479*Deflactores!$M$5</f>
        <v>1159.0053784519127</v>
      </c>
      <c r="Q16" s="42">
        <f>613.32508626791*Deflactores!$N$5</f>
        <v>1241.9510340286618</v>
      </c>
      <c r="R16" s="42">
        <f>658.994226151*Deflactores!$O$5</f>
        <v>1287.3129845074309</v>
      </c>
      <c r="S16" s="42">
        <f>615.41266441708*Deflactores!$P$5</f>
        <v>1125.951611460649</v>
      </c>
      <c r="T16" s="42">
        <f>708.641188398*Deflactores!$Q$5</f>
        <v>1226.0249626587863</v>
      </c>
      <c r="U16" s="42">
        <f>695.86291176*Deflactores!$R$5</f>
        <v>1156.6117580219163</v>
      </c>
      <c r="V16" s="42">
        <f>750.19319794951*Deflactores!$S$5</f>
        <v>1208.4856881517162</v>
      </c>
    </row>
    <row r="17" spans="2:22" x14ac:dyDescent="0.2">
      <c r="B17" s="40"/>
      <c r="C17" s="77" t="s">
        <v>58</v>
      </c>
      <c r="D17" s="42">
        <f>675.215913043*Deflactores!$A$5</f>
        <v>2514.3102558412575</v>
      </c>
      <c r="E17" s="42">
        <f>814.3243959464*Deflactores!$B$5</f>
        <v>2816.8677122741178</v>
      </c>
      <c r="F17" s="42">
        <f>799.70189238463*Deflactores!$C$5</f>
        <v>2585.5114874638793</v>
      </c>
      <c r="G17" s="42">
        <f>827.17534747576*Deflactores!$D$5</f>
        <v>2511.3170763692224</v>
      </c>
      <c r="H17" s="42">
        <f>3108.88496424937*Deflactores!$E$5</f>
        <v>8946.8175404866888</v>
      </c>
      <c r="I17" s="42">
        <f>2715.42278569513*Deflactores!$F$5</f>
        <v>7452.6642502280056</v>
      </c>
      <c r="J17" s="42">
        <f>906.43745449158*Deflactores!$G$5</f>
        <v>2381.1530187150211</v>
      </c>
      <c r="K17" s="42">
        <f>992.28356104128*Deflactores!$H$5</f>
        <v>2466.2268967040059</v>
      </c>
      <c r="L17" s="42">
        <f>962.55053975127*Deflactores!$I$5</f>
        <v>2221.8177409044961</v>
      </c>
      <c r="M17" s="42">
        <f>1377.36675980122*Deflactores!$J$5</f>
        <v>3116.9268956091719</v>
      </c>
      <c r="N17" s="42">
        <f>2491.06361743995*Deflactores!$K$5</f>
        <v>5463.9065373434923</v>
      </c>
      <c r="O17" s="42">
        <f>2242.29434277551*Deflactores!$L$5</f>
        <v>4741.5525163851735</v>
      </c>
      <c r="P17" s="42">
        <f>1846.407300416*Deflactores!$M$5</f>
        <v>3811.4118743462041</v>
      </c>
      <c r="Q17" s="42">
        <f>1982.78376126517*Deflactores!$N$5</f>
        <v>4015.0328067338328</v>
      </c>
      <c r="R17" s="42">
        <f>1837.96197806258*Deflactores!$O$5</f>
        <v>3590.368815839633</v>
      </c>
      <c r="S17" s="42">
        <f>2093.1558443634*Deflactores!$P$5</f>
        <v>3829.612765982974</v>
      </c>
      <c r="T17" s="42">
        <f>1673.35882245547*Deflactores!$Q$5</f>
        <v>2895.0895338918299</v>
      </c>
      <c r="U17" s="42">
        <f>1983.304982392*Deflactores!$R$5</f>
        <v>3296.502549009535</v>
      </c>
      <c r="V17" s="42">
        <f>1846.4291634429*Deflactores!$S$5</f>
        <v>2974.41142402476</v>
      </c>
    </row>
    <row r="18" spans="2:22" x14ac:dyDescent="0.2">
      <c r="B18" s="40"/>
      <c r="C18" s="77" t="s">
        <v>59</v>
      </c>
      <c r="D18" s="42">
        <f>386.90666258995*Deflactores!$A$5</f>
        <v>1440.7293593231307</v>
      </c>
      <c r="E18" s="42">
        <f>414.041494990009*Deflactores!$B$5</f>
        <v>1432.2303551075606</v>
      </c>
      <c r="F18" s="42">
        <f>526.65688902653*Deflactores!$C$5</f>
        <v>1702.7312921189905</v>
      </c>
      <c r="G18" s="42">
        <f>600.22990617691*Deflactores!$D$5</f>
        <v>1822.3072263088006</v>
      </c>
      <c r="H18" s="42">
        <f>576.84245624831*Deflactores!$E$5</f>
        <v>1660.0499101792557</v>
      </c>
      <c r="I18" s="42">
        <f>789.48279369161*Deflactores!$F$5</f>
        <v>2166.7897256041451</v>
      </c>
      <c r="J18" s="42">
        <f>926.70240084859*Deflactores!$G$5</f>
        <v>2434.3877322112303</v>
      </c>
      <c r="K18" s="42">
        <f>833.26641707181*Deflactores!$H$5</f>
        <v>2071.0048322741336</v>
      </c>
      <c r="L18" s="42">
        <f>898.91640790956*Deflactores!$I$5</f>
        <v>2074.933564734898</v>
      </c>
      <c r="M18" s="42">
        <f>1136.52756805832*Deflactores!$J$5</f>
        <v>2571.9172611610775</v>
      </c>
      <c r="N18" s="42">
        <f>1404.45616991718*Deflactores!$K$5</f>
        <v>3080.5384473116005</v>
      </c>
      <c r="O18" s="42">
        <f>1517.94606922249*Deflactores!$L$5</f>
        <v>3209.846658824425</v>
      </c>
      <c r="P18" s="42">
        <f>1600.032810141*Deflactores!$M$5</f>
        <v>3302.837922348418</v>
      </c>
      <c r="Q18" s="42">
        <f>1584.34027504859*Deflactores!$N$5</f>
        <v>3208.2057083677482</v>
      </c>
      <c r="R18" s="42">
        <f>1553.34188067293*Deflactores!$O$5</f>
        <v>3034.3773784616806</v>
      </c>
      <c r="S18" s="42">
        <f>1724.45567605487*Deflactores!$P$5</f>
        <v>3155.0433710778143</v>
      </c>
      <c r="T18" s="42">
        <f>1710.60024727952*Deflactores!$Q$5</f>
        <v>2959.5211774750733</v>
      </c>
      <c r="U18" s="42">
        <f>1558.3574972174*Deflactores!$R$5</f>
        <v>2590.1863341509647</v>
      </c>
      <c r="V18" s="42">
        <f>1539.47086532162*Deflactores!$S$5</f>
        <v>2479.9325202531732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145.98661504248719</v>
      </c>
      <c r="E19" s="41">
        <f t="shared" si="1"/>
        <v>13.623176163000823</v>
      </c>
      <c r="F19" s="41">
        <f t="shared" si="1"/>
        <v>15.07334256884698</v>
      </c>
      <c r="G19" s="41">
        <f t="shared" si="1"/>
        <v>14.34148735469816</v>
      </c>
      <c r="H19" s="41">
        <f t="shared" si="1"/>
        <v>11.553304194615032</v>
      </c>
      <c r="I19" s="41">
        <f t="shared" si="1"/>
        <v>11.514180476049315</v>
      </c>
      <c r="J19" s="41">
        <f t="shared" si="1"/>
        <v>7.8776551400645323</v>
      </c>
      <c r="K19" s="41">
        <f t="shared" si="1"/>
        <v>7.096160420768447</v>
      </c>
      <c r="L19" s="41">
        <f t="shared" si="1"/>
        <v>5.3960214226824839</v>
      </c>
      <c r="M19" s="41">
        <f t="shared" si="1"/>
        <v>9.0398492495106382</v>
      </c>
      <c r="N19" s="41">
        <f t="shared" si="1"/>
        <v>4.9779282229832393</v>
      </c>
      <c r="O19" s="41">
        <f t="shared" si="1"/>
        <v>3.9978601455069027</v>
      </c>
      <c r="P19" s="41">
        <f t="shared" si="1"/>
        <v>2.5187751196766976</v>
      </c>
      <c r="Q19" s="41">
        <f t="shared" si="1"/>
        <v>2.790377506495676</v>
      </c>
      <c r="R19" s="41">
        <f t="shared" si="1"/>
        <v>2.0577653704198084</v>
      </c>
      <c r="S19" s="41">
        <f t="shared" si="1"/>
        <v>2.8743446244849773</v>
      </c>
      <c r="T19" s="41">
        <f t="shared" si="1"/>
        <v>2.2280335267547429</v>
      </c>
      <c r="U19" s="41">
        <f t="shared" si="1"/>
        <v>2.5681507048561008</v>
      </c>
      <c r="V19" s="41">
        <f t="shared" si="1"/>
        <v>2.0728945085447243</v>
      </c>
    </row>
    <row r="20" spans="2:22" x14ac:dyDescent="0.2">
      <c r="B20" s="34"/>
      <c r="C20" s="76" t="s">
        <v>43</v>
      </c>
      <c r="D20" s="41">
        <f t="shared" ref="D20:V20" si="2">+D21+D22</f>
        <v>24.066704509271862</v>
      </c>
      <c r="E20" s="41">
        <f t="shared" si="2"/>
        <v>12.222549667054917</v>
      </c>
      <c r="F20" s="41">
        <f t="shared" si="2"/>
        <v>11.443859953535656</v>
      </c>
      <c r="G20" s="41">
        <f t="shared" si="2"/>
        <v>10.570731646620338</v>
      </c>
      <c r="H20" s="41">
        <f t="shared" si="2"/>
        <v>8.1108535201771073</v>
      </c>
      <c r="I20" s="41">
        <f t="shared" si="2"/>
        <v>6.1513185996470563</v>
      </c>
      <c r="J20" s="41">
        <f t="shared" si="2"/>
        <v>3.5510918428502185</v>
      </c>
      <c r="K20" s="41">
        <f t="shared" si="2"/>
        <v>3.1577870626366051</v>
      </c>
      <c r="L20" s="41">
        <f t="shared" si="2"/>
        <v>2.6771209505185203</v>
      </c>
      <c r="M20" s="41">
        <f t="shared" si="2"/>
        <v>2.2697496175580572</v>
      </c>
      <c r="N20" s="41">
        <f t="shared" si="2"/>
        <v>2.5291130558353969</v>
      </c>
      <c r="O20" s="41">
        <f t="shared" si="2"/>
        <v>1.9744007287949843</v>
      </c>
      <c r="P20" s="41">
        <f t="shared" si="2"/>
        <v>0.35133217945334688</v>
      </c>
      <c r="Q20" s="41">
        <f t="shared" si="2"/>
        <v>1.0511501913076235</v>
      </c>
      <c r="R20" s="41">
        <f t="shared" si="2"/>
        <v>0.32954719763605628</v>
      </c>
      <c r="S20" s="41">
        <f t="shared" si="2"/>
        <v>0.34868653575507708</v>
      </c>
      <c r="T20" s="41">
        <f t="shared" si="2"/>
        <v>0.4006235989555465</v>
      </c>
      <c r="U20" s="41">
        <f t="shared" si="2"/>
        <v>0.49365138783396678</v>
      </c>
      <c r="V20" s="41">
        <f t="shared" si="2"/>
        <v>0.22713679955394653</v>
      </c>
    </row>
    <row r="21" spans="2:22" x14ac:dyDescent="0.2">
      <c r="B21" s="32"/>
      <c r="C21" s="77" t="s">
        <v>60</v>
      </c>
      <c r="D21" s="42">
        <f>5.484993336*Deflactores!$A$5</f>
        <v>20.42454084912465</v>
      </c>
      <c r="E21" s="42">
        <f>2.9314*Deflactores!$B$5</f>
        <v>10.140143231449818</v>
      </c>
      <c r="F21" s="42">
        <f>2.9769*Deflactores!$C$5</f>
        <v>9.624597891196828</v>
      </c>
      <c r="G21" s="42">
        <f>3.101606026*Deflactores!$D$5</f>
        <v>9.4165235956717623</v>
      </c>
      <c r="H21" s="42">
        <f>2.4795*Deflactores!$E$5</f>
        <v>7.1355596449329894</v>
      </c>
      <c r="I21" s="42">
        <f>1.98950431*Deflactores!$F$5</f>
        <v>5.4603311590816954</v>
      </c>
      <c r="J21" s="42">
        <f>1.1729*Deflactores!$G$5</f>
        <v>3.0811330244703514</v>
      </c>
      <c r="K21" s="42">
        <f>1.12667958094*Deflactores!$H$5</f>
        <v>2.8002554870158045</v>
      </c>
      <c r="L21" s="42">
        <f>1.0417*Deflactores!$I$5</f>
        <v>2.4045153424341632</v>
      </c>
      <c r="M21" s="42">
        <f>0.9164*Deflactores!$J$5</f>
        <v>2.0737772178765739</v>
      </c>
      <c r="N21" s="42">
        <f>1.060855608*Deflactores!$K$5</f>
        <v>2.326883926668097</v>
      </c>
      <c r="O21" s="42">
        <f>0.8797*Deflactores!$L$5</f>
        <v>1.8602124034710803</v>
      </c>
      <c r="P21" s="42">
        <f>0.1402*Deflactores!$M$5</f>
        <v>0.2894052383041083</v>
      </c>
      <c r="Q21" s="42">
        <f>0.4837*Deflactores!$N$5</f>
        <v>0.97946705362261122</v>
      </c>
      <c r="R21" s="42">
        <f>0.14793561*Deflactores!$O$5</f>
        <v>0.28898497751085089</v>
      </c>
      <c r="S21" s="42">
        <f>0.170141165*Deflactores!$P$5</f>
        <v>0.3112882298075525</v>
      </c>
      <c r="T21" s="42">
        <f>0.213840013*Deflactores!$Q$5</f>
        <v>0.3699660678007794</v>
      </c>
      <c r="U21" s="42">
        <f>0.285*Deflactores!$R$5</f>
        <v>0.47370587721441254</v>
      </c>
      <c r="V21" s="42">
        <f>0.138*Deflactores!$S$5</f>
        <v>0.2223041016910966</v>
      </c>
    </row>
    <row r="22" spans="2:22" x14ac:dyDescent="0.2">
      <c r="B22" s="32"/>
      <c r="C22" s="77" t="s">
        <v>61</v>
      </c>
      <c r="D22" s="42">
        <f>0.9781*Deflactores!$A$5</f>
        <v>3.6421636601472107</v>
      </c>
      <c r="E22" s="42">
        <f>0.602*Deflactores!$B$5</f>
        <v>2.0824064356050997</v>
      </c>
      <c r="F22" s="42">
        <f>0.5627*Deflactores!$C$5</f>
        <v>1.8192620623388271</v>
      </c>
      <c r="G22" s="42">
        <f>0.380172004*Deflactores!$D$5</f>
        <v>1.1542080509485764</v>
      </c>
      <c r="H22" s="42">
        <f>0.3389*Deflactores!$E$5</f>
        <v>0.97529387524411781</v>
      </c>
      <c r="I22" s="42">
        <f>0.251765406*Deflactores!$F$5</f>
        <v>0.69098744056536054</v>
      </c>
      <c r="J22" s="42">
        <f>0.1789*Deflactores!$G$5</f>
        <v>0.46995881837986692</v>
      </c>
      <c r="K22" s="42">
        <f>0.14385241906*Deflactores!$H$5</f>
        <v>0.35753157562080085</v>
      </c>
      <c r="L22" s="42">
        <f>0.1181*Deflactores!$I$5</f>
        <v>0.27260560808435697</v>
      </c>
      <c r="M22" s="42">
        <f>0.0866*Deflactores!$J$5</f>
        <v>0.19597239968148328</v>
      </c>
      <c r="N22" s="42">
        <f>0.0921988*Deflactores!$K$5</f>
        <v>0.20222912916729999</v>
      </c>
      <c r="O22" s="42">
        <f>0.054*Deflactores!$L$5</f>
        <v>0.11418832532390398</v>
      </c>
      <c r="P22" s="42">
        <f>0.03*Deflactores!$M$5</f>
        <v>6.1926941149238579E-2</v>
      </c>
      <c r="Q22" s="42">
        <f>0.0354*Deflactores!$N$5</f>
        <v>7.1683137685012277E-2</v>
      </c>
      <c r="R22" s="42">
        <f>0.02076439*Deflactores!$O$5</f>
        <v>4.0562220125205405E-2</v>
      </c>
      <c r="S22" s="42">
        <f>0.020440835*Deflactores!$P$5</f>
        <v>3.7398305947524586E-2</v>
      </c>
      <c r="T22" s="42">
        <f>0.017720022*Deflactores!$Q$5</f>
        <v>3.06575311547671E-2</v>
      </c>
      <c r="U22" s="42">
        <f>0.012*Deflactores!$R$5</f>
        <v>1.9945510619554213E-2</v>
      </c>
      <c r="V22" s="42">
        <f>0.003*Deflactores!$S$5</f>
        <v>4.8326978628499256E-3</v>
      </c>
    </row>
    <row r="23" spans="2:22" x14ac:dyDescent="0.2">
      <c r="B23" s="34"/>
      <c r="C23" s="76" t="s">
        <v>44</v>
      </c>
      <c r="D23" s="41">
        <f t="shared" ref="D23:V23" si="3">+D24+D25</f>
        <v>121.91991053321532</v>
      </c>
      <c r="E23" s="41">
        <f t="shared" si="3"/>
        <v>1.4006264959459052</v>
      </c>
      <c r="F23" s="41">
        <f t="shared" si="3"/>
        <v>3.6294826153113249</v>
      </c>
      <c r="G23" s="41">
        <f t="shared" si="3"/>
        <v>3.7707557080778225</v>
      </c>
      <c r="H23" s="41">
        <f t="shared" si="3"/>
        <v>3.4424506744379251</v>
      </c>
      <c r="I23" s="41">
        <f t="shared" si="3"/>
        <v>5.3628618764022598</v>
      </c>
      <c r="J23" s="41">
        <f t="shared" si="3"/>
        <v>4.3265632972143138</v>
      </c>
      <c r="K23" s="41">
        <f t="shared" si="3"/>
        <v>3.9383733581318414</v>
      </c>
      <c r="L23" s="41">
        <f t="shared" si="3"/>
        <v>2.7189004721639631</v>
      </c>
      <c r="M23" s="41">
        <f t="shared" si="3"/>
        <v>6.7700996319525819</v>
      </c>
      <c r="N23" s="41">
        <f t="shared" si="3"/>
        <v>2.4488151671478424</v>
      </c>
      <c r="O23" s="41">
        <f t="shared" si="3"/>
        <v>2.0234594167119186</v>
      </c>
      <c r="P23" s="41">
        <f t="shared" si="3"/>
        <v>2.1674429402233506</v>
      </c>
      <c r="Q23" s="41">
        <f t="shared" si="3"/>
        <v>1.7392273151880522</v>
      </c>
      <c r="R23" s="41">
        <f t="shared" si="3"/>
        <v>1.7282181727837522</v>
      </c>
      <c r="S23" s="41">
        <f t="shared" si="3"/>
        <v>2.5256580887299003</v>
      </c>
      <c r="T23" s="41">
        <f t="shared" si="3"/>
        <v>1.8274099277991962</v>
      </c>
      <c r="U23" s="41">
        <f t="shared" si="3"/>
        <v>2.0744993170221342</v>
      </c>
      <c r="V23" s="41">
        <f t="shared" si="3"/>
        <v>1.8457577089907777</v>
      </c>
    </row>
    <row r="24" spans="2:22" x14ac:dyDescent="0.2">
      <c r="B24" s="32"/>
      <c r="C24" s="77" t="s">
        <v>60</v>
      </c>
      <c r="D24" s="42">
        <f>23.447102206*Deflactores!$A$5</f>
        <v>87.31027869384593</v>
      </c>
      <c r="E24" s="42">
        <f>0.068363728*Deflactores!$B$5</f>
        <v>0.23648017798863216</v>
      </c>
      <c r="F24" s="42">
        <f>0.63210963*Deflactores!$C$5</f>
        <v>2.0436699290883826</v>
      </c>
      <c r="G24" s="42">
        <f>0.877207567*Deflactores!$D$5</f>
        <v>2.6632156643086553</v>
      </c>
      <c r="H24" s="42">
        <f>0.870299999999999*Deflactores!$E$5</f>
        <v>2.5045684851724839</v>
      </c>
      <c r="I24" s="42">
        <f>1.442057823*Deflactores!$F$5</f>
        <v>3.9578266930843777</v>
      </c>
      <c r="J24" s="42">
        <f>1.2344*Deflactores!$G$5</f>
        <v>3.2426895774628712</v>
      </c>
      <c r="K24" s="42">
        <f>1.205*Deflactores!$H$5</f>
        <v>2.9949134775646025</v>
      </c>
      <c r="L24" s="42">
        <f>0.9096*Deflactores!$I$5</f>
        <v>2.0995940822483581</v>
      </c>
      <c r="M24" s="42">
        <f>0.8124*Deflactores!$J$5</f>
        <v>1.8384293013999657</v>
      </c>
      <c r="N24" s="42">
        <f>0.892344391999999*Deflactores!$K$5</f>
        <v>1.9572709114596238</v>
      </c>
      <c r="O24" s="42">
        <f>0.774799999999999*Deflactores!$L$5</f>
        <v>1.6383910085363091</v>
      </c>
      <c r="P24" s="42">
        <f>0.9249*Deflactores!$M$5</f>
        <v>1.9092075956310257</v>
      </c>
      <c r="Q24" s="42">
        <f>0.7187*Deflactores!$N$5</f>
        <v>1.4553296907971278</v>
      </c>
      <c r="R24" s="42">
        <f>0.7403*Deflactores!$O$5</f>
        <v>1.4461398364550828</v>
      </c>
      <c r="S24" s="42">
        <f>1.250644803*Deflactores!$P$5</f>
        <v>2.2881646945575174</v>
      </c>
      <c r="T24" s="42">
        <f>0.934381204*Deflactores!$Q$5</f>
        <v>1.6165793062818319</v>
      </c>
      <c r="U24" s="42">
        <f>1.1215*Deflactores!$R$5</f>
        <v>1.8640741799858374</v>
      </c>
      <c r="V24" s="42">
        <f>1.022551069*Deflactores!$S$5</f>
        <v>1.6472267886037355</v>
      </c>
    </row>
    <row r="25" spans="2:22" x14ac:dyDescent="0.2">
      <c r="B25" s="32"/>
      <c r="C25" s="77" t="s">
        <v>61</v>
      </c>
      <c r="D25" s="42">
        <f>9.29438763899999*Deflactores!$A$5</f>
        <v>34.609631839369385</v>
      </c>
      <c r="E25" s="42">
        <f>0.336541451*Deflactores!$B$5</f>
        <v>1.1641463179572731</v>
      </c>
      <c r="F25" s="42">
        <f>0.49049382*Deflactores!$C$5</f>
        <v>1.5858126862229422</v>
      </c>
      <c r="G25" s="42">
        <f>0.364800538*Deflactores!$D$5</f>
        <v>1.1075400437691674</v>
      </c>
      <c r="H25" s="42">
        <f>0.3259*Deflactores!$E$5</f>
        <v>0.93788218926544131</v>
      </c>
      <c r="I25" s="42">
        <f>0.511932971*Deflactores!$F$5</f>
        <v>1.4050351833178818</v>
      </c>
      <c r="J25" s="42">
        <f>0.4126*Deflactores!$G$5</f>
        <v>1.0838737197514428</v>
      </c>
      <c r="K25" s="42">
        <f>0.3796*Deflactores!$H$5</f>
        <v>0.94345988056723895</v>
      </c>
      <c r="L25" s="42">
        <f>0.2683*Deflactores!$I$5</f>
        <v>0.61930638991560516</v>
      </c>
      <c r="M25" s="42">
        <f>2.1793*Deflactores!$J$5</f>
        <v>4.9316703305526159</v>
      </c>
      <c r="N25" s="42">
        <f>0.2241012*Deflactores!$K$5</f>
        <v>0.49154425568821858</v>
      </c>
      <c r="O25" s="42">
        <f>0.1821*Deflactores!$L$5</f>
        <v>0.38506840817560956</v>
      </c>
      <c r="P25" s="42">
        <f>0.1251*Deflactores!$M$5</f>
        <v>0.25823534459232489</v>
      </c>
      <c r="Q25" s="42">
        <f>0.1402*Deflactores!$N$5</f>
        <v>0.28389762439092431</v>
      </c>
      <c r="R25" s="42">
        <f>0.1444*Deflactores!$O$5</f>
        <v>0.28207833632866941</v>
      </c>
      <c r="S25" s="42">
        <f>0.129807037*Deflactores!$P$5</f>
        <v>0.23749339417238305</v>
      </c>
      <c r="T25" s="42">
        <f>0.121859886*Deflactores!$Q$5</f>
        <v>0.21083062151736423</v>
      </c>
      <c r="U25" s="42">
        <f>0.1266*Deflactores!$R$5</f>
        <v>0.21042513703629692</v>
      </c>
      <c r="V25" s="42">
        <f>0.123242292*Deflactores!$S$5</f>
        <v>0.19853092038704218</v>
      </c>
    </row>
    <row r="26" spans="2:22" x14ac:dyDescent="0.2">
      <c r="B26" s="34" t="s">
        <v>45</v>
      </c>
      <c r="C26" s="76" t="s">
        <v>46</v>
      </c>
      <c r="D26" s="41">
        <f>2338.370875789*Deflactores!$A$5</f>
        <v>8707.4219688634112</v>
      </c>
      <c r="E26" s="41">
        <f>2783.69515994516*Deflactores!$B$5</f>
        <v>9629.2104914162283</v>
      </c>
      <c r="F26" s="41">
        <f>2941.322953059*Deflactores!$C$5</f>
        <v>9509.5739498607545</v>
      </c>
      <c r="G26" s="41">
        <f>2691.98146157578*Deflactores!$D$5</f>
        <v>8172.8971183135336</v>
      </c>
      <c r="H26" s="41">
        <f>3211.59896679605*Deflactores!$E$5</f>
        <v>9242.4101565551027</v>
      </c>
      <c r="I26" s="41">
        <f>3434.71174400036*Deflactores!$F$5</f>
        <v>9426.8021757786464</v>
      </c>
      <c r="J26" s="41">
        <f>4232.65884881217*Deflactores!$G$5</f>
        <v>11118.923148087506</v>
      </c>
      <c r="K26" s="41">
        <f>4866.383832294*Deflactores!$H$5</f>
        <v>12094.93653638156</v>
      </c>
      <c r="L26" s="41">
        <f>5871.13275141252*Deflactores!$I$5</f>
        <v>13552.105959718829</v>
      </c>
      <c r="M26" s="41">
        <f>7491.189982078*Deflactores!$J$5</f>
        <v>16952.268790504775</v>
      </c>
      <c r="N26" s="41">
        <f>7481.620269971*Deflactores!$K$5</f>
        <v>16410.208722419979</v>
      </c>
      <c r="O26" s="41">
        <f>7823.13384257*Deflactores!$L$5</f>
        <v>16542.788004959744</v>
      </c>
      <c r="P26" s="41">
        <f>8232.081412312*Deflactores!$M$5</f>
        <v>16992.920705199536</v>
      </c>
      <c r="Q26" s="41">
        <f>8921.74412575093*Deflactores!$N$5</f>
        <v>18066.06250160038</v>
      </c>
      <c r="R26" s="41">
        <f>5905.84866196*Deflactores!$O$5</f>
        <v>11536.786462427806</v>
      </c>
      <c r="S26" s="41">
        <f>6359.92069832*Deflactores!$P$5</f>
        <v>11636.034441732229</v>
      </c>
      <c r="T26" s="41">
        <f>7733.01603822476*Deflactores!$Q$5</f>
        <v>13378.943892518264</v>
      </c>
      <c r="U26" s="41">
        <f>8716.370073791*Deflactores!$R$5</f>
        <v>14487.704322563577</v>
      </c>
      <c r="V26" s="41">
        <f>7670.596868813*Deflactores!$S$5</f>
        <v>12356.559031565304</v>
      </c>
    </row>
    <row r="27" spans="2:22" x14ac:dyDescent="0.2">
      <c r="B27" s="36" t="s">
        <v>47</v>
      </c>
      <c r="C27" s="78" t="s">
        <v>48</v>
      </c>
      <c r="D27" s="43">
        <f t="shared" ref="D27:V27" si="4">+D14+D26</f>
        <v>15419.245653710524</v>
      </c>
      <c r="E27" s="43">
        <f t="shared" si="4"/>
        <v>16475.376531648231</v>
      </c>
      <c r="F27" s="43">
        <f t="shared" si="4"/>
        <v>16329.166817702482</v>
      </c>
      <c r="G27" s="43">
        <f t="shared" si="4"/>
        <v>14850.509302350096</v>
      </c>
      <c r="H27" s="43">
        <f t="shared" si="4"/>
        <v>22208.657685432805</v>
      </c>
      <c r="I27" s="43">
        <f t="shared" si="4"/>
        <v>21301.409589219656</v>
      </c>
      <c r="J27" s="43">
        <f t="shared" si="4"/>
        <v>18309.387280904102</v>
      </c>
      <c r="K27" s="43">
        <f t="shared" si="4"/>
        <v>18987.212337302226</v>
      </c>
      <c r="L27" s="43">
        <f t="shared" si="4"/>
        <v>20331.610815731648</v>
      </c>
      <c r="M27" s="43">
        <f t="shared" si="4"/>
        <v>25373.618670077689</v>
      </c>
      <c r="N27" s="43">
        <f t="shared" si="4"/>
        <v>27649.756800421019</v>
      </c>
      <c r="O27" s="43">
        <f t="shared" si="4"/>
        <v>27260.568501226466</v>
      </c>
      <c r="P27" s="43">
        <f t="shared" si="4"/>
        <v>27342.795754667572</v>
      </c>
      <c r="Q27" s="43">
        <f t="shared" si="4"/>
        <v>29167.622603933665</v>
      </c>
      <c r="R27" s="43">
        <f t="shared" si="4"/>
        <v>22295.443831010525</v>
      </c>
      <c r="S27" s="43">
        <f t="shared" si="4"/>
        <v>22425.841336403595</v>
      </c>
      <c r="T27" s="43">
        <f t="shared" si="4"/>
        <v>23107.965352610372</v>
      </c>
      <c r="U27" s="43">
        <f t="shared" si="4"/>
        <v>24292.513948447566</v>
      </c>
      <c r="V27" s="43">
        <f t="shared" si="4"/>
        <v>22138.919237354407</v>
      </c>
    </row>
    <row r="28" spans="2:22" ht="15.75" customHeight="1" x14ac:dyDescent="0.2">
      <c r="B28" s="38" t="s">
        <v>49</v>
      </c>
      <c r="C28" s="79" t="s">
        <v>50</v>
      </c>
      <c r="D28" s="44">
        <f t="shared" ref="D28:V28" si="5">+D14+D19+D26</f>
        <v>15565.23226875301</v>
      </c>
      <c r="E28" s="44">
        <f t="shared" si="5"/>
        <v>16488.999707811228</v>
      </c>
      <c r="F28" s="44">
        <f t="shared" si="5"/>
        <v>16344.240160271329</v>
      </c>
      <c r="G28" s="44">
        <f t="shared" si="5"/>
        <v>14864.850789704793</v>
      </c>
      <c r="H28" s="44">
        <f t="shared" si="5"/>
        <v>22220.21098962742</v>
      </c>
      <c r="I28" s="44">
        <f t="shared" si="5"/>
        <v>21312.923769695706</v>
      </c>
      <c r="J28" s="44">
        <f t="shared" si="5"/>
        <v>18317.264936044165</v>
      </c>
      <c r="K28" s="44">
        <f t="shared" si="5"/>
        <v>18994.308497722992</v>
      </c>
      <c r="L28" s="44">
        <f t="shared" si="5"/>
        <v>20337.006837154331</v>
      </c>
      <c r="M28" s="44">
        <f t="shared" si="5"/>
        <v>25382.6585193272</v>
      </c>
      <c r="N28" s="44">
        <f t="shared" si="5"/>
        <v>27654.734728643998</v>
      </c>
      <c r="O28" s="44">
        <f t="shared" si="5"/>
        <v>27264.566361371973</v>
      </c>
      <c r="P28" s="44">
        <f t="shared" si="5"/>
        <v>27345.314529787247</v>
      </c>
      <c r="Q28" s="44">
        <f t="shared" si="5"/>
        <v>29170.41298144016</v>
      </c>
      <c r="R28" s="44">
        <f t="shared" si="5"/>
        <v>22297.501596380949</v>
      </c>
      <c r="S28" s="44">
        <f t="shared" si="5"/>
        <v>22428.715681028079</v>
      </c>
      <c r="T28" s="44">
        <f t="shared" si="5"/>
        <v>23110.193386137129</v>
      </c>
      <c r="U28" s="44">
        <f t="shared" si="5"/>
        <v>24295.082099152423</v>
      </c>
      <c r="V28" s="44">
        <f t="shared" si="5"/>
        <v>22140.992131862953</v>
      </c>
    </row>
    <row r="29" spans="2:22" x14ac:dyDescent="0.2">
      <c r="B29" s="1" t="s">
        <v>52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1"/>
      <c r="D36" s="155" t="s">
        <v>84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ht="15.75" customHeight="1" x14ac:dyDescent="0.2">
      <c r="A37" s="5"/>
      <c r="B37" s="157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x14ac:dyDescent="0.2">
      <c r="A38" s="5"/>
      <c r="B38" s="158"/>
      <c r="C38" s="159" t="s">
        <v>38</v>
      </c>
      <c r="D38" s="153">
        <v>2000</v>
      </c>
      <c r="E38" s="153">
        <v>2001</v>
      </c>
      <c r="F38" s="153">
        <v>2002</v>
      </c>
      <c r="G38" s="153">
        <v>2003</v>
      </c>
      <c r="H38" s="153">
        <v>2004</v>
      </c>
      <c r="I38" s="153">
        <v>2005</v>
      </c>
      <c r="J38" s="153">
        <v>2006</v>
      </c>
      <c r="K38" s="153">
        <v>2007</v>
      </c>
      <c r="L38" s="153">
        <v>2008</v>
      </c>
      <c r="M38" s="153">
        <v>2009</v>
      </c>
      <c r="N38" s="153">
        <v>2010</v>
      </c>
      <c r="O38" s="153">
        <v>2011</v>
      </c>
      <c r="P38" s="153">
        <v>2012</v>
      </c>
      <c r="Q38" s="153">
        <v>2013</v>
      </c>
      <c r="R38" s="153">
        <v>2014</v>
      </c>
      <c r="S38" s="153">
        <v>2015</v>
      </c>
      <c r="T38" s="153">
        <v>2016</v>
      </c>
      <c r="U38" s="153">
        <v>2017</v>
      </c>
      <c r="V38" s="153">
        <v>2018</v>
      </c>
    </row>
    <row r="39" spans="1:22" ht="12" customHeight="1" thickBot="1" x14ac:dyDescent="0.25">
      <c r="A39" s="5"/>
      <c r="B39" s="154"/>
      <c r="C39" s="160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spans="1:22" x14ac:dyDescent="0.2">
      <c r="A40" s="5"/>
      <c r="B40" s="34" t="s">
        <v>39</v>
      </c>
      <c r="C40" s="76" t="s">
        <v>40</v>
      </c>
      <c r="D40" s="41">
        <f t="shared" ref="D40:V40" si="6">+D41+D42+D43+D44</f>
        <v>5529.2396949788808</v>
      </c>
      <c r="E40" s="41">
        <f t="shared" si="6"/>
        <v>5927.9446632036497</v>
      </c>
      <c r="F40" s="41">
        <f t="shared" si="6"/>
        <v>5876.6365231311274</v>
      </c>
      <c r="G40" s="41">
        <f t="shared" si="6"/>
        <v>5874.0488529575914</v>
      </c>
      <c r="H40" s="41">
        <f t="shared" si="6"/>
        <v>12228.444186017558</v>
      </c>
      <c r="I40" s="41">
        <f t="shared" si="6"/>
        <v>11194.094827544746</v>
      </c>
      <c r="J40" s="41">
        <f t="shared" si="6"/>
        <v>6287.3066556360936</v>
      </c>
      <c r="K40" s="41">
        <f t="shared" si="6"/>
        <v>5741.4381091570795</v>
      </c>
      <c r="L40" s="41">
        <f t="shared" si="6"/>
        <v>5782.4167669384933</v>
      </c>
      <c r="M40" s="41">
        <f t="shared" si="6"/>
        <v>7173.2931550993635</v>
      </c>
      <c r="N40" s="41">
        <f t="shared" si="6"/>
        <v>10076.380281725425</v>
      </c>
      <c r="O40" s="41">
        <f t="shared" si="6"/>
        <v>9285.2649614111542</v>
      </c>
      <c r="P40" s="41">
        <f t="shared" si="6"/>
        <v>9095.1109964272691</v>
      </c>
      <c r="Q40" s="41">
        <f t="shared" si="6"/>
        <v>9201.4091033240657</v>
      </c>
      <c r="R40" s="41">
        <f t="shared" si="6"/>
        <v>9386.8214547822827</v>
      </c>
      <c r="S40" s="41">
        <f t="shared" si="6"/>
        <v>9566.7760989179606</v>
      </c>
      <c r="T40" s="41">
        <f t="shared" si="6"/>
        <v>9057.1992369907857</v>
      </c>
      <c r="U40" s="41">
        <f t="shared" si="6"/>
        <v>9298.4276692050898</v>
      </c>
      <c r="V40" s="41">
        <f t="shared" si="6"/>
        <v>8975.1502139977201</v>
      </c>
    </row>
    <row r="41" spans="1:22" x14ac:dyDescent="0.2">
      <c r="A41" s="5"/>
      <c r="B41" s="40"/>
      <c r="C41" s="77" t="s">
        <v>56</v>
      </c>
      <c r="D41" s="42">
        <f>434.569263028639*Deflactores!$A$5</f>
        <v>1618.2112029647928</v>
      </c>
      <c r="E41" s="42">
        <f>462.07347314219*Deflactores!$B$5</f>
        <v>1598.3800235775693</v>
      </c>
      <c r="F41" s="42">
        <f>491.842695283009*Deflactores!$C$5</f>
        <v>1590.1737269714845</v>
      </c>
      <c r="G41" s="42">
        <f>508.53503526843*Deflactores!$D$5</f>
        <v>1543.9201880216308</v>
      </c>
      <c r="H41" s="42">
        <f>519.03184188987*Deflactores!$E$5</f>
        <v>1493.6812524398451</v>
      </c>
      <c r="I41" s="42">
        <f>537.78496093108*Deflactores!$F$5</f>
        <v>1475.9877444334406</v>
      </c>
      <c r="J41" s="42">
        <f>569.52066911331*Deflactores!$G$5</f>
        <v>1496.0942465030873</v>
      </c>
      <c r="K41" s="42">
        <f>600.011112569499*Deflactores!$H$5</f>
        <v>1491.2708445833396</v>
      </c>
      <c r="L41" s="42">
        <f>714.006121764569*Deflactores!$I$5</f>
        <v>1648.1123878034186</v>
      </c>
      <c r="M41" s="42">
        <f>784.45454828535*Deflactores!$J$5</f>
        <v>1775.1898414380375</v>
      </c>
      <c r="N41" s="42">
        <f>793.888327805699*Deflactores!$K$5</f>
        <v>1741.3170799211105</v>
      </c>
      <c r="O41" s="42">
        <f>831.39335502828*Deflactores!$L$5</f>
        <v>1758.0632388166896</v>
      </c>
      <c r="P41" s="42">
        <f>937.192858249097*Deflactores!$M$5</f>
        <v>1934.5828992759509</v>
      </c>
      <c r="Q41" s="42">
        <f>1091.97526146894*Deflactores!$N$5</f>
        <v>2211.1924580933705</v>
      </c>
      <c r="R41" s="42">
        <f>1273.57369292303*Deflactores!$O$5</f>
        <v>2487.8639092222161</v>
      </c>
      <c r="S41" s="42">
        <f>1326.20300545046*Deflactores!$P$5</f>
        <v>2426.4050732938708</v>
      </c>
      <c r="T41" s="42">
        <f>1426.26511408405*Deflactores!$Q$5</f>
        <v>2467.5910204845809</v>
      </c>
      <c r="U41" s="42">
        <f>1547.4665631477*Deflactores!$R$5</f>
        <v>2572.0842307222924</v>
      </c>
      <c r="V41" s="42">
        <f>1809.86422450421*Deflactores!$S$5</f>
        <v>2915.5089899366776</v>
      </c>
    </row>
    <row r="42" spans="1:22" x14ac:dyDescent="0.2">
      <c r="A42" s="5"/>
      <c r="B42" s="40"/>
      <c r="C42" s="77" t="s">
        <v>57</v>
      </c>
      <c r="D42" s="42">
        <f>242.2271596887*Deflactores!$A$5</f>
        <v>901.98441725678208</v>
      </c>
      <c r="E42" s="42">
        <f>251.02699244185*Deflactores!$B$5</f>
        <v>868.33924347425454</v>
      </c>
      <c r="F42" s="42">
        <f>262.793666146579*Deflactores!$C$5</f>
        <v>849.63665726569502</v>
      </c>
      <c r="G42" s="42">
        <f>227.7433330699*Deflactores!$D$5</f>
        <v>691.43226174839992</v>
      </c>
      <c r="H42" s="42">
        <f>249.29071860401*Deflactores!$E$5</f>
        <v>717.41431398552913</v>
      </c>
      <c r="I42" s="42">
        <f>250.34431546311*Deflactores!$F$5</f>
        <v>687.08716002841788</v>
      </c>
      <c r="J42" s="42">
        <f>274.1008536891*Deflactores!$G$5</f>
        <v>720.04535112712256</v>
      </c>
      <c r="K42" s="42">
        <f>271.485695263999*Deflactores!$H$5</f>
        <v>674.75200640012201</v>
      </c>
      <c r="L42" s="42">
        <f>295.69983782566*Deflactores!$I$5</f>
        <v>682.5523632591852</v>
      </c>
      <c r="M42" s="42">
        <f>342.193749986989*Deflactores!$J$5</f>
        <v>774.3710201034155</v>
      </c>
      <c r="N42" s="42">
        <f>358.02012536279*Deflactores!$K$5</f>
        <v>785.28243509117897</v>
      </c>
      <c r="O42" s="42">
        <f>380.145929409269*Deflactores!$L$5</f>
        <v>803.85605662858234</v>
      </c>
      <c r="P42" s="42">
        <f>508.27690454293*Deflactores!$M$5</f>
        <v>1049.2011318382395</v>
      </c>
      <c r="Q42" s="42">
        <f>562.750749762287*Deflactores!$N$5</f>
        <v>1139.5406632077375</v>
      </c>
      <c r="R42" s="42">
        <f>588.812518789808*Deflactores!$O$5</f>
        <v>1150.2164522833964</v>
      </c>
      <c r="S42" s="42">
        <f>581.806818446066*Deflactores!$P$5</f>
        <v>1064.4667597288403</v>
      </c>
      <c r="T42" s="42">
        <f>678.63936884993*Deflactores!$Q$5</f>
        <v>1174.1186096365011</v>
      </c>
      <c r="U42" s="42">
        <f>660.8345022621*Deflactores!$R$5</f>
        <v>1098.3901318863782</v>
      </c>
      <c r="V42" s="42">
        <f>667.506875000535*Deflactores!$S$5</f>
        <v>1075.2863494175726</v>
      </c>
    </row>
    <row r="43" spans="1:22" x14ac:dyDescent="0.2">
      <c r="A43" s="5"/>
      <c r="B43" s="40"/>
      <c r="C43" s="77" t="s">
        <v>58</v>
      </c>
      <c r="D43" s="42">
        <f>446.70245230153*Deflactores!$A$5</f>
        <v>1663.3917172797007</v>
      </c>
      <c r="E43" s="42">
        <f>619.54559498521*Deflactores!$B$5</f>
        <v>2143.0992261594552</v>
      </c>
      <c r="F43" s="42">
        <f>590.15871040122*Deflactores!$C$5</f>
        <v>1908.0386575293162</v>
      </c>
      <c r="G43" s="42">
        <f>625.16338690624*Deflactores!$D$5</f>
        <v>1898.0056572641843</v>
      </c>
      <c r="H43" s="42">
        <f>2926.70814690073*Deflactores!$E$5</f>
        <v>8422.5450879296077</v>
      </c>
      <c r="I43" s="42">
        <f>2536.86536542491*Deflactores!$F$5</f>
        <v>6962.6011522562667</v>
      </c>
      <c r="J43" s="42">
        <f>682.82374729575*Deflactores!$G$5</f>
        <v>1793.7341612119815</v>
      </c>
      <c r="K43" s="42">
        <f>692.34615233723*Deflactores!$H$5</f>
        <v>1720.7608487757389</v>
      </c>
      <c r="L43" s="42">
        <f>668.60202703876*Deflactores!$I$5</f>
        <v>1543.3078928648165</v>
      </c>
      <c r="M43" s="42">
        <f>1007.43957823098*Deflactores!$J$5</f>
        <v>2279.7962087762885</v>
      </c>
      <c r="N43" s="42">
        <f>2103.32480113953*Deflactores!$K$5</f>
        <v>4613.4390348945053</v>
      </c>
      <c r="O43" s="42">
        <f>1870.15117088134*Deflactores!$L$5</f>
        <v>3954.6190797310815</v>
      </c>
      <c r="P43" s="42">
        <f>1605.89553657127*Deflactores!$M$5</f>
        <v>3314.9399461691319</v>
      </c>
      <c r="Q43" s="42">
        <f>1572.98460321365*Deflactores!$N$5</f>
        <v>3185.2110702985442</v>
      </c>
      <c r="R43" s="42">
        <f>1542.13749801662*Deflactores!$O$5</f>
        <v>3012.4901650317515</v>
      </c>
      <c r="S43" s="42">
        <f>1858.04590128999*Deflactores!$P$5</f>
        <v>3399.4584409583617</v>
      </c>
      <c r="T43" s="42">
        <f>1539.75343159271*Deflactores!$Q$5</f>
        <v>2663.9379341466433</v>
      </c>
      <c r="U43" s="42">
        <f>1879.00796580775*Deflactores!$R$5</f>
        <v>3123.1477780204532</v>
      </c>
      <c r="V43" s="42">
        <f>1589.51859688868*Deflactores!$S$5</f>
        <v>2560.5543753813786</v>
      </c>
    </row>
    <row r="44" spans="1:22" x14ac:dyDescent="0.2">
      <c r="A44" s="5"/>
      <c r="B44" s="40"/>
      <c r="C44" s="77" t="s">
        <v>59</v>
      </c>
      <c r="D44" s="42">
        <f>361.37381338752*Deflactores!$A$5</f>
        <v>1345.6523574776045</v>
      </c>
      <c r="E44" s="42">
        <f>381.05527372942*Deflactores!$B$5</f>
        <v>1318.1261699923707</v>
      </c>
      <c r="F44" s="42">
        <f>472.85585379489*Deflactores!$C$5</f>
        <v>1528.7874813646322</v>
      </c>
      <c r="G44" s="42">
        <f>573.34714367837*Deflactores!$D$5</f>
        <v>1740.6907459233764</v>
      </c>
      <c r="H44" s="42">
        <f>554.17031789025*Deflactores!$E$5</f>
        <v>1594.8035316625749</v>
      </c>
      <c r="I44" s="42">
        <f>753.64074807077*Deflactores!$F$5</f>
        <v>2068.4187708266204</v>
      </c>
      <c r="J44" s="42">
        <f>866.95414428228*Deflactores!$G$5</f>
        <v>2277.4328967939014</v>
      </c>
      <c r="K44" s="42">
        <f>746.21807276442*Deflactores!$H$5</f>
        <v>1854.6544093978791</v>
      </c>
      <c r="L44" s="42">
        <f>826.78875358229*Deflactores!$I$5</f>
        <v>1908.4441230110731</v>
      </c>
      <c r="M44" s="42">
        <f>1035.78292286058*Deflactores!$J$5</f>
        <v>2343.9360847816229</v>
      </c>
      <c r="N44" s="42">
        <f>1338.71507620266*Deflactores!$K$5</f>
        <v>2936.3417318186307</v>
      </c>
      <c r="O44" s="42">
        <f>1309.33906975673*Deflactores!$L$5</f>
        <v>2768.7265862348017</v>
      </c>
      <c r="P44" s="42">
        <f>1354.68681348473*Deflactores!$M$5</f>
        <v>2796.3870191439473</v>
      </c>
      <c r="Q44" s="42">
        <f>1316.31316544299*Deflactores!$N$5</f>
        <v>2665.4649117244126</v>
      </c>
      <c r="R44" s="42">
        <f>1400.72661793563*Deflactores!$O$5</f>
        <v>2736.2509282449187</v>
      </c>
      <c r="S44" s="42">
        <f>1462.86806602252*Deflactores!$P$5</f>
        <v>2676.4458249368872</v>
      </c>
      <c r="T44" s="42">
        <f>1590.39408387612*Deflactores!$Q$5</f>
        <v>2751.5516727230606</v>
      </c>
      <c r="U44" s="42">
        <f>1506.98906216237*Deflactores!$R$5</f>
        <v>2504.805528575966</v>
      </c>
      <c r="V44" s="42">
        <f>1504.6257192454*Deflactores!$S$5</f>
        <v>2423.8004992620922</v>
      </c>
    </row>
    <row r="45" spans="1:22" x14ac:dyDescent="0.2">
      <c r="A45" s="5"/>
      <c r="B45" s="34" t="s">
        <v>41</v>
      </c>
      <c r="C45" s="76" t="s">
        <v>42</v>
      </c>
      <c r="D45" s="41">
        <f t="shared" ref="D45:V45" si="7">+D46+D49</f>
        <v>134.58706987540077</v>
      </c>
      <c r="E45" s="41">
        <f t="shared" si="7"/>
        <v>13.542615920275537</v>
      </c>
      <c r="F45" s="41">
        <f t="shared" si="7"/>
        <v>14.155469132528076</v>
      </c>
      <c r="G45" s="41">
        <f t="shared" si="7"/>
        <v>14.220093492308376</v>
      </c>
      <c r="H45" s="41">
        <f t="shared" si="7"/>
        <v>11.262170217570462</v>
      </c>
      <c r="I45" s="41">
        <f t="shared" si="7"/>
        <v>10.626838455764201</v>
      </c>
      <c r="J45" s="41">
        <f t="shared" si="7"/>
        <v>7.801970336190287</v>
      </c>
      <c r="K45" s="41">
        <f t="shared" si="7"/>
        <v>4.6107550451961625</v>
      </c>
      <c r="L45" s="41">
        <f t="shared" si="7"/>
        <v>5.303203303460319</v>
      </c>
      <c r="M45" s="41">
        <f t="shared" si="7"/>
        <v>7.5088330884018646</v>
      </c>
      <c r="N45" s="41">
        <f t="shared" si="7"/>
        <v>4.8043988865303699</v>
      </c>
      <c r="O45" s="41">
        <f t="shared" si="7"/>
        <v>2.4956056510553717</v>
      </c>
      <c r="P45" s="41">
        <f t="shared" si="7"/>
        <v>2.2045477777998377</v>
      </c>
      <c r="Q45" s="41">
        <f t="shared" si="7"/>
        <v>2.0204602991558538</v>
      </c>
      <c r="R45" s="41">
        <f t="shared" si="7"/>
        <v>2.042346085244573</v>
      </c>
      <c r="S45" s="41">
        <f t="shared" si="7"/>
        <v>2.8743445183688747</v>
      </c>
      <c r="T45" s="41">
        <f t="shared" si="7"/>
        <v>2.2261340765797764</v>
      </c>
      <c r="U45" s="41">
        <f t="shared" si="7"/>
        <v>2.4557915620834794</v>
      </c>
      <c r="V45" s="41">
        <f t="shared" si="7"/>
        <v>2.0364210179410476</v>
      </c>
    </row>
    <row r="46" spans="1:22" x14ac:dyDescent="0.2">
      <c r="A46" s="5"/>
      <c r="B46" s="34"/>
      <c r="C46" s="76" t="s">
        <v>43</v>
      </c>
      <c r="D46" s="41">
        <f t="shared" ref="D46:V46" si="8">+D47+D48</f>
        <v>17.112627068257034</v>
      </c>
      <c r="E46" s="41">
        <f t="shared" si="8"/>
        <v>12.14741730318271</v>
      </c>
      <c r="F46" s="41">
        <f t="shared" si="8"/>
        <v>11.437765559670867</v>
      </c>
      <c r="G46" s="41">
        <f t="shared" si="8"/>
        <v>10.511243997648496</v>
      </c>
      <c r="H46" s="41">
        <f t="shared" si="8"/>
        <v>7.8197195431325346</v>
      </c>
      <c r="I46" s="41">
        <f t="shared" si="8"/>
        <v>5.2639765793619411</v>
      </c>
      <c r="J46" s="41">
        <f t="shared" si="8"/>
        <v>3.4754070389759728</v>
      </c>
      <c r="K46" s="41">
        <f t="shared" si="8"/>
        <v>3.1577870626366051</v>
      </c>
      <c r="L46" s="41">
        <f t="shared" si="8"/>
        <v>2.5843028312963559</v>
      </c>
      <c r="M46" s="41">
        <f t="shared" si="8"/>
        <v>2.2697496143899119</v>
      </c>
      <c r="N46" s="41">
        <f t="shared" si="8"/>
        <v>2.3556043872053172</v>
      </c>
      <c r="O46" s="41">
        <f t="shared" si="8"/>
        <v>1.1876278343587128</v>
      </c>
      <c r="P46" s="41">
        <f t="shared" si="8"/>
        <v>0.30378734515435646</v>
      </c>
      <c r="Q46" s="41">
        <f t="shared" si="8"/>
        <v>0.30164524746087806</v>
      </c>
      <c r="R46" s="41">
        <f t="shared" si="8"/>
        <v>0.31412792027462505</v>
      </c>
      <c r="S46" s="41">
        <f t="shared" si="8"/>
        <v>0.34868653575507708</v>
      </c>
      <c r="T46" s="41">
        <f t="shared" si="8"/>
        <v>0.39873222104384054</v>
      </c>
      <c r="U46" s="41">
        <f t="shared" si="8"/>
        <v>0.4061146385658671</v>
      </c>
      <c r="V46" s="41">
        <f t="shared" si="8"/>
        <v>0.1913197906824553</v>
      </c>
    </row>
    <row r="47" spans="1:22" x14ac:dyDescent="0.2">
      <c r="A47" s="5"/>
      <c r="B47" s="32"/>
      <c r="C47" s="77" t="s">
        <v>60</v>
      </c>
      <c r="D47" s="42">
        <f>3.65824905912*Deflactores!$A$5</f>
        <v>13.622269484607495</v>
      </c>
      <c r="E47" s="42">
        <f>2.91486056692*Deflactores!$B$5</f>
        <v>10.082930902733784</v>
      </c>
      <c r="F47" s="42">
        <f>2.97582357547999*Deflactores!$C$5</f>
        <v>9.6211177094086189</v>
      </c>
      <c r="G47" s="42">
        <f>3.0890682435*Deflactores!$D$5</f>
        <v>9.37845869517861</v>
      </c>
      <c r="H47" s="42">
        <f>2.40092111228*Deflactores!$E$5</f>
        <v>6.9094235932457329</v>
      </c>
      <c r="I47" s="42">
        <f>1.69820650503*Deflactores!$F$5</f>
        <v>4.66084433562777</v>
      </c>
      <c r="J47" s="42">
        <f>1.15288949445999*Deflactores!$G$5</f>
        <v>3.0285667106706482</v>
      </c>
      <c r="K47" s="42">
        <f>1.12667958094*Deflactores!$H$5</f>
        <v>2.8002554870158045</v>
      </c>
      <c r="L47" s="42">
        <f>1.01209124926999*Deflactores!$I$5</f>
        <v>2.336170621880628</v>
      </c>
      <c r="M47" s="42">
        <f>0.91639999937*Deflactores!$J$5</f>
        <v>2.0737772164509085</v>
      </c>
      <c r="N47" s="42">
        <f>1.0035663036*Deflactores!$K$5</f>
        <v>2.2012253916393076</v>
      </c>
      <c r="O47" s="42">
        <f>0.531089072*Deflactores!$L$5</f>
        <v>1.1230402172130789</v>
      </c>
      <c r="P47" s="42">
        <f>0.121940248*Deflactores!$M$5</f>
        <v>0.25171288538731862</v>
      </c>
      <c r="Q47" s="42">
        <f>0.127142019*Deflactores!$N$5</f>
        <v>0.25745589981715949</v>
      </c>
      <c r="R47" s="42">
        <f>0.14275677018*Deflactores!$O$5</f>
        <v>0.27886836725781583</v>
      </c>
      <c r="S47" s="42">
        <f>0.170141165*Deflactores!$P$5</f>
        <v>0.3112882298075525</v>
      </c>
      <c r="T47" s="42">
        <f>0.213840013*Deflactores!$Q$5</f>
        <v>0.3699660678007794</v>
      </c>
      <c r="U47" s="42">
        <f>0.23542695539*Deflactores!$R$5</f>
        <v>0.3913092365717134</v>
      </c>
      <c r="V47" s="42">
        <f>0.11701085069*Deflactores!$S$5</f>
        <v>0.18849269601993826</v>
      </c>
    </row>
    <row r="48" spans="1:22" x14ac:dyDescent="0.2">
      <c r="A48" s="5"/>
      <c r="B48" s="32"/>
      <c r="C48" s="77" t="s">
        <v>61</v>
      </c>
      <c r="D48" s="42">
        <f>0.93733260532*Deflactores!$A$5</f>
        <v>3.4903575836495371</v>
      </c>
      <c r="E48" s="42">
        <f>0.59681952179*Deflactores!$B$5</f>
        <v>2.064486400448927</v>
      </c>
      <c r="F48" s="42">
        <f>0.561891420979999*Deflactores!$C$5</f>
        <v>1.8166478502622483</v>
      </c>
      <c r="G48" s="42">
        <f>0.37311579848*Deflactores!$D$5</f>
        <v>1.1327853024698857</v>
      </c>
      <c r="H48" s="42">
        <f>0.316314195389999*Deflactores!$E$5</f>
        <v>0.91029594988680207</v>
      </c>
      <c r="I48" s="42">
        <f>0.21975483967*Deflactores!$F$5</f>
        <v>0.60313224373417074</v>
      </c>
      <c r="J48" s="42">
        <f>0.17009944618*Deflactores!$G$5</f>
        <v>0.44684032830532455</v>
      </c>
      <c r="K48" s="42">
        <f>0.14385241906*Deflactores!$H$5</f>
        <v>0.35753157562080085</v>
      </c>
      <c r="L48" s="42">
        <f>0.10749747277*Deflactores!$I$5</f>
        <v>0.24813220941572783</v>
      </c>
      <c r="M48" s="42">
        <f>0.0865999992299999*Deflactores!$J$5</f>
        <v>0.19597239793900331</v>
      </c>
      <c r="N48" s="42">
        <f>0.07038332309*Deflactores!$K$5</f>
        <v>0.15437899556600973</v>
      </c>
      <c r="O48" s="42">
        <f>0.0305436769999999*Deflactores!$L$5</f>
        <v>6.4587617145633935E-2</v>
      </c>
      <c r="P48" s="42">
        <f>0.025227046*Deflactores!$M$5</f>
        <v>5.2074459767037819E-2</v>
      </c>
      <c r="Q48" s="42">
        <f>0.021822467*Deflactores!$N$5</f>
        <v>4.4189347643718555E-2</v>
      </c>
      <c r="R48" s="42">
        <f>0.01804987764*Deflactores!$O$5</f>
        <v>3.5259553016809213E-2</v>
      </c>
      <c r="S48" s="42">
        <f>0.020440835*Deflactores!$P$5</f>
        <v>3.7398305947524586E-2</v>
      </c>
      <c r="T48" s="42">
        <f>0.01662680748*Deflactores!$Q$5</f>
        <v>2.8766153243061136E-2</v>
      </c>
      <c r="U48" s="42">
        <f>0.00890750943*Deflactores!$R$5</f>
        <v>1.4805401994153691E-2</v>
      </c>
      <c r="V48" s="42">
        <f>0.00175497914999999*Deflactores!$S$5</f>
        <v>2.8270946625170434E-3</v>
      </c>
    </row>
    <row r="49" spans="1:22" x14ac:dyDescent="0.2">
      <c r="A49" s="5"/>
      <c r="B49" s="34"/>
      <c r="C49" s="76" t="s">
        <v>44</v>
      </c>
      <c r="D49" s="41">
        <f t="shared" ref="D49:V49" si="9">+D50+D51</f>
        <v>117.47444280714373</v>
      </c>
      <c r="E49" s="41">
        <f t="shared" si="9"/>
        <v>1.3951986170928281</v>
      </c>
      <c r="F49" s="41">
        <f t="shared" si="9"/>
        <v>2.7177035728572081</v>
      </c>
      <c r="G49" s="41">
        <f t="shared" si="9"/>
        <v>3.7088494946598791</v>
      </c>
      <c r="H49" s="41">
        <f t="shared" si="9"/>
        <v>3.4424506744379282</v>
      </c>
      <c r="I49" s="41">
        <f t="shared" si="9"/>
        <v>5.3628618764022598</v>
      </c>
      <c r="J49" s="41">
        <f t="shared" si="9"/>
        <v>4.3265632972143138</v>
      </c>
      <c r="K49" s="41">
        <f t="shared" si="9"/>
        <v>1.4529679825595572</v>
      </c>
      <c r="L49" s="41">
        <f t="shared" si="9"/>
        <v>2.7189004721639631</v>
      </c>
      <c r="M49" s="41">
        <f t="shared" si="9"/>
        <v>5.2390834740119523</v>
      </c>
      <c r="N49" s="41">
        <f t="shared" si="9"/>
        <v>2.4487944993250532</v>
      </c>
      <c r="O49" s="41">
        <f t="shared" si="9"/>
        <v>1.3079778166966589</v>
      </c>
      <c r="P49" s="41">
        <f t="shared" si="9"/>
        <v>1.9007604326454814</v>
      </c>
      <c r="Q49" s="41">
        <f t="shared" si="9"/>
        <v>1.7188150516949758</v>
      </c>
      <c r="R49" s="41">
        <f t="shared" si="9"/>
        <v>1.728218164969948</v>
      </c>
      <c r="S49" s="41">
        <f t="shared" si="9"/>
        <v>2.5256579826137977</v>
      </c>
      <c r="T49" s="41">
        <f t="shared" si="9"/>
        <v>1.8274018555359359</v>
      </c>
      <c r="U49" s="41">
        <f t="shared" si="9"/>
        <v>2.0496769235176124</v>
      </c>
      <c r="V49" s="41">
        <f t="shared" si="9"/>
        <v>1.845101227258592</v>
      </c>
    </row>
    <row r="50" spans="1:22" x14ac:dyDescent="0.2">
      <c r="A50" s="5"/>
      <c r="B50" s="32"/>
      <c r="C50" s="77" t="s">
        <v>60</v>
      </c>
      <c r="D50" s="42">
        <f>22.343096502*Deflactores!$A$5</f>
        <v>83.199278330177563</v>
      </c>
      <c r="E50" s="42">
        <f>0.067668509*Deflactores!$B$5</f>
        <v>0.23407531333787646</v>
      </c>
      <c r="F50" s="42">
        <f>0.51002678493*Deflactores!$C$5</f>
        <v>1.6489646003195189</v>
      </c>
      <c r="G50" s="42">
        <f>0.87329680818*Deflactores!$D$5</f>
        <v>2.6513425403861421</v>
      </c>
      <c r="H50" s="42">
        <f>0.8703*Deflactores!$E$5</f>
        <v>2.504568485172487</v>
      </c>
      <c r="I50" s="42">
        <f>1.442057823*Deflactores!$F$5</f>
        <v>3.9578266930843777</v>
      </c>
      <c r="J50" s="42">
        <f>1.2344*Deflactores!$G$5</f>
        <v>3.2426895774628712</v>
      </c>
      <c r="K50" s="42">
        <f>0.205*Deflactores!$H$5</f>
        <v>0.50950810199231822</v>
      </c>
      <c r="L50" s="42">
        <f>0.9096*Deflactores!$I$5</f>
        <v>2.0995940822483581</v>
      </c>
      <c r="M50" s="42">
        <f>0.8124*Deflactores!$J$5</f>
        <v>1.8384293013999657</v>
      </c>
      <c r="N50" s="42">
        <f>0.89234439156*Deflactores!$K$5</f>
        <v>1.9572709104945287</v>
      </c>
      <c r="O50" s="42">
        <f>0.549967381*Deflactores!$L$5</f>
        <v>1.1629602633178415</v>
      </c>
      <c r="P50" s="42">
        <f>0.795709454*Deflactores!$M$5</f>
        <v>1.642528417658359</v>
      </c>
      <c r="Q50" s="42">
        <f>0.708641824*Deflactores!$N$5</f>
        <v>1.4349624135353174</v>
      </c>
      <c r="R50" s="42">
        <f>0.740299999*Deflactores!$O$5</f>
        <v>1.4461398345016319</v>
      </c>
      <c r="S50" s="42">
        <f>1.250644745*Deflactores!$P$5</f>
        <v>2.2881645884414148</v>
      </c>
      <c r="T50" s="42">
        <f>0.9343812038*Deflactores!$Q$5</f>
        <v>1.6165793059358105</v>
      </c>
      <c r="U50" s="42">
        <f>1.1078660112*Deflactores!$R$5</f>
        <v>1.841412774286064</v>
      </c>
      <c r="V50" s="42">
        <f>1.022488845*Deflactores!$S$5</f>
        <v>1.6471265520064631</v>
      </c>
    </row>
    <row r="51" spans="1:22" x14ac:dyDescent="0.2">
      <c r="A51" s="5"/>
      <c r="B51" s="32"/>
      <c r="C51" s="77" t="s">
        <v>61</v>
      </c>
      <c r="D51" s="42">
        <f>9.204566709*Deflactores!$A$5</f>
        <v>34.275164476966168</v>
      </c>
      <c r="E51" s="42">
        <f>0.335667532*Deflactores!$B$5</f>
        <v>1.1611233037549515</v>
      </c>
      <c r="F51" s="42">
        <f>0.33056228253*Deflactores!$C$5</f>
        <v>1.0687389725376895</v>
      </c>
      <c r="G51" s="42">
        <f>0.34832068423*Deflactores!$D$5</f>
        <v>1.0575069542737368</v>
      </c>
      <c r="H51" s="42">
        <f>0.3259*Deflactores!$E$5</f>
        <v>0.93788218926544131</v>
      </c>
      <c r="I51" s="42">
        <f>0.511932971*Deflactores!$F$5</f>
        <v>1.4050351833178818</v>
      </c>
      <c r="J51" s="42">
        <f>0.4126*Deflactores!$G$5</f>
        <v>1.0838737197514428</v>
      </c>
      <c r="K51" s="42">
        <f>0.3796*Deflactores!$H$5</f>
        <v>0.94345988056723895</v>
      </c>
      <c r="L51" s="42">
        <f>0.2683*Deflactores!$I$5</f>
        <v>0.61930638991560516</v>
      </c>
      <c r="M51" s="42">
        <f>1.502745549*Deflactores!$J$5</f>
        <v>3.4006541726119863</v>
      </c>
      <c r="N51" s="42">
        <f>0.22409177772*Deflactores!$K$5</f>
        <v>0.49152358883052444</v>
      </c>
      <c r="O51" s="42">
        <f>0.068579234*Deflactores!$L$5</f>
        <v>0.14501755337881736</v>
      </c>
      <c r="P51" s="42">
        <f>0.125098387*Deflactores!$M$5</f>
        <v>0.25823201498712245</v>
      </c>
      <c r="Q51" s="42">
        <f>0.140177784*Deflactores!$N$5</f>
        <v>0.2838526381596585</v>
      </c>
      <c r="R51" s="42">
        <f>0.144399997*Deflactores!$O$5</f>
        <v>0.28207833046831621</v>
      </c>
      <c r="S51" s="42">
        <f>0.129807037*Deflactores!$P$5</f>
        <v>0.23749339417238305</v>
      </c>
      <c r="T51" s="42">
        <f>0.12185522044*Deflactores!$Q$5</f>
        <v>0.21082254960012539</v>
      </c>
      <c r="U51" s="42">
        <f>0.12529986514*Deflactores!$R$5</f>
        <v>0.20826414923154837</v>
      </c>
      <c r="V51" s="42">
        <f>0.122896991*Deflactores!$S$5</f>
        <v>0.19797467525212886</v>
      </c>
    </row>
    <row r="52" spans="1:22" x14ac:dyDescent="0.2">
      <c r="A52" s="5"/>
      <c r="B52" s="34" t="s">
        <v>45</v>
      </c>
      <c r="C52" s="76" t="s">
        <v>46</v>
      </c>
      <c r="D52" s="41">
        <f>1816.90084432714*Deflactores!$A$5</f>
        <v>6765.6172470085821</v>
      </c>
      <c r="E52" s="41">
        <f>2444.42400977596*Deflactores!$B$5</f>
        <v>8455.6217430316992</v>
      </c>
      <c r="F52" s="41">
        <f>2611.04680600357*Deflactores!$C$5</f>
        <v>8441.7600802439356</v>
      </c>
      <c r="G52" s="41">
        <f>2593.3764388676*Deflactores!$D$5</f>
        <v>7873.5307528887179</v>
      </c>
      <c r="H52" s="41">
        <f>3028.58485493613*Deflactores!$E$5</f>
        <v>8715.7281194343541</v>
      </c>
      <c r="I52" s="41">
        <f>3282.95946242233*Deflactores!$F$5</f>
        <v>9010.3076211313874</v>
      </c>
      <c r="J52" s="41">
        <f>3997.02975798642*Deflactores!$G$5</f>
        <v>10499.940648923775</v>
      </c>
      <c r="K52" s="41">
        <f>4579.31653701105*Deflactores!$H$5</f>
        <v>11381.45793753432</v>
      </c>
      <c r="L52" s="41">
        <f>5668.10436126272*Deflactores!$I$5</f>
        <v>13083.463472376117</v>
      </c>
      <c r="M52" s="41">
        <f>6985.85880736266*Deflactores!$J$5</f>
        <v>15808.724183774659</v>
      </c>
      <c r="N52" s="41">
        <f>6771.62051244038*Deflactores!$K$5</f>
        <v>14852.893088437633</v>
      </c>
      <c r="O52" s="41">
        <f>6770.34379832602*Deflactores!$L$5</f>
        <v>14316.55963329495</v>
      </c>
      <c r="P52" s="41">
        <f>7612.25867998777*Deflactores!$M$5</f>
        <v>15713.46317627944</v>
      </c>
      <c r="Q52" s="41">
        <f>8537.56862075744*Deflactores!$N$5</f>
        <v>17288.127314604404</v>
      </c>
      <c r="R52" s="41">
        <f>5662.63794292863*Deflactores!$O$5</f>
        <v>11061.686220033982</v>
      </c>
      <c r="S52" s="41">
        <f>6108.66604407169*Deflactores!$P$5</f>
        <v>11176.341947256447</v>
      </c>
      <c r="T52" s="41">
        <f>7604.45771518405*Deflactores!$Q$5</f>
        <v>13156.524259301941</v>
      </c>
      <c r="U52" s="41">
        <f>8576.41154759714*Deflactores!$R$5</f>
        <v>14255.075633355511</v>
      </c>
      <c r="V52" s="41">
        <f>7312.07314657487*Deflactores!$S$5</f>
        <v>11779.013422818236</v>
      </c>
    </row>
    <row r="53" spans="1:22" x14ac:dyDescent="0.2">
      <c r="A53" s="5"/>
      <c r="B53" s="36" t="s">
        <v>47</v>
      </c>
      <c r="C53" s="78" t="s">
        <v>48</v>
      </c>
      <c r="D53" s="43">
        <f t="shared" ref="D53:V53" si="10">+D40+D52</f>
        <v>12294.856941987462</v>
      </c>
      <c r="E53" s="43">
        <f t="shared" si="10"/>
        <v>14383.56640623535</v>
      </c>
      <c r="F53" s="43">
        <f t="shared" si="10"/>
        <v>14318.396603375062</v>
      </c>
      <c r="G53" s="43">
        <f t="shared" si="10"/>
        <v>13747.579605846309</v>
      </c>
      <c r="H53" s="43">
        <f t="shared" si="10"/>
        <v>20944.17230545191</v>
      </c>
      <c r="I53" s="43">
        <f t="shared" si="10"/>
        <v>20204.402448676134</v>
      </c>
      <c r="J53" s="43">
        <f t="shared" si="10"/>
        <v>16787.247304559867</v>
      </c>
      <c r="K53" s="43">
        <f t="shared" si="10"/>
        <v>17122.8960466914</v>
      </c>
      <c r="L53" s="43">
        <f t="shared" si="10"/>
        <v>18865.880239314611</v>
      </c>
      <c r="M53" s="43">
        <f t="shared" si="10"/>
        <v>22982.017338874022</v>
      </c>
      <c r="N53" s="43">
        <f t="shared" si="10"/>
        <v>24929.273370163057</v>
      </c>
      <c r="O53" s="43">
        <f t="shared" si="10"/>
        <v>23601.824594706104</v>
      </c>
      <c r="P53" s="43">
        <f t="shared" si="10"/>
        <v>24808.574172706707</v>
      </c>
      <c r="Q53" s="43">
        <f t="shared" si="10"/>
        <v>26489.53641792847</v>
      </c>
      <c r="R53" s="43">
        <f t="shared" si="10"/>
        <v>20448.507674816265</v>
      </c>
      <c r="S53" s="43">
        <f t="shared" si="10"/>
        <v>20743.118046174408</v>
      </c>
      <c r="T53" s="43">
        <f t="shared" si="10"/>
        <v>22213.723496292725</v>
      </c>
      <c r="U53" s="43">
        <f t="shared" si="10"/>
        <v>23553.503302560603</v>
      </c>
      <c r="V53" s="43">
        <f t="shared" si="10"/>
        <v>20754.163636815956</v>
      </c>
    </row>
    <row r="54" spans="1:22" x14ac:dyDescent="0.2">
      <c r="A54" s="5"/>
      <c r="B54" s="38" t="s">
        <v>49</v>
      </c>
      <c r="C54" s="79" t="s">
        <v>63</v>
      </c>
      <c r="D54" s="44">
        <f t="shared" ref="D54:V54" si="11">+D40+D45+D52</f>
        <v>12429.444011862863</v>
      </c>
      <c r="E54" s="44">
        <f t="shared" si="11"/>
        <v>14397.109022155624</v>
      </c>
      <c r="F54" s="44">
        <f t="shared" si="11"/>
        <v>14332.552072507591</v>
      </c>
      <c r="G54" s="44">
        <f t="shared" si="11"/>
        <v>13761.799699338619</v>
      </c>
      <c r="H54" s="44">
        <f t="shared" si="11"/>
        <v>20955.434475669485</v>
      </c>
      <c r="I54" s="44">
        <f t="shared" si="11"/>
        <v>20215.029287131896</v>
      </c>
      <c r="J54" s="44">
        <f t="shared" si="11"/>
        <v>16795.049274896061</v>
      </c>
      <c r="K54" s="44">
        <f t="shared" si="11"/>
        <v>17127.506801736596</v>
      </c>
      <c r="L54" s="44">
        <f t="shared" si="11"/>
        <v>18871.183442618072</v>
      </c>
      <c r="M54" s="44">
        <f t="shared" si="11"/>
        <v>22989.526171962425</v>
      </c>
      <c r="N54" s="44">
        <f t="shared" si="11"/>
        <v>24934.077769049589</v>
      </c>
      <c r="O54" s="44">
        <f t="shared" si="11"/>
        <v>23604.320200357157</v>
      </c>
      <c r="P54" s="44">
        <f t="shared" si="11"/>
        <v>24810.778720484508</v>
      </c>
      <c r="Q54" s="44">
        <f t="shared" si="11"/>
        <v>26491.556878227624</v>
      </c>
      <c r="R54" s="44">
        <f t="shared" si="11"/>
        <v>20450.550020901508</v>
      </c>
      <c r="S54" s="44">
        <f t="shared" si="11"/>
        <v>20745.992390692776</v>
      </c>
      <c r="T54" s="44">
        <f t="shared" si="11"/>
        <v>22215.949630369309</v>
      </c>
      <c r="U54" s="44">
        <f t="shared" si="11"/>
        <v>23555.959094122685</v>
      </c>
      <c r="V54" s="44">
        <f t="shared" si="11"/>
        <v>20756.200057833899</v>
      </c>
    </row>
    <row r="55" spans="1:22" x14ac:dyDescent="0.2">
      <c r="A55" s="5"/>
      <c r="B55" s="36" t="s">
        <v>64</v>
      </c>
      <c r="C55" s="78" t="s">
        <v>65</v>
      </c>
      <c r="D55" s="43">
        <f t="shared" ref="D55:V55" si="12">+D27</f>
        <v>15419.245653710524</v>
      </c>
      <c r="E55" s="43">
        <f t="shared" si="12"/>
        <v>16475.376531648231</v>
      </c>
      <c r="F55" s="43">
        <f t="shared" si="12"/>
        <v>16329.166817702482</v>
      </c>
      <c r="G55" s="43">
        <f t="shared" si="12"/>
        <v>14850.509302350096</v>
      </c>
      <c r="H55" s="43">
        <f t="shared" si="12"/>
        <v>22208.657685432805</v>
      </c>
      <c r="I55" s="43">
        <f t="shared" si="12"/>
        <v>21301.409589219656</v>
      </c>
      <c r="J55" s="43">
        <f t="shared" si="12"/>
        <v>18309.387280904102</v>
      </c>
      <c r="K55" s="43">
        <f t="shared" si="12"/>
        <v>18987.212337302226</v>
      </c>
      <c r="L55" s="43">
        <f t="shared" si="12"/>
        <v>20331.610815731648</v>
      </c>
      <c r="M55" s="43">
        <f t="shared" si="12"/>
        <v>25373.618670077689</v>
      </c>
      <c r="N55" s="43">
        <f t="shared" si="12"/>
        <v>27649.756800421019</v>
      </c>
      <c r="O55" s="43">
        <f t="shared" si="12"/>
        <v>27260.568501226466</v>
      </c>
      <c r="P55" s="43">
        <f t="shared" si="12"/>
        <v>27342.795754667572</v>
      </c>
      <c r="Q55" s="43">
        <f t="shared" si="12"/>
        <v>29167.622603933665</v>
      </c>
      <c r="R55" s="43">
        <f t="shared" si="12"/>
        <v>22295.443831010525</v>
      </c>
      <c r="S55" s="43">
        <f t="shared" si="12"/>
        <v>22425.841336403595</v>
      </c>
      <c r="T55" s="43">
        <f t="shared" si="12"/>
        <v>23107.965352610372</v>
      </c>
      <c r="U55" s="43">
        <f t="shared" si="12"/>
        <v>24292.513948447566</v>
      </c>
      <c r="V55" s="43">
        <f t="shared" si="12"/>
        <v>22138.919237354407</v>
      </c>
    </row>
    <row r="56" spans="1:22" x14ac:dyDescent="0.2">
      <c r="A56" s="5"/>
      <c r="B56" s="38" t="s">
        <v>66</v>
      </c>
      <c r="C56" s="66" t="s">
        <v>77</v>
      </c>
      <c r="D56" s="45">
        <f t="shared" ref="D56:V56" si="13">+D53/D$27*100</f>
        <v>79.737084537782152</v>
      </c>
      <c r="E56" s="45">
        <f t="shared" si="13"/>
        <v>87.303415364167023</v>
      </c>
      <c r="F56" s="45">
        <f t="shared" si="13"/>
        <v>87.686020745727575</v>
      </c>
      <c r="G56" s="45">
        <f t="shared" si="13"/>
        <v>92.573118712304051</v>
      </c>
      <c r="H56" s="45">
        <f t="shared" si="13"/>
        <v>94.306340356579483</v>
      </c>
      <c r="I56" s="45">
        <f t="shared" si="13"/>
        <v>94.850072545909342</v>
      </c>
      <c r="J56" s="45">
        <f t="shared" si="13"/>
        <v>91.686559724848024</v>
      </c>
      <c r="K56" s="45">
        <f t="shared" si="13"/>
        <v>90.181200602322249</v>
      </c>
      <c r="L56" s="45">
        <f t="shared" si="13"/>
        <v>92.790878255042514</v>
      </c>
      <c r="M56" s="45">
        <f t="shared" si="13"/>
        <v>90.574457028378035</v>
      </c>
      <c r="N56" s="45">
        <f t="shared" si="13"/>
        <v>90.160913711123357</v>
      </c>
      <c r="O56" s="45">
        <f t="shared" si="13"/>
        <v>86.578622135647123</v>
      </c>
      <c r="P56" s="45">
        <f t="shared" si="13"/>
        <v>90.731666195735457</v>
      </c>
      <c r="Q56" s="45">
        <f t="shared" si="13"/>
        <v>90.818291149844981</v>
      </c>
      <c r="R56" s="45">
        <f t="shared" si="13"/>
        <v>91.716082576363092</v>
      </c>
      <c r="S56" s="45">
        <f t="shared" si="13"/>
        <v>92.496498726682589</v>
      </c>
      <c r="T56" s="45">
        <f t="shared" si="13"/>
        <v>96.130157533680787</v>
      </c>
      <c r="U56" s="45">
        <f t="shared" si="13"/>
        <v>96.957866742588863</v>
      </c>
      <c r="V56" s="45">
        <f t="shared" si="13"/>
        <v>93.745152662186015</v>
      </c>
    </row>
    <row r="57" spans="1:22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customHeight="1" x14ac:dyDescent="0.2">
      <c r="A62" s="5"/>
      <c r="C62" s="131"/>
      <c r="D62" s="155" t="s">
        <v>85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</row>
    <row r="63" spans="1:22" x14ac:dyDescent="0.2">
      <c r="A63" s="5"/>
      <c r="T63" s="29"/>
      <c r="U63" s="29"/>
      <c r="V63" s="29"/>
    </row>
    <row r="64" spans="1:22" x14ac:dyDescent="0.2">
      <c r="A64" s="5"/>
      <c r="B64" s="158"/>
      <c r="C64" s="159" t="s">
        <v>38</v>
      </c>
      <c r="D64" s="153">
        <v>2000</v>
      </c>
      <c r="E64" s="153">
        <v>2001</v>
      </c>
      <c r="F64" s="153">
        <v>2002</v>
      </c>
      <c r="G64" s="153">
        <v>2003</v>
      </c>
      <c r="H64" s="153">
        <v>2004</v>
      </c>
      <c r="I64" s="153">
        <v>2005</v>
      </c>
      <c r="J64" s="153">
        <v>2006</v>
      </c>
      <c r="K64" s="153">
        <v>2007</v>
      </c>
      <c r="L64" s="153">
        <v>2008</v>
      </c>
      <c r="M64" s="153">
        <v>2009</v>
      </c>
      <c r="N64" s="153">
        <v>2010</v>
      </c>
      <c r="O64" s="153">
        <v>2011</v>
      </c>
      <c r="P64" s="153">
        <v>2012</v>
      </c>
      <c r="Q64" s="153">
        <v>2013</v>
      </c>
      <c r="R64" s="153">
        <v>2014</v>
      </c>
      <c r="S64" s="153">
        <v>2015</v>
      </c>
      <c r="T64" s="153">
        <v>2016</v>
      </c>
      <c r="U64" s="153">
        <v>2017</v>
      </c>
      <c r="V64" s="153">
        <v>2018</v>
      </c>
    </row>
    <row r="65" spans="1:22" ht="12" customHeight="1" thickBot="1" x14ac:dyDescent="0.25">
      <c r="A65" s="5"/>
      <c r="B65" s="154"/>
      <c r="C65" s="160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2" x14ac:dyDescent="0.2">
      <c r="A66" s="5"/>
      <c r="B66" s="34" t="s">
        <v>39</v>
      </c>
      <c r="C66" s="76" t="s">
        <v>40</v>
      </c>
      <c r="D66" s="46">
        <f t="shared" ref="D66:V66" si="14">+IFERROR(IF(D40&gt;0,+((D40/D14)*100)," "),"")</f>
        <v>82.380586180502888</v>
      </c>
      <c r="E66" s="46">
        <f t="shared" si="14"/>
        <v>86.587801528149399</v>
      </c>
      <c r="F66" s="46">
        <f t="shared" si="14"/>
        <v>86.172835197286076</v>
      </c>
      <c r="G66" s="46">
        <f t="shared" si="14"/>
        <v>87.966307282714595</v>
      </c>
      <c r="H66" s="46">
        <f t="shared" si="14"/>
        <v>94.309815995592018</v>
      </c>
      <c r="I66" s="46">
        <f t="shared" si="14"/>
        <v>94.269178237202311</v>
      </c>
      <c r="J66" s="46">
        <f t="shared" si="14"/>
        <v>87.439510711713638</v>
      </c>
      <c r="K66" s="46">
        <f t="shared" si="14"/>
        <v>83.302500871920174</v>
      </c>
      <c r="L66" s="46">
        <f t="shared" si="14"/>
        <v>85.292611920028392</v>
      </c>
      <c r="M66" s="46">
        <f t="shared" si="14"/>
        <v>85.179849521501595</v>
      </c>
      <c r="N66" s="46">
        <f t="shared" si="14"/>
        <v>89.651115968334523</v>
      </c>
      <c r="O66" s="46">
        <f t="shared" si="14"/>
        <v>86.634214655221314</v>
      </c>
      <c r="P66" s="46">
        <f t="shared" si="14"/>
        <v>87.876529455249226</v>
      </c>
      <c r="Q66" s="46">
        <f t="shared" si="14"/>
        <v>82.883928191229145</v>
      </c>
      <c r="R66" s="46">
        <f t="shared" si="14"/>
        <v>87.249004529073915</v>
      </c>
      <c r="S66" s="46">
        <f t="shared" si="14"/>
        <v>88.664942684401439</v>
      </c>
      <c r="T66" s="46">
        <f t="shared" si="14"/>
        <v>93.09465781469288</v>
      </c>
      <c r="U66" s="46">
        <f t="shared" si="14"/>
        <v>94.835371863395622</v>
      </c>
      <c r="V66" s="46">
        <f t="shared" si="14"/>
        <v>91.748310481209998</v>
      </c>
    </row>
    <row r="67" spans="1:22" x14ac:dyDescent="0.2">
      <c r="A67" s="5"/>
      <c r="B67" s="40"/>
      <c r="C67" s="77" t="s">
        <v>56</v>
      </c>
      <c r="D67" s="47">
        <f t="shared" ref="D67:V67" si="15">+IFERROR(IF(D41&gt;0,+((D41/D15)*100)," "),"")</f>
        <v>95.010221556084829</v>
      </c>
      <c r="E67" s="47">
        <f t="shared" si="15"/>
        <v>94.791176146647047</v>
      </c>
      <c r="F67" s="47">
        <f t="shared" si="15"/>
        <v>96.802537407543795</v>
      </c>
      <c r="G67" s="47">
        <f t="shared" si="15"/>
        <v>95.386677958105295</v>
      </c>
      <c r="H67" s="47">
        <f t="shared" si="15"/>
        <v>94.386480947052078</v>
      </c>
      <c r="I67" s="47">
        <f t="shared" si="15"/>
        <v>96.651544163419004</v>
      </c>
      <c r="J67" s="47">
        <f t="shared" si="15"/>
        <v>94.739598449319629</v>
      </c>
      <c r="K67" s="47">
        <f t="shared" si="15"/>
        <v>93.93120101675143</v>
      </c>
      <c r="L67" s="47">
        <f t="shared" si="15"/>
        <v>95.565244360520325</v>
      </c>
      <c r="M67" s="47">
        <f t="shared" si="15"/>
        <v>93.138619429330362</v>
      </c>
      <c r="N67" s="47">
        <f t="shared" si="15"/>
        <v>94.543118897532935</v>
      </c>
      <c r="O67" s="47">
        <f t="shared" si="15"/>
        <v>94.084376553273714</v>
      </c>
      <c r="P67" s="47">
        <f t="shared" si="15"/>
        <v>93.160184162642778</v>
      </c>
      <c r="Q67" s="47">
        <f t="shared" si="15"/>
        <v>83.872597325398573</v>
      </c>
      <c r="R67" s="47">
        <f t="shared" si="15"/>
        <v>87.397790041444367</v>
      </c>
      <c r="S67" s="47">
        <f t="shared" si="15"/>
        <v>90.564565787529176</v>
      </c>
      <c r="T67" s="47">
        <f t="shared" si="15"/>
        <v>93.173397677444598</v>
      </c>
      <c r="U67" s="47">
        <f t="shared" si="15"/>
        <v>93.140534576252662</v>
      </c>
      <c r="V67" s="47">
        <f t="shared" si="15"/>
        <v>93.459862674047628</v>
      </c>
    </row>
    <row r="68" spans="1:22" x14ac:dyDescent="0.2">
      <c r="A68" s="5"/>
      <c r="B68" s="40"/>
      <c r="C68" s="77" t="s">
        <v>57</v>
      </c>
      <c r="D68" s="47">
        <f t="shared" ref="D68:V68" si="16">+IFERROR(IF(D42&gt;0,+((D42/D16)*100)," "),"")</f>
        <v>85.610805876795567</v>
      </c>
      <c r="E68" s="47">
        <f t="shared" si="16"/>
        <v>95.332204527921419</v>
      </c>
      <c r="F68" s="47">
        <f t="shared" si="16"/>
        <v>95.609636754860873</v>
      </c>
      <c r="G68" s="47">
        <f t="shared" si="16"/>
        <v>95.317788497212021</v>
      </c>
      <c r="H68" s="47">
        <f t="shared" si="16"/>
        <v>92.347480310426789</v>
      </c>
      <c r="I68" s="47">
        <f t="shared" si="16"/>
        <v>94.376129525160863</v>
      </c>
      <c r="J68" s="47">
        <f t="shared" si="16"/>
        <v>90.485384651095941</v>
      </c>
      <c r="K68" s="47">
        <f t="shared" si="16"/>
        <v>87.924307065955858</v>
      </c>
      <c r="L68" s="47">
        <f t="shared" si="16"/>
        <v>90.027525892344499</v>
      </c>
      <c r="M68" s="47">
        <f t="shared" si="16"/>
        <v>93.688230290242728</v>
      </c>
      <c r="N68" s="47">
        <f t="shared" si="16"/>
        <v>92.031046759022843</v>
      </c>
      <c r="O68" s="47">
        <f t="shared" si="16"/>
        <v>89.538342102336301</v>
      </c>
      <c r="P68" s="47">
        <f t="shared" si="16"/>
        <v>90.525993351269932</v>
      </c>
      <c r="Q68" s="47">
        <f t="shared" si="16"/>
        <v>91.754073388165409</v>
      </c>
      <c r="R68" s="47">
        <f t="shared" si="16"/>
        <v>89.350178715357856</v>
      </c>
      <c r="S68" s="47">
        <f t="shared" si="16"/>
        <v>94.53929892670547</v>
      </c>
      <c r="T68" s="47">
        <f t="shared" si="16"/>
        <v>95.766289055834562</v>
      </c>
      <c r="U68" s="47">
        <f t="shared" si="16"/>
        <v>94.966191054886806</v>
      </c>
      <c r="V68" s="47">
        <f t="shared" si="16"/>
        <v>88.977996178187141</v>
      </c>
    </row>
    <row r="69" spans="1:22" x14ac:dyDescent="0.2">
      <c r="A69" s="5"/>
      <c r="B69" s="40"/>
      <c r="C69" s="77" t="s">
        <v>58</v>
      </c>
      <c r="D69" s="47">
        <f t="shared" ref="D69:V69" si="17">+IFERROR(IF(D43&gt;0,+((D43/D17)*100)," "),"")</f>
        <v>66.156979370994534</v>
      </c>
      <c r="E69" s="47">
        <f t="shared" si="17"/>
        <v>76.080932619632506</v>
      </c>
      <c r="F69" s="47">
        <f t="shared" si="17"/>
        <v>73.797338235805171</v>
      </c>
      <c r="G69" s="47">
        <f t="shared" si="17"/>
        <v>75.578097052095742</v>
      </c>
      <c r="H69" s="47">
        <f t="shared" si="17"/>
        <v>94.140123567015749</v>
      </c>
      <c r="I69" s="47">
        <f t="shared" si="17"/>
        <v>93.424323416196486</v>
      </c>
      <c r="J69" s="47">
        <f t="shared" si="17"/>
        <v>75.330486831961878</v>
      </c>
      <c r="K69" s="47">
        <f t="shared" si="17"/>
        <v>69.773014440619932</v>
      </c>
      <c r="L69" s="47">
        <f t="shared" si="17"/>
        <v>69.461498324184774</v>
      </c>
      <c r="M69" s="47">
        <f t="shared" si="17"/>
        <v>73.142434363406053</v>
      </c>
      <c r="N69" s="47">
        <f t="shared" si="17"/>
        <v>84.434808746518613</v>
      </c>
      <c r="O69" s="47">
        <f t="shared" si="17"/>
        <v>83.403464710456731</v>
      </c>
      <c r="P69" s="47">
        <f t="shared" si="17"/>
        <v>86.974067759018169</v>
      </c>
      <c r="Q69" s="47">
        <f t="shared" si="17"/>
        <v>79.332130610650324</v>
      </c>
      <c r="R69" s="47">
        <f t="shared" si="17"/>
        <v>83.904755181182125</v>
      </c>
      <c r="S69" s="47">
        <f t="shared" si="17"/>
        <v>88.767680929896798</v>
      </c>
      <c r="T69" s="47">
        <f t="shared" si="17"/>
        <v>92.015735712516886</v>
      </c>
      <c r="U69" s="47">
        <f t="shared" si="17"/>
        <v>94.741251723249292</v>
      </c>
      <c r="V69" s="47">
        <f t="shared" si="17"/>
        <v>86.086085963071653</v>
      </c>
    </row>
    <row r="70" spans="1:22" x14ac:dyDescent="0.2">
      <c r="A70" s="5"/>
      <c r="B70" s="40"/>
      <c r="C70" s="77" t="s">
        <v>59</v>
      </c>
      <c r="D70" s="47">
        <f t="shared" ref="D70:V70" si="18">+IFERROR(IF(D44&gt;0,+((D44/D18)*100)," "),"")</f>
        <v>93.400772932801601</v>
      </c>
      <c r="E70" s="47">
        <f t="shared" si="18"/>
        <v>92.033112221907857</v>
      </c>
      <c r="F70" s="47">
        <f t="shared" si="18"/>
        <v>89.784423910017466</v>
      </c>
      <c r="G70" s="47">
        <f t="shared" si="18"/>
        <v>95.521255735195453</v>
      </c>
      <c r="H70" s="47">
        <f t="shared" si="18"/>
        <v>96.069613442547919</v>
      </c>
      <c r="I70" s="47">
        <f t="shared" si="18"/>
        <v>95.46005993959119</v>
      </c>
      <c r="J70" s="47">
        <f t="shared" si="18"/>
        <v>93.552595038968505</v>
      </c>
      <c r="K70" s="47">
        <f t="shared" si="18"/>
        <v>89.55335982298584</v>
      </c>
      <c r="L70" s="47">
        <f t="shared" si="18"/>
        <v>91.976155547655026</v>
      </c>
      <c r="M70" s="47">
        <f t="shared" si="18"/>
        <v>91.13574997834364</v>
      </c>
      <c r="N70" s="47">
        <f t="shared" si="18"/>
        <v>95.319106774375399</v>
      </c>
      <c r="O70" s="47">
        <f t="shared" si="18"/>
        <v>86.25728517663272</v>
      </c>
      <c r="P70" s="47">
        <f t="shared" si="18"/>
        <v>84.666189649282913</v>
      </c>
      <c r="Q70" s="47">
        <f t="shared" si="18"/>
        <v>83.082730785381344</v>
      </c>
      <c r="R70" s="47">
        <f t="shared" si="18"/>
        <v>90.175037148217157</v>
      </c>
      <c r="S70" s="47">
        <f t="shared" si="18"/>
        <v>84.830714197839058</v>
      </c>
      <c r="T70" s="47">
        <f t="shared" si="18"/>
        <v>92.972866478034717</v>
      </c>
      <c r="U70" s="47">
        <f t="shared" si="18"/>
        <v>96.703680949541209</v>
      </c>
      <c r="V70" s="47">
        <f t="shared" si="18"/>
        <v>97.736550469310728</v>
      </c>
    </row>
    <row r="71" spans="1:22" x14ac:dyDescent="0.2">
      <c r="A71" s="5"/>
      <c r="B71" s="34" t="s">
        <v>41</v>
      </c>
      <c r="C71" s="76" t="s">
        <v>42</v>
      </c>
      <c r="D71" s="46">
        <f t="shared" ref="D71:V71" si="19">+IFERROR(IF(D45&gt;0,+((D45/D19)*100)," "),"")</f>
        <v>92.191376473953625</v>
      </c>
      <c r="E71" s="46">
        <f t="shared" si="19"/>
        <v>99.408653006014276</v>
      </c>
      <c r="F71" s="46">
        <f t="shared" si="19"/>
        <v>93.910617819992154</v>
      </c>
      <c r="G71" s="46">
        <f t="shared" si="19"/>
        <v>99.153547610596917</v>
      </c>
      <c r="H71" s="46">
        <f t="shared" si="19"/>
        <v>97.480080398296209</v>
      </c>
      <c r="I71" s="46">
        <f t="shared" si="19"/>
        <v>92.293485219109797</v>
      </c>
      <c r="J71" s="46">
        <f t="shared" si="19"/>
        <v>99.039247053487728</v>
      </c>
      <c r="K71" s="46">
        <f t="shared" si="19"/>
        <v>64.975349651084429</v>
      </c>
      <c r="L71" s="46">
        <f t="shared" si="19"/>
        <v>98.27987860033322</v>
      </c>
      <c r="M71" s="46">
        <f t="shared" si="19"/>
        <v>83.063698089969222</v>
      </c>
      <c r="N71" s="46">
        <f t="shared" si="19"/>
        <v>96.51402493809212</v>
      </c>
      <c r="O71" s="46">
        <f t="shared" si="19"/>
        <v>62.42353559716495</v>
      </c>
      <c r="P71" s="46">
        <f t="shared" si="19"/>
        <v>87.524597197180782</v>
      </c>
      <c r="Q71" s="46">
        <f t="shared" si="19"/>
        <v>72.40813454281566</v>
      </c>
      <c r="R71" s="46">
        <f t="shared" si="19"/>
        <v>99.250678167837478</v>
      </c>
      <c r="S71" s="46">
        <f t="shared" si="19"/>
        <v>99.999996308163546</v>
      </c>
      <c r="T71" s="46">
        <f t="shared" si="19"/>
        <v>99.91474768435225</v>
      </c>
      <c r="U71" s="46">
        <f t="shared" si="19"/>
        <v>95.624900728755435</v>
      </c>
      <c r="V71" s="46">
        <f t="shared" si="19"/>
        <v>98.240456016776122</v>
      </c>
    </row>
    <row r="72" spans="1:22" x14ac:dyDescent="0.2">
      <c r="A72" s="5"/>
      <c r="B72" s="34"/>
      <c r="C72" s="76" t="s">
        <v>43</v>
      </c>
      <c r="D72" s="46">
        <f t="shared" ref="D72:V72" si="20">+IFERROR(IF(D46&gt;0,+((D46/D20)*100)," "),"")</f>
        <v>71.104986815557893</v>
      </c>
      <c r="E72" s="46">
        <f t="shared" si="20"/>
        <v>99.385297127695694</v>
      </c>
      <c r="F72" s="46">
        <f t="shared" si="20"/>
        <v>99.946745294948272</v>
      </c>
      <c r="G72" s="46">
        <f t="shared" si="20"/>
        <v>99.437241896204398</v>
      </c>
      <c r="H72" s="46">
        <f t="shared" si="20"/>
        <v>96.410563002767489</v>
      </c>
      <c r="I72" s="46">
        <f t="shared" si="20"/>
        <v>85.574767329787989</v>
      </c>
      <c r="J72" s="46">
        <f t="shared" si="20"/>
        <v>97.868689202544019</v>
      </c>
      <c r="K72" s="46">
        <f t="shared" si="20"/>
        <v>100</v>
      </c>
      <c r="L72" s="46">
        <f t="shared" si="20"/>
        <v>96.532912747024497</v>
      </c>
      <c r="M72" s="46">
        <f t="shared" si="20"/>
        <v>99.999999860418725</v>
      </c>
      <c r="N72" s="46">
        <f t="shared" si="20"/>
        <v>93.139544781134049</v>
      </c>
      <c r="O72" s="46">
        <f t="shared" si="20"/>
        <v>60.151306522437601</v>
      </c>
      <c r="P72" s="46">
        <f t="shared" si="20"/>
        <v>86.467270270270291</v>
      </c>
      <c r="Q72" s="46">
        <f t="shared" si="20"/>
        <v>28.696683875939122</v>
      </c>
      <c r="R72" s="46">
        <f t="shared" si="20"/>
        <v>95.321071618257278</v>
      </c>
      <c r="S72" s="46">
        <f t="shared" si="20"/>
        <v>100</v>
      </c>
      <c r="T72" s="46">
        <f t="shared" si="20"/>
        <v>99.527891537933129</v>
      </c>
      <c r="U72" s="46">
        <f t="shared" si="20"/>
        <v>82.26749657239057</v>
      </c>
      <c r="V72" s="46">
        <f t="shared" si="20"/>
        <v>84.231084992907796</v>
      </c>
    </row>
    <row r="73" spans="1:22" x14ac:dyDescent="0.2">
      <c r="A73" s="5"/>
      <c r="B73" s="32"/>
      <c r="C73" s="77" t="s">
        <v>60</v>
      </c>
      <c r="D73" s="47">
        <f t="shared" ref="D73:V73" si="21">+IFERROR(IF(D47&gt;0,+((D47/D21)*100)," "),"")</f>
        <v>66.695597150676292</v>
      </c>
      <c r="E73" s="47">
        <f t="shared" si="21"/>
        <v>99.435783820699996</v>
      </c>
      <c r="F73" s="47">
        <f t="shared" si="21"/>
        <v>99.963840756491322</v>
      </c>
      <c r="G73" s="47">
        <f t="shared" si="21"/>
        <v>99.595764826515719</v>
      </c>
      <c r="H73" s="47">
        <f t="shared" si="21"/>
        <v>96.830857522887683</v>
      </c>
      <c r="I73" s="47">
        <f t="shared" si="21"/>
        <v>85.358272233649998</v>
      </c>
      <c r="J73" s="47">
        <f t="shared" si="21"/>
        <v>98.293929103929571</v>
      </c>
      <c r="K73" s="47">
        <f t="shared" si="21"/>
        <v>100</v>
      </c>
      <c r="L73" s="47">
        <f t="shared" si="21"/>
        <v>97.157650885090717</v>
      </c>
      <c r="M73" s="47">
        <f t="shared" si="21"/>
        <v>99.999999931252731</v>
      </c>
      <c r="N73" s="47">
        <f t="shared" si="21"/>
        <v>94.599707635235504</v>
      </c>
      <c r="O73" s="47">
        <f t="shared" si="21"/>
        <v>60.371612140502442</v>
      </c>
      <c r="P73" s="47">
        <f t="shared" si="21"/>
        <v>86.975925820256776</v>
      </c>
      <c r="Q73" s="47">
        <f t="shared" si="21"/>
        <v>26.285304734339466</v>
      </c>
      <c r="R73" s="47">
        <f t="shared" si="21"/>
        <v>96.499260847337581</v>
      </c>
      <c r="S73" s="47">
        <f t="shared" si="21"/>
        <v>100</v>
      </c>
      <c r="T73" s="47">
        <f t="shared" si="21"/>
        <v>100</v>
      </c>
      <c r="U73" s="47">
        <f t="shared" si="21"/>
        <v>82.605949259649122</v>
      </c>
      <c r="V73" s="47">
        <f t="shared" si="21"/>
        <v>84.790471514492751</v>
      </c>
    </row>
    <row r="74" spans="1:22" x14ac:dyDescent="0.2">
      <c r="A74" s="5"/>
      <c r="B74" s="32"/>
      <c r="C74" s="77" t="s">
        <v>61</v>
      </c>
      <c r="D74" s="47">
        <f t="shared" ref="D74:V74" si="22">+IFERROR(IF(D48&gt;0,+((D48/D22)*100)," "),"")</f>
        <v>95.831980914016981</v>
      </c>
      <c r="E74" s="47">
        <f t="shared" si="22"/>
        <v>99.139455446843854</v>
      </c>
      <c r="F74" s="47">
        <f t="shared" si="22"/>
        <v>99.856303710680479</v>
      </c>
      <c r="G74" s="47">
        <f t="shared" si="22"/>
        <v>98.143943939648963</v>
      </c>
      <c r="H74" s="47">
        <f t="shared" si="22"/>
        <v>93.335554850988217</v>
      </c>
      <c r="I74" s="47">
        <f t="shared" si="22"/>
        <v>87.285558076235461</v>
      </c>
      <c r="J74" s="47">
        <f t="shared" si="22"/>
        <v>95.080741296813855</v>
      </c>
      <c r="K74" s="47">
        <f t="shared" si="22"/>
        <v>100</v>
      </c>
      <c r="L74" s="47">
        <f t="shared" si="22"/>
        <v>91.022415554614739</v>
      </c>
      <c r="M74" s="47">
        <f t="shared" si="22"/>
        <v>99.999999110854404</v>
      </c>
      <c r="N74" s="47">
        <f t="shared" si="22"/>
        <v>76.338654179880876</v>
      </c>
      <c r="O74" s="47">
        <f t="shared" si="22"/>
        <v>56.562364814814636</v>
      </c>
      <c r="P74" s="47">
        <f t="shared" si="22"/>
        <v>84.090153333333333</v>
      </c>
      <c r="Q74" s="47">
        <f t="shared" si="22"/>
        <v>61.645387005649724</v>
      </c>
      <c r="R74" s="47">
        <f t="shared" si="22"/>
        <v>86.927078715050143</v>
      </c>
      <c r="S74" s="47">
        <f t="shared" si="22"/>
        <v>100</v>
      </c>
      <c r="T74" s="47">
        <f t="shared" si="22"/>
        <v>93.830625492451418</v>
      </c>
      <c r="U74" s="47">
        <f t="shared" si="22"/>
        <v>74.229245249999991</v>
      </c>
      <c r="V74" s="47">
        <f t="shared" si="22"/>
        <v>58.499304999999666</v>
      </c>
    </row>
    <row r="75" spans="1:22" x14ac:dyDescent="0.2">
      <c r="A75" s="5"/>
      <c r="B75" s="34"/>
      <c r="C75" s="76" t="s">
        <v>44</v>
      </c>
      <c r="D75" s="46">
        <f t="shared" ref="D75:V75" si="23">+IFERROR(IF(D49&gt;0,+((D49/D23)*100)," "),"")</f>
        <v>96.353780357425308</v>
      </c>
      <c r="E75" s="46">
        <f t="shared" si="23"/>
        <v>99.612467787180378</v>
      </c>
      <c r="F75" s="46">
        <f t="shared" si="23"/>
        <v>74.878539475359702</v>
      </c>
      <c r="G75" s="46">
        <f t="shared" si="23"/>
        <v>98.358254466463421</v>
      </c>
      <c r="H75" s="46">
        <f t="shared" si="23"/>
        <v>100.00000000000009</v>
      </c>
      <c r="I75" s="46">
        <f t="shared" si="23"/>
        <v>100</v>
      </c>
      <c r="J75" s="46">
        <f t="shared" si="23"/>
        <v>100</v>
      </c>
      <c r="K75" s="46">
        <f t="shared" si="23"/>
        <v>36.892591190205728</v>
      </c>
      <c r="L75" s="46">
        <f t="shared" si="23"/>
        <v>100</v>
      </c>
      <c r="M75" s="46">
        <f t="shared" si="23"/>
        <v>77.385618511214361</v>
      </c>
      <c r="N75" s="46">
        <f t="shared" si="23"/>
        <v>99.999156007237033</v>
      </c>
      <c r="O75" s="46">
        <f t="shared" si="23"/>
        <v>64.640674574145734</v>
      </c>
      <c r="P75" s="46">
        <f t="shared" si="23"/>
        <v>87.695984857142861</v>
      </c>
      <c r="Q75" s="46">
        <f t="shared" si="23"/>
        <v>98.826360228198851</v>
      </c>
      <c r="R75" s="46">
        <f t="shared" si="23"/>
        <v>99.999999547869336</v>
      </c>
      <c r="S75" s="46">
        <f t="shared" si="23"/>
        <v>99.999995798477116</v>
      </c>
      <c r="T75" s="46">
        <f t="shared" si="23"/>
        <v>99.999558267516363</v>
      </c>
      <c r="U75" s="46">
        <f t="shared" si="23"/>
        <v>98.80345135325696</v>
      </c>
      <c r="V75" s="46">
        <f t="shared" si="23"/>
        <v>99.964432941063279</v>
      </c>
    </row>
    <row r="76" spans="1:22" x14ac:dyDescent="0.2">
      <c r="A76" s="5"/>
      <c r="B76" s="32"/>
      <c r="C76" s="77" t="s">
        <v>60</v>
      </c>
      <c r="D76" s="47">
        <f t="shared" ref="D76:V76" si="24">+IFERROR(IF(D50&gt;0,+((D50/D24)*100)," "),"")</f>
        <v>95.291504705781989</v>
      </c>
      <c r="E76" s="47">
        <f t="shared" si="24"/>
        <v>98.983058676963907</v>
      </c>
      <c r="F76" s="47">
        <f t="shared" si="24"/>
        <v>80.686444364089198</v>
      </c>
      <c r="G76" s="47">
        <f t="shared" si="24"/>
        <v>99.554180906877647</v>
      </c>
      <c r="H76" s="47">
        <f t="shared" si="24"/>
        <v>100.00000000000013</v>
      </c>
      <c r="I76" s="47">
        <f t="shared" si="24"/>
        <v>100</v>
      </c>
      <c r="J76" s="47">
        <f t="shared" si="24"/>
        <v>100</v>
      </c>
      <c r="K76" s="47">
        <f t="shared" si="24"/>
        <v>17.012448132780079</v>
      </c>
      <c r="L76" s="47">
        <f t="shared" si="24"/>
        <v>100</v>
      </c>
      <c r="M76" s="47">
        <f t="shared" si="24"/>
        <v>100</v>
      </c>
      <c r="N76" s="47">
        <f t="shared" si="24"/>
        <v>99.999999950691802</v>
      </c>
      <c r="O76" s="47">
        <f t="shared" si="24"/>
        <v>70.981850929272156</v>
      </c>
      <c r="P76" s="47">
        <f t="shared" si="24"/>
        <v>86.031944426424474</v>
      </c>
      <c r="Q76" s="47">
        <f t="shared" si="24"/>
        <v>98.600504243773486</v>
      </c>
      <c r="R76" s="47">
        <f t="shared" si="24"/>
        <v>99.99999986491963</v>
      </c>
      <c r="S76" s="47">
        <f t="shared" si="24"/>
        <v>99.999995362392283</v>
      </c>
      <c r="T76" s="47">
        <f t="shared" si="24"/>
        <v>99.999999978595454</v>
      </c>
      <c r="U76" s="47">
        <f t="shared" si="24"/>
        <v>98.784307730717799</v>
      </c>
      <c r="V76" s="47">
        <f t="shared" si="24"/>
        <v>99.993914827152778</v>
      </c>
    </row>
    <row r="77" spans="1:22" x14ac:dyDescent="0.2">
      <c r="A77" s="5"/>
      <c r="B77" s="32"/>
      <c r="C77" s="77" t="s">
        <v>61</v>
      </c>
      <c r="D77" s="47">
        <f t="shared" ref="D77:V77" si="25">+IFERROR(IF(D51&gt;0,+((D51/D25)*100)," "),"")</f>
        <v>99.033600345835666</v>
      </c>
      <c r="E77" s="47">
        <f t="shared" si="25"/>
        <v>99.74032351812734</v>
      </c>
      <c r="F77" s="47">
        <f t="shared" si="25"/>
        <v>67.393771144761814</v>
      </c>
      <c r="G77" s="47">
        <f t="shared" si="25"/>
        <v>95.482502887646518</v>
      </c>
      <c r="H77" s="47">
        <f t="shared" si="25"/>
        <v>100</v>
      </c>
      <c r="I77" s="47">
        <f t="shared" si="25"/>
        <v>100</v>
      </c>
      <c r="J77" s="47">
        <f t="shared" si="25"/>
        <v>100</v>
      </c>
      <c r="K77" s="47">
        <f t="shared" si="25"/>
        <v>100</v>
      </c>
      <c r="L77" s="47">
        <f t="shared" si="25"/>
        <v>100</v>
      </c>
      <c r="M77" s="47">
        <f t="shared" si="25"/>
        <v>68.955423714036613</v>
      </c>
      <c r="N77" s="47">
        <f t="shared" si="25"/>
        <v>99.995795524521952</v>
      </c>
      <c r="O77" s="47">
        <f t="shared" si="25"/>
        <v>37.660205381658429</v>
      </c>
      <c r="P77" s="47">
        <f t="shared" si="25"/>
        <v>99.998710631494816</v>
      </c>
      <c r="Q77" s="47">
        <f t="shared" si="25"/>
        <v>99.984154065620544</v>
      </c>
      <c r="R77" s="47">
        <f t="shared" si="25"/>
        <v>99.999997922437686</v>
      </c>
      <c r="S77" s="47">
        <f t="shared" si="25"/>
        <v>100</v>
      </c>
      <c r="T77" s="47">
        <f t="shared" si="25"/>
        <v>99.996171373408302</v>
      </c>
      <c r="U77" s="47">
        <f t="shared" si="25"/>
        <v>98.973037235387054</v>
      </c>
      <c r="V77" s="47">
        <f t="shared" si="25"/>
        <v>99.719819394465659</v>
      </c>
    </row>
    <row r="78" spans="1:22" x14ac:dyDescent="0.2">
      <c r="A78" s="5"/>
      <c r="B78" s="34" t="s">
        <v>45</v>
      </c>
      <c r="C78" s="76" t="s">
        <v>46</v>
      </c>
      <c r="D78" s="46">
        <f t="shared" ref="D78:V78" si="26">+IFERROR(IF(D52&gt;0,+((D52/D26)*100)," "),"")</f>
        <v>77.699430109181961</v>
      </c>
      <c r="E78" s="46">
        <f t="shared" si="26"/>
        <v>87.81220174353129</v>
      </c>
      <c r="F78" s="46">
        <f t="shared" si="26"/>
        <v>88.771170241202498</v>
      </c>
      <c r="G78" s="46">
        <f t="shared" si="26"/>
        <v>96.337083887254536</v>
      </c>
      <c r="H78" s="46">
        <f t="shared" si="26"/>
        <v>94.301464356164672</v>
      </c>
      <c r="I78" s="46">
        <f t="shared" si="26"/>
        <v>95.581804445653844</v>
      </c>
      <c r="J78" s="46">
        <f t="shared" si="26"/>
        <v>94.433071522126681</v>
      </c>
      <c r="K78" s="46">
        <f t="shared" si="26"/>
        <v>94.101014116931523</v>
      </c>
      <c r="L78" s="46">
        <f t="shared" si="26"/>
        <v>96.541921316615543</v>
      </c>
      <c r="M78" s="46">
        <f t="shared" si="26"/>
        <v>93.254327070541535</v>
      </c>
      <c r="N78" s="46">
        <f t="shared" si="26"/>
        <v>90.51008027792659</v>
      </c>
      <c r="O78" s="46">
        <f t="shared" si="26"/>
        <v>86.542604722992635</v>
      </c>
      <c r="P78" s="46">
        <f t="shared" si="26"/>
        <v>92.470643798575452</v>
      </c>
      <c r="Q78" s="46">
        <f t="shared" si="26"/>
        <v>95.693941682494113</v>
      </c>
      <c r="R78" s="46">
        <f t="shared" si="26"/>
        <v>95.881866723102689</v>
      </c>
      <c r="S78" s="46">
        <f t="shared" si="26"/>
        <v>96.04940586264415</v>
      </c>
      <c r="T78" s="46">
        <f t="shared" si="26"/>
        <v>98.337539681733006</v>
      </c>
      <c r="U78" s="46">
        <f t="shared" si="26"/>
        <v>98.39430261669709</v>
      </c>
      <c r="V78" s="46">
        <f t="shared" si="26"/>
        <v>95.325999679427696</v>
      </c>
    </row>
    <row r="79" spans="1:22" x14ac:dyDescent="0.2">
      <c r="A79" s="5"/>
      <c r="B79" s="36" t="s">
        <v>47</v>
      </c>
      <c r="C79" s="78" t="s">
        <v>48</v>
      </c>
      <c r="D79" s="48">
        <f t="shared" ref="D79:V79" si="27">+IFERROR(IF(D53&gt;0,+((D53/D27)*100)," "),"")</f>
        <v>79.737084537782152</v>
      </c>
      <c r="E79" s="48">
        <f t="shared" si="27"/>
        <v>87.303415364167023</v>
      </c>
      <c r="F79" s="48">
        <f t="shared" si="27"/>
        <v>87.686020745727575</v>
      </c>
      <c r="G79" s="48">
        <f t="shared" si="27"/>
        <v>92.573118712304051</v>
      </c>
      <c r="H79" s="48">
        <f t="shared" si="27"/>
        <v>94.306340356579483</v>
      </c>
      <c r="I79" s="48">
        <f t="shared" si="27"/>
        <v>94.850072545909342</v>
      </c>
      <c r="J79" s="48">
        <f t="shared" si="27"/>
        <v>91.686559724848024</v>
      </c>
      <c r="K79" s="48">
        <f t="shared" si="27"/>
        <v>90.181200602322249</v>
      </c>
      <c r="L79" s="48">
        <f t="shared" si="27"/>
        <v>92.790878255042514</v>
      </c>
      <c r="M79" s="48">
        <f t="shared" si="27"/>
        <v>90.574457028378035</v>
      </c>
      <c r="N79" s="48">
        <f t="shared" si="27"/>
        <v>90.160913711123357</v>
      </c>
      <c r="O79" s="48">
        <f t="shared" si="27"/>
        <v>86.578622135647123</v>
      </c>
      <c r="P79" s="48">
        <f t="shared" si="27"/>
        <v>90.731666195735457</v>
      </c>
      <c r="Q79" s="48">
        <f t="shared" si="27"/>
        <v>90.818291149844981</v>
      </c>
      <c r="R79" s="48">
        <f t="shared" si="27"/>
        <v>91.716082576363092</v>
      </c>
      <c r="S79" s="48">
        <f t="shared" si="27"/>
        <v>92.496498726682589</v>
      </c>
      <c r="T79" s="48">
        <f t="shared" si="27"/>
        <v>96.130157533680787</v>
      </c>
      <c r="U79" s="48">
        <f t="shared" si="27"/>
        <v>96.957866742588863</v>
      </c>
      <c r="V79" s="48">
        <f t="shared" si="27"/>
        <v>93.745152662186015</v>
      </c>
    </row>
    <row r="80" spans="1:22" x14ac:dyDescent="0.2">
      <c r="A80" s="5"/>
      <c r="B80" s="38" t="s">
        <v>49</v>
      </c>
      <c r="C80" s="79" t="s">
        <v>63</v>
      </c>
      <c r="D80" s="45">
        <f t="shared" ref="D80:V80" si="28">+IFERROR(IF(D54&gt;0,+((D54/D28)*100)," "),"")</f>
        <v>79.853893583167405</v>
      </c>
      <c r="E80" s="45">
        <f t="shared" si="28"/>
        <v>87.313416685521403</v>
      </c>
      <c r="F80" s="45">
        <f t="shared" si="28"/>
        <v>87.691761329758009</v>
      </c>
      <c r="G80" s="45">
        <f t="shared" si="28"/>
        <v>92.579467456678856</v>
      </c>
      <c r="H80" s="45">
        <f t="shared" si="28"/>
        <v>94.307990529215303</v>
      </c>
      <c r="I80" s="45">
        <f t="shared" si="28"/>
        <v>94.848691364791165</v>
      </c>
      <c r="J80" s="45">
        <f t="shared" si="28"/>
        <v>91.689721874619309</v>
      </c>
      <c r="K80" s="45">
        <f t="shared" si="28"/>
        <v>90.171783846670778</v>
      </c>
      <c r="L80" s="45">
        <f t="shared" si="28"/>
        <v>92.792334652421431</v>
      </c>
      <c r="M80" s="45">
        <f t="shared" si="28"/>
        <v>90.571782126200191</v>
      </c>
      <c r="N80" s="45">
        <f t="shared" si="28"/>
        <v>90.162057288597211</v>
      </c>
      <c r="O80" s="45">
        <f t="shared" si="28"/>
        <v>86.575080225003703</v>
      </c>
      <c r="P80" s="45">
        <f t="shared" si="28"/>
        <v>90.731370792821309</v>
      </c>
      <c r="Q80" s="45">
        <f t="shared" si="28"/>
        <v>90.816530074781681</v>
      </c>
      <c r="R80" s="45">
        <f t="shared" si="28"/>
        <v>91.716777920180917</v>
      </c>
      <c r="S80" s="45">
        <f t="shared" si="28"/>
        <v>92.497460334928235</v>
      </c>
      <c r="T80" s="45">
        <f t="shared" si="28"/>
        <v>96.130522402706333</v>
      </c>
      <c r="U80" s="45">
        <f t="shared" si="28"/>
        <v>96.957725839273763</v>
      </c>
      <c r="V80" s="45">
        <f t="shared" si="28"/>
        <v>93.745573523617267</v>
      </c>
    </row>
    <row r="81" spans="2:22" x14ac:dyDescent="0.2">
      <c r="B81" s="1" t="s">
        <v>52</v>
      </c>
      <c r="C81" s="82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customHeight="1" x14ac:dyDescent="0.2">
      <c r="C85" s="131"/>
      <c r="D85" s="155" t="s">
        <v>86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58"/>
      <c r="C87" s="159" t="s">
        <v>38</v>
      </c>
      <c r="D87" s="153">
        <v>2000</v>
      </c>
      <c r="E87" s="153">
        <v>2001</v>
      </c>
      <c r="F87" s="153">
        <v>2002</v>
      </c>
      <c r="G87" s="153">
        <v>2003</v>
      </c>
      <c r="H87" s="153">
        <v>2004</v>
      </c>
      <c r="I87" s="153">
        <v>2005</v>
      </c>
      <c r="J87" s="153">
        <v>2006</v>
      </c>
      <c r="K87" s="153">
        <v>2007</v>
      </c>
      <c r="L87" s="153">
        <v>2008</v>
      </c>
      <c r="M87" s="153">
        <v>2009</v>
      </c>
      <c r="N87" s="153">
        <v>2010</v>
      </c>
      <c r="O87" s="153">
        <v>2011</v>
      </c>
      <c r="P87" s="153">
        <v>2012</v>
      </c>
      <c r="Q87" s="153">
        <v>2013</v>
      </c>
      <c r="R87" s="153">
        <v>2014</v>
      </c>
      <c r="S87" s="153">
        <v>2015</v>
      </c>
      <c r="T87" s="153">
        <v>2016</v>
      </c>
      <c r="U87" s="153">
        <v>2017</v>
      </c>
      <c r="V87" s="153">
        <v>2018</v>
      </c>
    </row>
    <row r="88" spans="2:22" ht="12" customHeight="1" thickBot="1" x14ac:dyDescent="0.25">
      <c r="B88" s="154"/>
      <c r="C88" s="160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5332.5170558000891</v>
      </c>
      <c r="E89" s="41">
        <f t="shared" si="29"/>
        <v>5242.8566956275954</v>
      </c>
      <c r="F89" s="41">
        <f t="shared" si="29"/>
        <v>5370.009539052051</v>
      </c>
      <c r="G89" s="41">
        <f t="shared" si="29"/>
        <v>5320.1825011149986</v>
      </c>
      <c r="H89" s="41">
        <f t="shared" si="29"/>
        <v>11106.337877027992</v>
      </c>
      <c r="I89" s="41">
        <f t="shared" si="29"/>
        <v>10619.440521811413</v>
      </c>
      <c r="J89" s="41">
        <f t="shared" si="29"/>
        <v>5206.029182795517</v>
      </c>
      <c r="K89" s="41">
        <f t="shared" si="29"/>
        <v>5602.7494819199374</v>
      </c>
      <c r="L89" s="41">
        <f t="shared" si="29"/>
        <v>5643.6599846897752</v>
      </c>
      <c r="M89" s="41">
        <f t="shared" si="29"/>
        <v>6755.9738217113827</v>
      </c>
      <c r="N89" s="41">
        <f t="shared" si="29"/>
        <v>9696.6361138110515</v>
      </c>
      <c r="O89" s="41">
        <f t="shared" si="29"/>
        <v>9017.6266312258267</v>
      </c>
      <c r="P89" s="41">
        <f t="shared" si="29"/>
        <v>8739.4388633213202</v>
      </c>
      <c r="Q89" s="41">
        <f t="shared" si="29"/>
        <v>9045.255063976947</v>
      </c>
      <c r="R89" s="41">
        <f t="shared" si="29"/>
        <v>9274.3116595261818</v>
      </c>
      <c r="S89" s="41">
        <f t="shared" si="29"/>
        <v>9467.7707350130513</v>
      </c>
      <c r="T89" s="41">
        <f t="shared" si="29"/>
        <v>8868.698943139414</v>
      </c>
      <c r="U89" s="41">
        <f t="shared" si="29"/>
        <v>9146.0158113827074</v>
      </c>
      <c r="V89" s="41">
        <f t="shared" si="29"/>
        <v>8698.1384140782775</v>
      </c>
    </row>
    <row r="90" spans="2:22" x14ac:dyDescent="0.2">
      <c r="B90" s="40"/>
      <c r="C90" s="77" t="s">
        <v>56</v>
      </c>
      <c r="D90" s="42">
        <f>433.96766905537*Deflactores!$A$5</f>
        <v>1615.9710396812798</v>
      </c>
      <c r="E90" s="42">
        <f>459.283604562239*Deflactores!$B$5</f>
        <v>1588.7294583194591</v>
      </c>
      <c r="F90" s="42">
        <f>488.794805216009*Deflactores!$C$5</f>
        <v>1580.3196115119636</v>
      </c>
      <c r="G90" s="42">
        <f>500.39854287778*Deflactores!$D$5</f>
        <v>1519.217671989519</v>
      </c>
      <c r="H90" s="42">
        <f>509.28505017275*Deflactores!$E$5</f>
        <v>1465.6317208228868</v>
      </c>
      <c r="I90" s="42">
        <f>525.692785298729*Deflactores!$F$5</f>
        <v>1442.7999382776372</v>
      </c>
      <c r="J90" s="42">
        <f>559.74931893874*Deflactores!$G$5</f>
        <v>1470.4255367098126</v>
      </c>
      <c r="K90" s="42">
        <f>597.38463209396*Deflactores!$H$5</f>
        <v>1484.7429758905994</v>
      </c>
      <c r="L90" s="42">
        <f>710.74803921303*Deflactores!$I$5</f>
        <v>1640.5918833567521</v>
      </c>
      <c r="M90" s="42">
        <f>780.896416399429*Deflactores!$J$5</f>
        <v>1767.1379286889942</v>
      </c>
      <c r="N90" s="42">
        <f>789.97492716727*Deflactores!$K$5</f>
        <v>1732.73341502317</v>
      </c>
      <c r="O90" s="42">
        <f>819.97249421755*Deflactores!$L$5</f>
        <v>1733.9127023401218</v>
      </c>
      <c r="P90" s="42">
        <f>933.727024113175*Deflactores!$M$5</f>
        <v>1927.4286157236756</v>
      </c>
      <c r="Q90" s="42">
        <f>1089.60832926814*Deflactores!$N$5</f>
        <v>2206.3995449057707</v>
      </c>
      <c r="R90" s="42">
        <f>1268.40219245967*Deflactores!$O$5</f>
        <v>2477.7616360433553</v>
      </c>
      <c r="S90" s="42">
        <f>1324.54134989647*Deflactores!$P$5</f>
        <v>2423.3649282710512</v>
      </c>
      <c r="T90" s="42">
        <f>1421.94660448868*Deflactores!$Q$5</f>
        <v>2460.1195375224138</v>
      </c>
      <c r="U90" s="42">
        <f>1544.75339714988*Deflactores!$R$5</f>
        <v>2567.5746072871148</v>
      </c>
      <c r="V90" s="42">
        <f>1807.79176101968*Deflactores!$S$5</f>
        <v>2912.1704599858372</v>
      </c>
    </row>
    <row r="91" spans="2:22" x14ac:dyDescent="0.2">
      <c r="B91" s="40"/>
      <c r="C91" s="77" t="s">
        <v>57</v>
      </c>
      <c r="D91" s="42">
        <f>236.355671004419*Deflactores!$A$5</f>
        <v>880.12067866476309</v>
      </c>
      <c r="E91" s="42">
        <f>230.96088382827*Deflactores!$B$5</f>
        <v>798.92762600835761</v>
      </c>
      <c r="F91" s="42">
        <f>240.026269781699*Deflactores!$C$5</f>
        <v>776.0275219096311</v>
      </c>
      <c r="G91" s="42">
        <f>196.976361807919*Deflactores!$D$5</f>
        <v>598.02326382049898</v>
      </c>
      <c r="H91" s="42">
        <f>213.181473757749*Deflactores!$E$5</f>
        <v>613.49833482280098</v>
      </c>
      <c r="I91" s="42">
        <f>217.60645184336*Deflactores!$F$5</f>
        <v>597.23584585625201</v>
      </c>
      <c r="J91" s="42">
        <f>233.37345239094*Deflactores!$G$5</f>
        <v>613.05708176006863</v>
      </c>
      <c r="K91" s="42">
        <f>253.689939956259*Deflactores!$H$5</f>
        <v>630.52234049589606</v>
      </c>
      <c r="L91" s="42">
        <f>280.22998457557*Deflactores!$I$5</f>
        <v>646.8439064241594</v>
      </c>
      <c r="M91" s="42">
        <f>320.37525767258*Deflactores!$J$5</f>
        <v>724.99662869132851</v>
      </c>
      <c r="N91" s="42">
        <f>324.04938118221*Deflactores!$K$5</f>
        <v>710.77090117963337</v>
      </c>
      <c r="O91" s="42">
        <f>357.285478904851*Deflactores!$L$5</f>
        <v>755.51537960544363</v>
      </c>
      <c r="P91" s="42">
        <f>481.681820749882*Deflactores!$M$5</f>
        <v>994.30272554120097</v>
      </c>
      <c r="Q91" s="42">
        <f>551.018955501277*Deflactores!$N$5</f>
        <v>1115.784397012703</v>
      </c>
      <c r="R91" s="42">
        <f>573.796294129764*Deflactores!$O$5</f>
        <v>1120.8829919645407</v>
      </c>
      <c r="S91" s="42">
        <f>571.505857859425*Deflactores!$P$5</f>
        <v>1045.6202460921618</v>
      </c>
      <c r="T91" s="42">
        <f>657.483547864119*Deflactores!$Q$5</f>
        <v>1137.5167791773079</v>
      </c>
      <c r="U91" s="42">
        <f>634.642439657189*Deflactores!$R$5</f>
        <v>1054.855626650188</v>
      </c>
      <c r="V91" s="42">
        <f>635.481594863429*Deflactores!$S$5</f>
        <v>1023.6968484589852</v>
      </c>
    </row>
    <row r="92" spans="2:22" x14ac:dyDescent="0.2">
      <c r="B92" s="40"/>
      <c r="C92" s="77" t="s">
        <v>58</v>
      </c>
      <c r="D92" s="42">
        <f>427.4261685441*Deflactores!$A$5</f>
        <v>1591.6123693561781</v>
      </c>
      <c r="E92" s="42">
        <f>521.77291948396*Deflactores!$B$5</f>
        <v>1804.8891785014284</v>
      </c>
      <c r="F92" s="42">
        <f>508.941710756099*Deflactores!$C$5</f>
        <v>1645.4564533861587</v>
      </c>
      <c r="G92" s="42">
        <f>566.168537850119*Deflactores!$D$5</f>
        <v>1718.8963882263968</v>
      </c>
      <c r="H92" s="42">
        <f>2667.24320864953*Deflactores!$E$5</f>
        <v>7675.8511808272515</v>
      </c>
      <c r="I92" s="42">
        <f>2505.78869852561*Deflactores!$F$5</f>
        <v>6877.3091065252111</v>
      </c>
      <c r="J92" s="42">
        <f>579.91803954924*Deflactores!$G$5</f>
        <v>1523.4074713456107</v>
      </c>
      <c r="K92" s="42">
        <f>671.83248908061*Deflactores!$H$5</f>
        <v>1669.7760798450558</v>
      </c>
      <c r="L92" s="42">
        <f>653.99088777579*Deflactores!$I$5</f>
        <v>1509.5815719199636</v>
      </c>
      <c r="M92" s="42">
        <f>911.607270599529*Deflactores!$J$5</f>
        <v>2062.9314594281409</v>
      </c>
      <c r="N92" s="42">
        <f>2079.85684881446*Deflactores!$K$5</f>
        <v>4561.9643566770173</v>
      </c>
      <c r="O92" s="42">
        <f>1843.4948350306*Deflactores!$L$5</f>
        <v>3898.2516288039046</v>
      </c>
      <c r="P92" s="42">
        <f>1577.70751918863*Deflactores!$M$5</f>
        <v>3256.7533563835163</v>
      </c>
      <c r="Q92" s="42">
        <f>1549.24128520961*Deflactores!$N$5</f>
        <v>3137.1321004233287</v>
      </c>
      <c r="R92" s="42">
        <f>1529.6207800669*Deflactores!$O$5</f>
        <v>2988.0393688021654</v>
      </c>
      <c r="S92" s="42">
        <f>1842.59135108352*Deflactores!$P$5</f>
        <v>3371.1829817169491</v>
      </c>
      <c r="T92" s="42">
        <f>1528.35982315874*Deflactores!$Q$5</f>
        <v>2644.2257743350101</v>
      </c>
      <c r="U92" s="42">
        <f>1870.47763073715*Deflactores!$R$5</f>
        <v>3108.9692872922024</v>
      </c>
      <c r="V92" s="42">
        <f>1563.65829937535*Deflactores!$S$5</f>
        <v>2518.896040539601</v>
      </c>
    </row>
    <row r="93" spans="2:22" x14ac:dyDescent="0.2">
      <c r="B93" s="40"/>
      <c r="C93" s="77" t="s">
        <v>59</v>
      </c>
      <c r="D93" s="42">
        <f>334.293479839759*Deflactores!$A$5</f>
        <v>1244.812968097868</v>
      </c>
      <c r="E93" s="42">
        <f>303.63279220316*Deflactores!$B$5</f>
        <v>1050.3104327983497</v>
      </c>
      <c r="F93" s="42">
        <f>423.18778875546*Deflactores!$C$5</f>
        <v>1368.2059522442974</v>
      </c>
      <c r="G93" s="42">
        <f>488.81345831267*Deflactores!$D$5</f>
        <v>1484.0451770785837</v>
      </c>
      <c r="H93" s="42">
        <f>469.57617299655*Deflactores!$E$5</f>
        <v>1351.3566405550532</v>
      </c>
      <c r="I93" s="42">
        <f>620.16872155776*Deflactores!$F$5</f>
        <v>1702.095631152313</v>
      </c>
      <c r="J93" s="42">
        <f>608.74692110338*Deflactores!$G$5</f>
        <v>1599.1390929800255</v>
      </c>
      <c r="K93" s="42">
        <f>731.352761828579*Deflactores!$H$5</f>
        <v>1817.7080856883865</v>
      </c>
      <c r="L93" s="42">
        <f>800.014700018579*Deflactores!$I$5</f>
        <v>1846.6426229889005</v>
      </c>
      <c r="M93" s="42">
        <f>972.57887444546*Deflactores!$J$5</f>
        <v>2200.9078049029199</v>
      </c>
      <c r="N93" s="42">
        <f>1226.9370375801*Deflactores!$K$5</f>
        <v>2691.1674409312313</v>
      </c>
      <c r="O93" s="42">
        <f>1243.70975143808*Deflactores!$L$5</f>
        <v>2629.9469204763564</v>
      </c>
      <c r="P93" s="42">
        <f>1240.63329375558*Deflactores!$M$5</f>
        <v>2560.954165672928</v>
      </c>
      <c r="Q93" s="42">
        <f>1277.04010067383*Deflactores!$N$5</f>
        <v>2585.9390216351439</v>
      </c>
      <c r="R93" s="42">
        <f>1375.83566163696*Deflactores!$O$5</f>
        <v>2687.6276627161205</v>
      </c>
      <c r="S93" s="42">
        <f>1436.17175700165*Deflactores!$P$5</f>
        <v>2627.6025789328878</v>
      </c>
      <c r="T93" s="42">
        <f>1518.30904369701*Deflactores!$Q$5</f>
        <v>2626.8368521046832</v>
      </c>
      <c r="U93" s="42">
        <f>1452.72768566935*Deflactores!$R$5</f>
        <v>2414.616290153203</v>
      </c>
      <c r="V93" s="42">
        <f>1392.62279295745*Deflactores!$S$5</f>
        <v>2243.3750650938546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134.58706984613195</v>
      </c>
      <c r="E94" s="41">
        <f t="shared" si="30"/>
        <v>11.859692707832963</v>
      </c>
      <c r="F94" s="41">
        <f t="shared" si="30"/>
        <v>11.767616315210581</v>
      </c>
      <c r="G94" s="41">
        <f t="shared" si="30"/>
        <v>13.85616457093081</v>
      </c>
      <c r="H94" s="41">
        <f t="shared" si="30"/>
        <v>10.919272724811238</v>
      </c>
      <c r="I94" s="41">
        <f t="shared" si="30"/>
        <v>7.4006386789700063</v>
      </c>
      <c r="J94" s="41">
        <f t="shared" si="30"/>
        <v>3.3985993313152969</v>
      </c>
      <c r="K94" s="41">
        <f t="shared" si="30"/>
        <v>2.4710670794168235</v>
      </c>
      <c r="L94" s="41">
        <f t="shared" si="30"/>
        <v>2.7049079957150592</v>
      </c>
      <c r="M94" s="41">
        <f t="shared" si="30"/>
        <v>6.2904759337196179</v>
      </c>
      <c r="N94" s="41">
        <f t="shared" si="30"/>
        <v>2.4438292746125834</v>
      </c>
      <c r="O94" s="41">
        <f t="shared" si="30"/>
        <v>2.4956056489407734</v>
      </c>
      <c r="P94" s="41">
        <f t="shared" si="30"/>
        <v>2.2045477777998377</v>
      </c>
      <c r="Q94" s="41">
        <f t="shared" si="30"/>
        <v>2.0204602991558538</v>
      </c>
      <c r="R94" s="41">
        <f t="shared" si="30"/>
        <v>2.042346085244573</v>
      </c>
      <c r="S94" s="41">
        <f t="shared" si="30"/>
        <v>2.8743445183688747</v>
      </c>
      <c r="T94" s="41">
        <f t="shared" si="30"/>
        <v>2.2261340765797764</v>
      </c>
      <c r="U94" s="41">
        <f t="shared" si="30"/>
        <v>2.4557915620834794</v>
      </c>
      <c r="V94" s="41">
        <f t="shared" si="30"/>
        <v>1.9899348268157018</v>
      </c>
    </row>
    <row r="95" spans="2:22" x14ac:dyDescent="0.2">
      <c r="B95" s="34"/>
      <c r="C95" s="76" t="s">
        <v>43</v>
      </c>
      <c r="D95" s="41">
        <f t="shared" ref="D95:V95" si="31">+D96+D97</f>
        <v>17.1126270650546</v>
      </c>
      <c r="E95" s="41">
        <f t="shared" si="31"/>
        <v>10.700126676834218</v>
      </c>
      <c r="F95" s="41">
        <f t="shared" si="31"/>
        <v>9.3493224046828178</v>
      </c>
      <c r="G95" s="41">
        <f t="shared" si="31"/>
        <v>10.202810410498417</v>
      </c>
      <c r="H95" s="41">
        <f t="shared" si="31"/>
        <v>7.6340475615432766</v>
      </c>
      <c r="I95" s="41">
        <f t="shared" si="31"/>
        <v>4.3317145121906231</v>
      </c>
      <c r="J95" s="41">
        <f t="shared" si="31"/>
        <v>2.2304085294035794</v>
      </c>
      <c r="K95" s="41">
        <f t="shared" si="31"/>
        <v>2.4710670794168235</v>
      </c>
      <c r="L95" s="41">
        <f t="shared" si="31"/>
        <v>1.1989217634751508</v>
      </c>
      <c r="M95" s="41">
        <f t="shared" si="31"/>
        <v>1.9012363093059175</v>
      </c>
      <c r="N95" s="41">
        <f t="shared" si="31"/>
        <v>0.85738089915180005</v>
      </c>
      <c r="O95" s="41">
        <f t="shared" si="31"/>
        <v>1.1876278322441143</v>
      </c>
      <c r="P95" s="41">
        <f t="shared" si="31"/>
        <v>0.30378734515435646</v>
      </c>
      <c r="Q95" s="41">
        <f t="shared" si="31"/>
        <v>0.30164524746087806</v>
      </c>
      <c r="R95" s="41">
        <f t="shared" si="31"/>
        <v>0.31412792027462505</v>
      </c>
      <c r="S95" s="41">
        <f t="shared" si="31"/>
        <v>0.34868653575507708</v>
      </c>
      <c r="T95" s="41">
        <f t="shared" si="31"/>
        <v>0.39873222104384054</v>
      </c>
      <c r="U95" s="41">
        <f t="shared" si="31"/>
        <v>0.4061146385658671</v>
      </c>
      <c r="V95" s="41">
        <f t="shared" si="31"/>
        <v>0.1913197906824553</v>
      </c>
    </row>
    <row r="96" spans="2:22" x14ac:dyDescent="0.2">
      <c r="B96" s="32"/>
      <c r="C96" s="77" t="s">
        <v>60</v>
      </c>
      <c r="D96" s="42">
        <f>3.65824905879999*Deflactores!$A$5</f>
        <v>13.622269483415868</v>
      </c>
      <c r="E96" s="42">
        <f>2.52775517492*Deflactores!$B$5</f>
        <v>8.7438764848629607</v>
      </c>
      <c r="F96" s="42">
        <f>2.43272454448*Deflactores!$C$5</f>
        <v>7.8652274247253757</v>
      </c>
      <c r="G96" s="42">
        <f>3.0052704935*Deflactores!$D$5</f>
        <v>9.124047437422302</v>
      </c>
      <c r="H96" s="42">
        <f>2.37902479527999*Deflactores!$E$5</f>
        <v>6.8464098905000466</v>
      </c>
      <c r="I96" s="42">
        <f>1.42834084003*Deflactores!$F$5</f>
        <v>3.9201794916467065</v>
      </c>
      <c r="J96" s="42">
        <f>0.76218477646*Deflactores!$G$5</f>
        <v>2.0022104915162919</v>
      </c>
      <c r="K96" s="42">
        <f>0.91212033294*Deflactores!$H$5</f>
        <v>2.2669887786578573</v>
      </c>
      <c r="L96" s="42">
        <f>0.454552066269999*Deflactores!$I$5</f>
        <v>1.0492247453982557</v>
      </c>
      <c r="M96" s="42">
        <f>0.793371209369999*Deflactores!$J$5</f>
        <v>1.7953678953630394</v>
      </c>
      <c r="N96" s="42">
        <f>0.3550073976*Deflactores!$K$5</f>
        <v>0.77867430882611721</v>
      </c>
      <c r="O96" s="42">
        <f>0.531089071*Deflactores!$L$5</f>
        <v>1.1230402150984804</v>
      </c>
      <c r="P96" s="42">
        <f>0.121940248*Deflactores!$M$5</f>
        <v>0.25171288538731862</v>
      </c>
      <c r="Q96" s="42">
        <f>0.127142019*Deflactores!$N$5</f>
        <v>0.25745589981715949</v>
      </c>
      <c r="R96" s="42">
        <f>0.14275677018*Deflactores!$O$5</f>
        <v>0.27886836725781583</v>
      </c>
      <c r="S96" s="42">
        <f>0.170141165*Deflactores!$P$5</f>
        <v>0.3112882298075525</v>
      </c>
      <c r="T96" s="42">
        <f>0.213840013*Deflactores!$Q$5</f>
        <v>0.3699660678007794</v>
      </c>
      <c r="U96" s="42">
        <f>0.23542695539*Deflactores!$R$5</f>
        <v>0.3913092365717134</v>
      </c>
      <c r="V96" s="42">
        <f>0.11701085069*Deflactores!$S$5</f>
        <v>0.18849269601993826</v>
      </c>
    </row>
    <row r="97" spans="2:22" x14ac:dyDescent="0.2">
      <c r="B97" s="32"/>
      <c r="C97" s="77" t="s">
        <v>61</v>
      </c>
      <c r="D97" s="42">
        <f>0.93733260478*Deflactores!$A$5</f>
        <v>3.4903575816387322</v>
      </c>
      <c r="E97" s="42">
        <f>0.56552966579*Deflactores!$B$5</f>
        <v>1.9562501919712578</v>
      </c>
      <c r="F97" s="42">
        <f>0.45903240798*Deflactores!$C$5</f>
        <v>1.4840949799574423</v>
      </c>
      <c r="G97" s="42">
        <f>0.35532197248*Deflactores!$D$5</f>
        <v>1.0787629730761146</v>
      </c>
      <c r="H97" s="42">
        <f>0.27369228239*Deflactores!$E$5</f>
        <v>0.78763767104322968</v>
      </c>
      <c r="I97" s="42">
        <f>0.14994524567*Deflactores!$F$5</f>
        <v>0.41153502054391661</v>
      </c>
      <c r="J97" s="42">
        <f>0.08686852418*Deflactores!$G$5</f>
        <v>0.22819803788728729</v>
      </c>
      <c r="K97" s="42">
        <f>0.08211067006*Deflactores!$H$5</f>
        <v>0.20407830075896621</v>
      </c>
      <c r="L97" s="42">
        <f>0.0648527297699999*Deflactores!$I$5</f>
        <v>0.14969701807689501</v>
      </c>
      <c r="M97" s="42">
        <f>0.04678314223*Deflactores!$J$5</f>
        <v>0.10586841394287805</v>
      </c>
      <c r="N97" s="42">
        <f>0.03588332309*Deflactores!$K$5</f>
        <v>7.8706590325682849E-2</v>
      </c>
      <c r="O97" s="42">
        <f>0.0305436769999999*Deflactores!$L$5</f>
        <v>6.4587617145633935E-2</v>
      </c>
      <c r="P97" s="42">
        <f>0.025227046*Deflactores!$M$5</f>
        <v>5.2074459767037819E-2</v>
      </c>
      <c r="Q97" s="42">
        <f>0.021822467*Deflactores!$N$5</f>
        <v>4.4189347643718555E-2</v>
      </c>
      <c r="R97" s="42">
        <f>0.01804987764*Deflactores!$O$5</f>
        <v>3.5259553016809213E-2</v>
      </c>
      <c r="S97" s="42">
        <f>0.020440835*Deflactores!$P$5</f>
        <v>3.7398305947524586E-2</v>
      </c>
      <c r="T97" s="42">
        <f>0.01662680748*Deflactores!$Q$5</f>
        <v>2.8766153243061136E-2</v>
      </c>
      <c r="U97" s="42">
        <f>0.00890750943*Deflactores!$R$5</f>
        <v>1.4805401994153691E-2</v>
      </c>
      <c r="V97" s="42">
        <f>0.00175497914999999*Deflactores!$S$5</f>
        <v>2.8270946625170434E-3</v>
      </c>
    </row>
    <row r="98" spans="2:22" x14ac:dyDescent="0.2">
      <c r="B98" s="34"/>
      <c r="C98" s="76" t="s">
        <v>44</v>
      </c>
      <c r="D98" s="41">
        <f t="shared" ref="D98:V98" si="32">+D99+D100</f>
        <v>117.47444278107736</v>
      </c>
      <c r="E98" s="41">
        <f t="shared" si="32"/>
        <v>1.1595660309987452</v>
      </c>
      <c r="F98" s="41">
        <f t="shared" si="32"/>
        <v>2.4182939105277628</v>
      </c>
      <c r="G98" s="41">
        <f t="shared" si="32"/>
        <v>3.6533541604323929</v>
      </c>
      <c r="H98" s="41">
        <f t="shared" si="32"/>
        <v>3.2852251632679619</v>
      </c>
      <c r="I98" s="41">
        <f t="shared" si="32"/>
        <v>3.0689241667793827</v>
      </c>
      <c r="J98" s="41">
        <f t="shared" si="32"/>
        <v>1.1681908019117178</v>
      </c>
      <c r="K98" s="41">
        <f t="shared" si="32"/>
        <v>0</v>
      </c>
      <c r="L98" s="41">
        <f t="shared" si="32"/>
        <v>1.5059862322399087</v>
      </c>
      <c r="M98" s="41">
        <f t="shared" si="32"/>
        <v>4.3892396244137002</v>
      </c>
      <c r="N98" s="41">
        <f t="shared" si="32"/>
        <v>1.5864483754607832</v>
      </c>
      <c r="O98" s="41">
        <f t="shared" si="32"/>
        <v>1.3079778166966589</v>
      </c>
      <c r="P98" s="41">
        <f t="shared" si="32"/>
        <v>1.9007604326454814</v>
      </c>
      <c r="Q98" s="41">
        <f t="shared" si="32"/>
        <v>1.7188150516949758</v>
      </c>
      <c r="R98" s="41">
        <f t="shared" si="32"/>
        <v>1.728218164969948</v>
      </c>
      <c r="S98" s="41">
        <f t="shared" si="32"/>
        <v>2.5256579826137977</v>
      </c>
      <c r="T98" s="41">
        <f t="shared" si="32"/>
        <v>1.8274018555359359</v>
      </c>
      <c r="U98" s="41">
        <f t="shared" si="32"/>
        <v>2.0496769235176124</v>
      </c>
      <c r="V98" s="41">
        <f t="shared" si="32"/>
        <v>1.7986150361332465</v>
      </c>
    </row>
    <row r="99" spans="2:22" x14ac:dyDescent="0.2">
      <c r="B99" s="32"/>
      <c r="C99" s="77" t="s">
        <v>60</v>
      </c>
      <c r="D99" s="42">
        <f>22.3430964979999*Deflactores!$A$5</f>
        <v>83.199278315282328</v>
      </c>
      <c r="E99" s="42">
        <f>0.0676685036899999*Deflactores!$B$5</f>
        <v>0.23407529496980603</v>
      </c>
      <c r="F99" s="42">
        <f>0.507554082789999*Deflactores!$C$5</f>
        <v>1.6409701215657109</v>
      </c>
      <c r="G99" s="42">
        <f>0.87329680818*Deflactores!$D$5</f>
        <v>2.6513425403861421</v>
      </c>
      <c r="H99" s="42">
        <f>0.839745004*Deflactores!$E$5</f>
        <v>2.4166366455238926</v>
      </c>
      <c r="I99" s="42">
        <f>0.835305961*Deflactores!$F$5</f>
        <v>2.2925545540612471</v>
      </c>
      <c r="J99" s="42">
        <f>0.352199363*Deflactores!$G$5</f>
        <v>0.92520512280392286</v>
      </c>
      <c r="K99" s="42">
        <f>0*Deflactores!$H$5</f>
        <v>0</v>
      </c>
      <c r="L99" s="42">
        <f>0.652433291*Deflactores!$I$5</f>
        <v>1.5059862322399087</v>
      </c>
      <c r="M99" s="42">
        <f>0.660154885*Deflactores!$J$5</f>
        <v>1.4939045840058156</v>
      </c>
      <c r="N99" s="42">
        <f>0.62658618556*Deflactores!$K$5</f>
        <v>1.3743560507735355</v>
      </c>
      <c r="O99" s="42">
        <f>0.549967381*Deflactores!$L$5</f>
        <v>1.1629602633178415</v>
      </c>
      <c r="P99" s="42">
        <f>0.795709454*Deflactores!$M$5</f>
        <v>1.642528417658359</v>
      </c>
      <c r="Q99" s="42">
        <f>0.708641824*Deflactores!$N$5</f>
        <v>1.4349624135353174</v>
      </c>
      <c r="R99" s="42">
        <f>0.740299999*Deflactores!$O$5</f>
        <v>1.4461398345016319</v>
      </c>
      <c r="S99" s="42">
        <f>1.250644745*Deflactores!$P$5</f>
        <v>2.2881645884414148</v>
      </c>
      <c r="T99" s="42">
        <f>0.9343812038*Deflactores!$Q$5</f>
        <v>1.6165793059358105</v>
      </c>
      <c r="U99" s="42">
        <f>1.1078660112*Deflactores!$R$5</f>
        <v>1.841412774286064</v>
      </c>
      <c r="V99" s="42">
        <f>1.022488845*Deflactores!$S$5</f>
        <v>1.6471265520064631</v>
      </c>
    </row>
    <row r="100" spans="2:22" x14ac:dyDescent="0.2">
      <c r="B100" s="32"/>
      <c r="C100" s="77" t="s">
        <v>61</v>
      </c>
      <c r="D100" s="42">
        <f>9.204566706*Deflactores!$A$5</f>
        <v>34.275164465795022</v>
      </c>
      <c r="E100" s="42">
        <f>0.26754883848*Deflactores!$B$5</f>
        <v>0.92549073602893916</v>
      </c>
      <c r="F100" s="42">
        <f>0.24042720678*Deflactores!$C$5</f>
        <v>0.77732378896205168</v>
      </c>
      <c r="G100" s="42">
        <f>0.33004168123*Deflactores!$D$5</f>
        <v>1.0020116200462506</v>
      </c>
      <c r="H100" s="42">
        <f>0.301821487999999*Deflactores!$E$5</f>
        <v>0.86858851774406931</v>
      </c>
      <c r="I100" s="42">
        <f>0.282874911*Deflactores!$F$5</f>
        <v>0.77636961271813554</v>
      </c>
      <c r="J100" s="42">
        <f>0.09249776*Deflactores!$G$5</f>
        <v>0.24298567910779495</v>
      </c>
      <c r="K100" s="42">
        <f>0*Deflactores!$H$5</f>
        <v>0</v>
      </c>
      <c r="L100" s="42">
        <f>0*Deflactores!$I$5</f>
        <v>0</v>
      </c>
      <c r="M100" s="42">
        <f>1.279445549*Deflactores!$J$5</f>
        <v>2.8953350404078848</v>
      </c>
      <c r="N100" s="42">
        <f>0.09669555472*Deflactores!$K$5</f>
        <v>0.21209232468724759</v>
      </c>
      <c r="O100" s="42">
        <f>0.068579234*Deflactores!$L$5</f>
        <v>0.14501755337881736</v>
      </c>
      <c r="P100" s="42">
        <f>0.125098387*Deflactores!$M$5</f>
        <v>0.25823201498712245</v>
      </c>
      <c r="Q100" s="42">
        <f>0.140177784*Deflactores!$N$5</f>
        <v>0.2838526381596585</v>
      </c>
      <c r="R100" s="42">
        <f>0.144399997*Deflactores!$O$5</f>
        <v>0.28207833046831621</v>
      </c>
      <c r="S100" s="42">
        <f>0.129807037*Deflactores!$P$5</f>
        <v>0.23749339417238305</v>
      </c>
      <c r="T100" s="42">
        <f>0.12185522044*Deflactores!$Q$5</f>
        <v>0.21082254960012539</v>
      </c>
      <c r="U100" s="42">
        <f>0.12529986514*Deflactores!$R$5</f>
        <v>0.20826414923154837</v>
      </c>
      <c r="V100" s="42">
        <f>0.094039699*Deflactores!$S$5</f>
        <v>0.15148848412678345</v>
      </c>
    </row>
    <row r="101" spans="2:22" x14ac:dyDescent="0.2">
      <c r="B101" s="34" t="s">
        <v>45</v>
      </c>
      <c r="C101" s="76" t="s">
        <v>46</v>
      </c>
      <c r="D101" s="41">
        <f>1799.17165705529*Deflactores!$A$5</f>
        <v>6699.5988423408835</v>
      </c>
      <c r="E101" s="41">
        <f>2106.00965140009*Deflactores!$B$5</f>
        <v>7284.9967633255828</v>
      </c>
      <c r="F101" s="41">
        <f>1947.80374768092*Deflactores!$C$5</f>
        <v>6297.4328470540022</v>
      </c>
      <c r="G101" s="41">
        <f>1933.04205586116*Deflactores!$D$5</f>
        <v>5868.7454105566876</v>
      </c>
      <c r="H101" s="41">
        <f>2276.97922791288*Deflactores!$E$5</f>
        <v>6552.7409118958758</v>
      </c>
      <c r="I101" s="41">
        <f>2352.79998572872*Deflactores!$F$5</f>
        <v>6457.4210815162787</v>
      </c>
      <c r="J101" s="41">
        <f>3095.81674347482*Deflactores!$G$5</f>
        <v>8132.5118987369142</v>
      </c>
      <c r="K101" s="41">
        <f>4209.5154416651*Deflactores!$H$5</f>
        <v>10462.352307268977</v>
      </c>
      <c r="L101" s="41">
        <f>5333.24370032962*Deflactores!$I$5</f>
        <v>12310.517713720763</v>
      </c>
      <c r="M101" s="41">
        <f>6504.14157747222*Deflactores!$J$5</f>
        <v>14718.61700699006</v>
      </c>
      <c r="N101" s="41">
        <f>6145.4796839798*Deflactores!$K$5</f>
        <v>13479.513885284503</v>
      </c>
      <c r="O101" s="41">
        <f>6081.76289655553*Deflactores!$L$5</f>
        <v>12860.487410643174</v>
      </c>
      <c r="P101" s="41">
        <f>7067.57973757295*Deflactores!$M$5</f>
        <v>14589.119815874372</v>
      </c>
      <c r="Q101" s="41">
        <f>8120.08488201475*Deflactores!$N$5</f>
        <v>16442.744706538135</v>
      </c>
      <c r="R101" s="41">
        <f>5285.51722080771*Deflactores!$O$5</f>
        <v>10324.999337132766</v>
      </c>
      <c r="S101" s="41">
        <f>5641.18982898195*Deflactores!$P$5</f>
        <v>10321.053084784984</v>
      </c>
      <c r="T101" s="41">
        <f>7107.29372001726*Deflactores!$Q$5</f>
        <v>12296.377433815249</v>
      </c>
      <c r="U101" s="41">
        <f>7610.44103442665*Deflactores!$R$5</f>
        <v>12649.51103930399</v>
      </c>
      <c r="V101" s="41">
        <f>6643.60601127661*Deflactores!$S$5</f>
        <v>10702.180190771131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12032.115898140972</v>
      </c>
      <c r="E102" s="43">
        <f t="shared" si="33"/>
        <v>12527.853458953177</v>
      </c>
      <c r="F102" s="43">
        <f t="shared" si="33"/>
        <v>11667.442386106053</v>
      </c>
      <c r="G102" s="43">
        <f t="shared" si="33"/>
        <v>11188.927911671686</v>
      </c>
      <c r="H102" s="43">
        <f t="shared" si="33"/>
        <v>17659.078788923867</v>
      </c>
      <c r="I102" s="43">
        <f t="shared" si="33"/>
        <v>17076.861603327692</v>
      </c>
      <c r="J102" s="43">
        <f t="shared" si="33"/>
        <v>13338.541081532432</v>
      </c>
      <c r="K102" s="43">
        <f t="shared" si="33"/>
        <v>16065.101789188913</v>
      </c>
      <c r="L102" s="43">
        <f t="shared" si="33"/>
        <v>17954.177698410538</v>
      </c>
      <c r="M102" s="43">
        <f t="shared" si="33"/>
        <v>21474.590828701443</v>
      </c>
      <c r="N102" s="43">
        <f t="shared" si="33"/>
        <v>23176.149999095556</v>
      </c>
      <c r="O102" s="43">
        <f t="shared" si="33"/>
        <v>21878.114041869001</v>
      </c>
      <c r="P102" s="43">
        <f t="shared" si="33"/>
        <v>23328.558679195692</v>
      </c>
      <c r="Q102" s="43">
        <f t="shared" si="33"/>
        <v>25487.999770515082</v>
      </c>
      <c r="R102" s="43">
        <f t="shared" si="33"/>
        <v>19599.310996658947</v>
      </c>
      <c r="S102" s="43">
        <f t="shared" si="33"/>
        <v>19788.823819798035</v>
      </c>
      <c r="T102" s="43">
        <f t="shared" si="33"/>
        <v>21165.076376954661</v>
      </c>
      <c r="U102" s="43">
        <f t="shared" si="33"/>
        <v>21795.5268506867</v>
      </c>
      <c r="V102" s="43">
        <f t="shared" si="33"/>
        <v>19400.31860484941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12166.702967987105</v>
      </c>
      <c r="E103" s="44">
        <f t="shared" si="34"/>
        <v>12539.713151661012</v>
      </c>
      <c r="F103" s="44">
        <f t="shared" si="34"/>
        <v>11679.210002421263</v>
      </c>
      <c r="G103" s="44">
        <f t="shared" si="34"/>
        <v>11202.784076242617</v>
      </c>
      <c r="H103" s="44">
        <f t="shared" si="34"/>
        <v>17669.998061648679</v>
      </c>
      <c r="I103" s="44">
        <f t="shared" si="34"/>
        <v>17084.262242006662</v>
      </c>
      <c r="J103" s="44">
        <f t="shared" si="34"/>
        <v>13341.939680863747</v>
      </c>
      <c r="K103" s="44">
        <f t="shared" si="34"/>
        <v>16067.572856268331</v>
      </c>
      <c r="L103" s="44">
        <f t="shared" si="34"/>
        <v>17956.882606406252</v>
      </c>
      <c r="M103" s="44">
        <f t="shared" si="34"/>
        <v>21480.881304635164</v>
      </c>
      <c r="N103" s="44">
        <f t="shared" si="34"/>
        <v>23178.593828370169</v>
      </c>
      <c r="O103" s="44">
        <f t="shared" si="34"/>
        <v>21880.609647517944</v>
      </c>
      <c r="P103" s="44">
        <f t="shared" si="34"/>
        <v>23330.76322697349</v>
      </c>
      <c r="Q103" s="44">
        <f t="shared" si="34"/>
        <v>25490.02023081424</v>
      </c>
      <c r="R103" s="44">
        <f t="shared" si="34"/>
        <v>19601.353342744194</v>
      </c>
      <c r="S103" s="44">
        <f t="shared" si="34"/>
        <v>19791.698164316404</v>
      </c>
      <c r="T103" s="44">
        <f t="shared" si="34"/>
        <v>21167.302511031245</v>
      </c>
      <c r="U103" s="44">
        <f t="shared" si="34"/>
        <v>21797.982642248782</v>
      </c>
      <c r="V103" s="44">
        <f t="shared" si="34"/>
        <v>19402.308539676225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15419.245653710524</v>
      </c>
      <c r="E104" s="43">
        <f t="shared" si="35"/>
        <v>16475.376531648231</v>
      </c>
      <c r="F104" s="43">
        <f t="shared" si="35"/>
        <v>16329.166817702482</v>
      </c>
      <c r="G104" s="43">
        <f t="shared" si="35"/>
        <v>14850.509302350096</v>
      </c>
      <c r="H104" s="43">
        <f t="shared" si="35"/>
        <v>22208.657685432805</v>
      </c>
      <c r="I104" s="43">
        <f t="shared" si="35"/>
        <v>21301.409589219656</v>
      </c>
      <c r="J104" s="43">
        <f t="shared" si="35"/>
        <v>18309.387280904102</v>
      </c>
      <c r="K104" s="43">
        <f t="shared" si="35"/>
        <v>18987.212337302226</v>
      </c>
      <c r="L104" s="43">
        <f t="shared" si="35"/>
        <v>20331.610815731648</v>
      </c>
      <c r="M104" s="43">
        <f t="shared" si="35"/>
        <v>25373.618670077689</v>
      </c>
      <c r="N104" s="43">
        <f t="shared" si="35"/>
        <v>27649.756800421019</v>
      </c>
      <c r="O104" s="43">
        <f t="shared" si="35"/>
        <v>27260.568501226466</v>
      </c>
      <c r="P104" s="43">
        <f t="shared" si="35"/>
        <v>27342.795754667572</v>
      </c>
      <c r="Q104" s="43">
        <f t="shared" si="35"/>
        <v>29167.622603933665</v>
      </c>
      <c r="R104" s="43">
        <f t="shared" si="35"/>
        <v>22295.443831010525</v>
      </c>
      <c r="S104" s="43">
        <f t="shared" si="35"/>
        <v>22425.841336403595</v>
      </c>
      <c r="T104" s="43">
        <f t="shared" si="35"/>
        <v>23107.965352610372</v>
      </c>
      <c r="U104" s="43">
        <f t="shared" si="35"/>
        <v>24292.513948447566</v>
      </c>
      <c r="V104" s="43">
        <f t="shared" si="35"/>
        <v>22138.919237354407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78.033103359018952</v>
      </c>
      <c r="E105" s="45">
        <f t="shared" si="36"/>
        <v>76.039861273506588</v>
      </c>
      <c r="F105" s="45">
        <f t="shared" si="36"/>
        <v>71.451547506130908</v>
      </c>
      <c r="G105" s="45">
        <f t="shared" si="36"/>
        <v>75.343731880636824</v>
      </c>
      <c r="H105" s="45">
        <f t="shared" si="36"/>
        <v>79.514390464520886</v>
      </c>
      <c r="I105" s="45">
        <f t="shared" si="36"/>
        <v>80.167753837145355</v>
      </c>
      <c r="J105" s="45">
        <f t="shared" si="36"/>
        <v>72.850832618762468</v>
      </c>
      <c r="K105" s="45">
        <f t="shared" si="36"/>
        <v>84.610112868582917</v>
      </c>
      <c r="L105" s="45">
        <f t="shared" si="36"/>
        <v>88.306715395705083</v>
      </c>
      <c r="M105" s="45">
        <f t="shared" si="36"/>
        <v>84.633536540161501</v>
      </c>
      <c r="N105" s="45">
        <f t="shared" si="36"/>
        <v>83.820447920694392</v>
      </c>
      <c r="O105" s="45">
        <f t="shared" si="36"/>
        <v>80.255531137894991</v>
      </c>
      <c r="P105" s="45">
        <f t="shared" si="36"/>
        <v>85.3188492080711</v>
      </c>
      <c r="Q105" s="45">
        <f t="shared" si="36"/>
        <v>87.384563756244106</v>
      </c>
      <c r="R105" s="45">
        <f t="shared" si="36"/>
        <v>87.907247530988585</v>
      </c>
      <c r="S105" s="45">
        <f t="shared" si="36"/>
        <v>88.241165729087186</v>
      </c>
      <c r="T105" s="45">
        <f t="shared" si="36"/>
        <v>91.592124421130677</v>
      </c>
      <c r="U105" s="45">
        <f t="shared" si="36"/>
        <v>89.721166351659392</v>
      </c>
      <c r="V105" s="45">
        <f t="shared" si="36"/>
        <v>87.629926270817109</v>
      </c>
    </row>
    <row r="106" spans="2:22" x14ac:dyDescent="0.2">
      <c r="B106" s="1" t="s">
        <v>52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1"/>
      <c r="D111" s="155" t="s">
        <v>87</v>
      </c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</row>
    <row r="112" spans="2:22" x14ac:dyDescent="0.2">
      <c r="U112" s="29"/>
      <c r="V112" s="29"/>
    </row>
    <row r="113" spans="2:22" ht="13.5" customHeight="1" x14ac:dyDescent="0.2">
      <c r="B113" s="158"/>
      <c r="C113" s="159" t="s">
        <v>38</v>
      </c>
      <c r="D113" s="153">
        <v>2000</v>
      </c>
      <c r="E113" s="153">
        <v>2001</v>
      </c>
      <c r="F113" s="153">
        <v>2002</v>
      </c>
      <c r="G113" s="153">
        <v>2003</v>
      </c>
      <c r="H113" s="153">
        <v>2004</v>
      </c>
      <c r="I113" s="153">
        <v>2005</v>
      </c>
      <c r="J113" s="153">
        <v>2006</v>
      </c>
      <c r="K113" s="153">
        <v>2007</v>
      </c>
      <c r="L113" s="153">
        <v>2008</v>
      </c>
      <c r="M113" s="153">
        <v>2009</v>
      </c>
      <c r="N113" s="153">
        <v>2010</v>
      </c>
      <c r="O113" s="153">
        <v>2011</v>
      </c>
      <c r="P113" s="153">
        <v>2012</v>
      </c>
      <c r="Q113" s="153">
        <v>2013</v>
      </c>
      <c r="R113" s="153">
        <v>2014</v>
      </c>
      <c r="S113" s="153">
        <v>2015</v>
      </c>
      <c r="T113" s="153">
        <v>2016</v>
      </c>
      <c r="U113" s="153">
        <v>2017</v>
      </c>
      <c r="V113" s="153">
        <v>2018</v>
      </c>
    </row>
    <row r="114" spans="2:22" ht="12" customHeight="1" thickBot="1" x14ac:dyDescent="0.25">
      <c r="B114" s="154"/>
      <c r="C114" s="160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79.449599783721922</v>
      </c>
      <c r="E115" s="46">
        <f t="shared" si="37"/>
        <v>76.580916454809312</v>
      </c>
      <c r="F115" s="46">
        <f t="shared" si="37"/>
        <v>78.743843556625066</v>
      </c>
      <c r="G115" s="46">
        <f t="shared" si="37"/>
        <v>79.671929942762731</v>
      </c>
      <c r="H115" s="46">
        <f t="shared" si="37"/>
        <v>85.655760097843086</v>
      </c>
      <c r="I115" s="46">
        <f t="shared" si="37"/>
        <v>89.42982409499399</v>
      </c>
      <c r="J115" s="46">
        <f t="shared" si="37"/>
        <v>72.40185176692134</v>
      </c>
      <c r="K115" s="46">
        <f t="shared" si="37"/>
        <v>81.290268174867961</v>
      </c>
      <c r="L115" s="46">
        <f t="shared" si="37"/>
        <v>83.245902238485016</v>
      </c>
      <c r="M115" s="46">
        <f t="shared" si="37"/>
        <v>80.224357357469273</v>
      </c>
      <c r="N115" s="46">
        <f t="shared" si="37"/>
        <v>86.272473292677134</v>
      </c>
      <c r="O115" s="46">
        <f t="shared" si="37"/>
        <v>84.137071424133936</v>
      </c>
      <c r="P115" s="46">
        <f t="shared" si="37"/>
        <v>84.440042237712916</v>
      </c>
      <c r="Q115" s="46">
        <f t="shared" si="37"/>
        <v>81.477332740610464</v>
      </c>
      <c r="R115" s="46">
        <f t="shared" si="37"/>
        <v>86.203243971770078</v>
      </c>
      <c r="S115" s="46">
        <f t="shared" si="37"/>
        <v>87.747360332174139</v>
      </c>
      <c r="T115" s="46">
        <f t="shared" si="37"/>
        <v>91.157152643956152</v>
      </c>
      <c r="U115" s="46">
        <f t="shared" si="37"/>
        <v>93.280911719467625</v>
      </c>
      <c r="V115" s="46">
        <f t="shared" si="37"/>
        <v>88.916562374495328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94.878694590075426</v>
      </c>
      <c r="E116" s="47">
        <f t="shared" si="38"/>
        <v>94.218853909255273</v>
      </c>
      <c r="F116" s="47">
        <f t="shared" si="38"/>
        <v>96.202663718141793</v>
      </c>
      <c r="G116" s="47">
        <f t="shared" si="38"/>
        <v>93.86050389820825</v>
      </c>
      <c r="H116" s="47">
        <f t="shared" si="38"/>
        <v>92.614016723367655</v>
      </c>
      <c r="I116" s="47">
        <f t="shared" si="38"/>
        <v>94.478319673952882</v>
      </c>
      <c r="J116" s="47">
        <f t="shared" si="38"/>
        <v>93.114137176267434</v>
      </c>
      <c r="K116" s="47">
        <f t="shared" si="38"/>
        <v>93.520027856211257</v>
      </c>
      <c r="L116" s="47">
        <f t="shared" si="38"/>
        <v>95.129170431048848</v>
      </c>
      <c r="M116" s="47">
        <f t="shared" si="38"/>
        <v>92.716160929565731</v>
      </c>
      <c r="N116" s="47">
        <f t="shared" si="38"/>
        <v>94.077077152247028</v>
      </c>
      <c r="O116" s="47">
        <f t="shared" si="38"/>
        <v>92.791938307790403</v>
      </c>
      <c r="P116" s="47">
        <f t="shared" si="38"/>
        <v>92.815668363639716</v>
      </c>
      <c r="Q116" s="47">
        <f t="shared" si="38"/>
        <v>83.690797646981707</v>
      </c>
      <c r="R116" s="47">
        <f t="shared" si="38"/>
        <v>87.042900713714459</v>
      </c>
      <c r="S116" s="47">
        <f t="shared" si="38"/>
        <v>90.451093631971489</v>
      </c>
      <c r="T116" s="47">
        <f t="shared" si="38"/>
        <v>92.891283077620201</v>
      </c>
      <c r="U116" s="47">
        <f t="shared" si="38"/>
        <v>92.977231705968322</v>
      </c>
      <c r="V116" s="47">
        <f t="shared" si="38"/>
        <v>93.352842406980812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83.535634460824795</v>
      </c>
      <c r="E117" s="47">
        <f t="shared" si="39"/>
        <v>87.711723750849501</v>
      </c>
      <c r="F117" s="47">
        <f t="shared" si="39"/>
        <v>87.326398698864608</v>
      </c>
      <c r="G117" s="47">
        <f t="shared" si="39"/>
        <v>82.440837853176234</v>
      </c>
      <c r="H117" s="47">
        <f t="shared" si="39"/>
        <v>78.971138839963288</v>
      </c>
      <c r="I117" s="47">
        <f t="shared" si="39"/>
        <v>82.034435839650101</v>
      </c>
      <c r="J117" s="47">
        <f t="shared" si="39"/>
        <v>77.04057219354867</v>
      </c>
      <c r="K117" s="47">
        <f t="shared" si="39"/>
        <v>82.160911493210065</v>
      </c>
      <c r="L117" s="47">
        <f t="shared" si="39"/>
        <v>85.317639595942921</v>
      </c>
      <c r="M117" s="47">
        <f t="shared" si="39"/>
        <v>87.714608818149912</v>
      </c>
      <c r="N117" s="47">
        <f t="shared" si="39"/>
        <v>83.298679708556776</v>
      </c>
      <c r="O117" s="47">
        <f t="shared" si="39"/>
        <v>84.153865564447599</v>
      </c>
      <c r="P117" s="47">
        <f t="shared" si="39"/>
        <v>85.789310733768502</v>
      </c>
      <c r="Q117" s="47">
        <f t="shared" si="39"/>
        <v>89.841255125276774</v>
      </c>
      <c r="R117" s="47">
        <f t="shared" si="39"/>
        <v>87.071520714399384</v>
      </c>
      <c r="S117" s="47">
        <f t="shared" si="39"/>
        <v>92.865469123999318</v>
      </c>
      <c r="T117" s="47">
        <f t="shared" si="39"/>
        <v>92.780882430848919</v>
      </c>
      <c r="U117" s="47">
        <f t="shared" si="39"/>
        <v>91.202222295772287</v>
      </c>
      <c r="V117" s="47">
        <f t="shared" si="39"/>
        <v>84.709058493249429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63.302146807798941</v>
      </c>
      <c r="E118" s="47">
        <f t="shared" si="40"/>
        <v>64.074332303106374</v>
      </c>
      <c r="F118" s="47">
        <f t="shared" si="40"/>
        <v>63.641428837749324</v>
      </c>
      <c r="G118" s="47">
        <f t="shared" si="40"/>
        <v>68.446012030926781</v>
      </c>
      <c r="H118" s="47">
        <f t="shared" si="40"/>
        <v>85.79420722611161</v>
      </c>
      <c r="I118" s="47">
        <f t="shared" si="40"/>
        <v>92.279873017422034</v>
      </c>
      <c r="J118" s="47">
        <f t="shared" si="40"/>
        <v>63.977722530730553</v>
      </c>
      <c r="K118" s="47">
        <f t="shared" si="40"/>
        <v>67.705695776679406</v>
      </c>
      <c r="L118" s="47">
        <f t="shared" si="40"/>
        <v>67.943537587624846</v>
      </c>
      <c r="M118" s="47">
        <f t="shared" si="40"/>
        <v>66.184788046655868</v>
      </c>
      <c r="N118" s="47">
        <f t="shared" si="40"/>
        <v>83.492723118485259</v>
      </c>
      <c r="O118" s="47">
        <f t="shared" si="40"/>
        <v>82.214667354898822</v>
      </c>
      <c r="P118" s="47">
        <f t="shared" si="40"/>
        <v>85.447426406577179</v>
      </c>
      <c r="Q118" s="47">
        <f t="shared" si="40"/>
        <v>78.134656712191031</v>
      </c>
      <c r="R118" s="47">
        <f t="shared" si="40"/>
        <v>83.223744469365641</v>
      </c>
      <c r="S118" s="47">
        <f t="shared" si="40"/>
        <v>88.029343636565912</v>
      </c>
      <c r="T118" s="47">
        <f t="shared" si="40"/>
        <v>91.33485314978887</v>
      </c>
      <c r="U118" s="47">
        <f t="shared" si="40"/>
        <v>94.311144647114602</v>
      </c>
      <c r="V118" s="47">
        <f t="shared" si="40"/>
        <v>84.68552871314661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86.401582645799195</v>
      </c>
      <c r="E119" s="47">
        <f t="shared" si="41"/>
        <v>73.333903938900335</v>
      </c>
      <c r="F119" s="47">
        <f t="shared" si="41"/>
        <v>80.353603564870895</v>
      </c>
      <c r="G119" s="47">
        <f t="shared" si="41"/>
        <v>81.437704666551298</v>
      </c>
      <c r="H119" s="47">
        <f t="shared" si="41"/>
        <v>81.40457899902124</v>
      </c>
      <c r="I119" s="47">
        <f t="shared" si="41"/>
        <v>78.55379832381908</v>
      </c>
      <c r="J119" s="47">
        <f t="shared" si="41"/>
        <v>65.689580662135427</v>
      </c>
      <c r="K119" s="47">
        <f t="shared" si="41"/>
        <v>87.76937925791286</v>
      </c>
      <c r="L119" s="47">
        <f t="shared" si="41"/>
        <v>88.997674642408853</v>
      </c>
      <c r="M119" s="47">
        <f t="shared" si="41"/>
        <v>85.574595969286065</v>
      </c>
      <c r="N119" s="47">
        <f t="shared" si="41"/>
        <v>87.360293888875987</v>
      </c>
      <c r="O119" s="47">
        <f t="shared" si="41"/>
        <v>81.933724567376956</v>
      </c>
      <c r="P119" s="47">
        <f t="shared" si="41"/>
        <v>77.537990839466076</v>
      </c>
      <c r="Q119" s="47">
        <f t="shared" si="41"/>
        <v>80.603903137832219</v>
      </c>
      <c r="R119" s="47">
        <f t="shared" si="41"/>
        <v>88.57262388630943</v>
      </c>
      <c r="S119" s="47">
        <f t="shared" si="41"/>
        <v>83.282613577361246</v>
      </c>
      <c r="T119" s="47">
        <f t="shared" si="41"/>
        <v>88.758846265319818</v>
      </c>
      <c r="U119" s="47">
        <f t="shared" si="41"/>
        <v>93.221721476832982</v>
      </c>
      <c r="V119" s="47">
        <f t="shared" si="41"/>
        <v>90.461133388614584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92.191376453904653</v>
      </c>
      <c r="E120" s="46">
        <f t="shared" si="42"/>
        <v>87.055269387492004</v>
      </c>
      <c r="F120" s="46">
        <f t="shared" si="42"/>
        <v>78.069056425025792</v>
      </c>
      <c r="G120" s="46">
        <f t="shared" si="42"/>
        <v>96.615952224729597</v>
      </c>
      <c r="H120" s="46">
        <f t="shared" si="42"/>
        <v>94.512120003736129</v>
      </c>
      <c r="I120" s="46">
        <f t="shared" si="42"/>
        <v>64.274124366593867</v>
      </c>
      <c r="J120" s="46">
        <f t="shared" si="42"/>
        <v>43.142271029745231</v>
      </c>
      <c r="K120" s="46">
        <f t="shared" si="42"/>
        <v>34.822593246126623</v>
      </c>
      <c r="L120" s="46">
        <f t="shared" si="42"/>
        <v>50.127821664028694</v>
      </c>
      <c r="M120" s="46">
        <f t="shared" si="42"/>
        <v>69.586071184319195</v>
      </c>
      <c r="N120" s="46">
        <f t="shared" si="42"/>
        <v>49.093300769773109</v>
      </c>
      <c r="O120" s="46">
        <f t="shared" si="42"/>
        <v>62.423535544271694</v>
      </c>
      <c r="P120" s="46">
        <f t="shared" si="42"/>
        <v>87.524597197180782</v>
      </c>
      <c r="Q120" s="46">
        <f t="shared" si="42"/>
        <v>72.40813454281566</v>
      </c>
      <c r="R120" s="46">
        <f t="shared" si="42"/>
        <v>99.250678167837478</v>
      </c>
      <c r="S120" s="46">
        <f t="shared" si="42"/>
        <v>99.999996308163546</v>
      </c>
      <c r="T120" s="46">
        <f t="shared" si="42"/>
        <v>99.91474768435225</v>
      </c>
      <c r="U120" s="46">
        <f t="shared" si="42"/>
        <v>95.624900728755435</v>
      </c>
      <c r="V120" s="46">
        <f t="shared" si="42"/>
        <v>95.997882121494712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71.104986802251403</v>
      </c>
      <c r="E121" s="46">
        <f t="shared" si="43"/>
        <v>87.544145602252783</v>
      </c>
      <c r="F121" s="46">
        <f t="shared" si="43"/>
        <v>81.69728083568765</v>
      </c>
      <c r="G121" s="46">
        <f t="shared" si="43"/>
        <v>96.519434525238822</v>
      </c>
      <c r="H121" s="46">
        <f t="shared" si="43"/>
        <v>94.121383681166279</v>
      </c>
      <c r="I121" s="46">
        <f t="shared" si="43"/>
        <v>70.419283963590559</v>
      </c>
      <c r="J121" s="46">
        <f t="shared" si="43"/>
        <v>62.809091628939193</v>
      </c>
      <c r="K121" s="46">
        <f t="shared" si="43"/>
        <v>78.253125698526276</v>
      </c>
      <c r="L121" s="46">
        <f t="shared" si="43"/>
        <v>44.783996899465329</v>
      </c>
      <c r="M121" s="46">
        <f t="shared" si="43"/>
        <v>83.764142731804498</v>
      </c>
      <c r="N121" s="46">
        <f t="shared" si="43"/>
        <v>33.90045760008924</v>
      </c>
      <c r="O121" s="46">
        <f t="shared" si="43"/>
        <v>60.151306415336812</v>
      </c>
      <c r="P121" s="46">
        <f t="shared" si="43"/>
        <v>86.467270270270291</v>
      </c>
      <c r="Q121" s="46">
        <f t="shared" si="43"/>
        <v>28.696683875939122</v>
      </c>
      <c r="R121" s="46">
        <f t="shared" si="43"/>
        <v>95.321071618257278</v>
      </c>
      <c r="S121" s="46">
        <f t="shared" si="43"/>
        <v>100</v>
      </c>
      <c r="T121" s="46">
        <f t="shared" si="43"/>
        <v>99.527891537933129</v>
      </c>
      <c r="U121" s="46">
        <f t="shared" si="43"/>
        <v>82.26749657239057</v>
      </c>
      <c r="V121" s="46">
        <f t="shared" si="43"/>
        <v>84.231084992907796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66.695597144841997</v>
      </c>
      <c r="E122" s="47">
        <f t="shared" si="44"/>
        <v>86.230305482704495</v>
      </c>
      <c r="F122" s="47">
        <f t="shared" si="44"/>
        <v>81.720062631596619</v>
      </c>
      <c r="G122" s="47">
        <f t="shared" si="44"/>
        <v>96.894011305999442</v>
      </c>
      <c r="H122" s="47">
        <f t="shared" si="44"/>
        <v>95.947763471667287</v>
      </c>
      <c r="I122" s="47">
        <f t="shared" si="44"/>
        <v>71.793804760845177</v>
      </c>
      <c r="J122" s="47">
        <f t="shared" si="44"/>
        <v>64.982929189189193</v>
      </c>
      <c r="K122" s="47">
        <f t="shared" si="44"/>
        <v>80.956498047032042</v>
      </c>
      <c r="L122" s="47">
        <f t="shared" si="44"/>
        <v>43.635602022655171</v>
      </c>
      <c r="M122" s="47">
        <f t="shared" si="44"/>
        <v>86.57477186490604</v>
      </c>
      <c r="N122" s="47">
        <f t="shared" si="44"/>
        <v>33.464252337722478</v>
      </c>
      <c r="O122" s="47">
        <f t="shared" si="44"/>
        <v>60.371612026827329</v>
      </c>
      <c r="P122" s="47">
        <f t="shared" si="44"/>
        <v>86.975925820256776</v>
      </c>
      <c r="Q122" s="47">
        <f t="shared" si="44"/>
        <v>26.285304734339466</v>
      </c>
      <c r="R122" s="47">
        <f t="shared" si="44"/>
        <v>96.499260847337581</v>
      </c>
      <c r="S122" s="47">
        <f t="shared" si="44"/>
        <v>100</v>
      </c>
      <c r="T122" s="47">
        <f t="shared" si="44"/>
        <v>100</v>
      </c>
      <c r="U122" s="47">
        <f t="shared" si="44"/>
        <v>82.605949259649122</v>
      </c>
      <c r="V122" s="47">
        <f t="shared" si="44"/>
        <v>84.790471514492751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95.831980858807896</v>
      </c>
      <c r="E123" s="47">
        <f t="shared" si="45"/>
        <v>93.941804948504981</v>
      </c>
      <c r="F123" s="47">
        <f t="shared" si="45"/>
        <v>81.576756349742325</v>
      </c>
      <c r="G123" s="47">
        <f t="shared" si="45"/>
        <v>93.463476726708166</v>
      </c>
      <c r="H123" s="47">
        <f t="shared" si="45"/>
        <v>80.759009262319267</v>
      </c>
      <c r="I123" s="47">
        <f t="shared" si="45"/>
        <v>59.55752541713376</v>
      </c>
      <c r="J123" s="47">
        <f t="shared" si="45"/>
        <v>48.557028608160984</v>
      </c>
      <c r="K123" s="47">
        <f t="shared" si="45"/>
        <v>57.079797890470054</v>
      </c>
      <c r="L123" s="47">
        <f t="shared" si="45"/>
        <v>54.913403700253923</v>
      </c>
      <c r="M123" s="47">
        <f t="shared" si="45"/>
        <v>54.022104191685912</v>
      </c>
      <c r="N123" s="47">
        <f t="shared" si="45"/>
        <v>38.919512065232951</v>
      </c>
      <c r="O123" s="47">
        <f t="shared" si="45"/>
        <v>56.562364814814636</v>
      </c>
      <c r="P123" s="47">
        <f t="shared" si="45"/>
        <v>84.090153333333333</v>
      </c>
      <c r="Q123" s="47">
        <f t="shared" si="45"/>
        <v>61.645387005649724</v>
      </c>
      <c r="R123" s="47">
        <f t="shared" si="45"/>
        <v>86.927078715050143</v>
      </c>
      <c r="S123" s="47">
        <f t="shared" si="45"/>
        <v>100</v>
      </c>
      <c r="T123" s="47">
        <f t="shared" si="45"/>
        <v>93.830625492451418</v>
      </c>
      <c r="U123" s="47">
        <f t="shared" si="45"/>
        <v>74.229245249999991</v>
      </c>
      <c r="V123" s="47">
        <f t="shared" si="45"/>
        <v>58.499304999999666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96.353780336045389</v>
      </c>
      <c r="E124" s="46">
        <f t="shared" si="46"/>
        <v>82.789097190085556</v>
      </c>
      <c r="F124" s="46">
        <f t="shared" si="46"/>
        <v>66.629163625855512</v>
      </c>
      <c r="G124" s="46">
        <f t="shared" si="46"/>
        <v>96.886524698645189</v>
      </c>
      <c r="H124" s="46">
        <f t="shared" si="46"/>
        <v>95.432744691523155</v>
      </c>
      <c r="I124" s="46">
        <f t="shared" si="46"/>
        <v>57.225493356137072</v>
      </c>
      <c r="J124" s="46">
        <f t="shared" si="46"/>
        <v>27.000432483302973</v>
      </c>
      <c r="K124" s="46" t="str">
        <f t="shared" si="46"/>
        <v xml:space="preserve"> </v>
      </c>
      <c r="L124" s="46">
        <f t="shared" si="46"/>
        <v>55.389531454283045</v>
      </c>
      <c r="M124" s="46">
        <f t="shared" si="46"/>
        <v>64.832718320687235</v>
      </c>
      <c r="N124" s="46">
        <f t="shared" si="46"/>
        <v>64.784324956159693</v>
      </c>
      <c r="O124" s="46">
        <f t="shared" si="46"/>
        <v>64.640674574145734</v>
      </c>
      <c r="P124" s="46">
        <f t="shared" si="46"/>
        <v>87.695984857142861</v>
      </c>
      <c r="Q124" s="46">
        <f t="shared" si="46"/>
        <v>98.826360228198851</v>
      </c>
      <c r="R124" s="46">
        <f t="shared" si="46"/>
        <v>99.999999547869336</v>
      </c>
      <c r="S124" s="46">
        <f t="shared" si="46"/>
        <v>99.999995798477116</v>
      </c>
      <c r="T124" s="46">
        <f t="shared" si="46"/>
        <v>99.999558267516363</v>
      </c>
      <c r="U124" s="46">
        <f t="shared" si="46"/>
        <v>98.80345135325696</v>
      </c>
      <c r="V124" s="46">
        <f t="shared" si="46"/>
        <v>97.445890507302408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95.291504688721872</v>
      </c>
      <c r="E125" s="47">
        <f t="shared" si="47"/>
        <v>98.983050909686938</v>
      </c>
      <c r="F125" s="47">
        <f t="shared" si="47"/>
        <v>80.295261882024974</v>
      </c>
      <c r="G125" s="47">
        <f t="shared" si="47"/>
        <v>99.554180906877647</v>
      </c>
      <c r="H125" s="47">
        <f t="shared" si="47"/>
        <v>96.489142134896127</v>
      </c>
      <c r="I125" s="47">
        <f t="shared" si="47"/>
        <v>57.924581641411741</v>
      </c>
      <c r="J125" s="47">
        <f t="shared" si="47"/>
        <v>28.53202875891121</v>
      </c>
      <c r="K125" s="47" t="str">
        <f t="shared" si="47"/>
        <v xml:space="preserve"> </v>
      </c>
      <c r="L125" s="47">
        <f t="shared" si="47"/>
        <v>71.727494613016702</v>
      </c>
      <c r="M125" s="47">
        <f t="shared" si="47"/>
        <v>81.259833210241254</v>
      </c>
      <c r="N125" s="47">
        <f t="shared" si="47"/>
        <v>70.217977630322878</v>
      </c>
      <c r="O125" s="47">
        <f t="shared" si="47"/>
        <v>70.981850929272156</v>
      </c>
      <c r="P125" s="47">
        <f t="shared" si="47"/>
        <v>86.031944426424474</v>
      </c>
      <c r="Q125" s="47">
        <f t="shared" si="47"/>
        <v>98.600504243773486</v>
      </c>
      <c r="R125" s="47">
        <f t="shared" si="47"/>
        <v>99.99999986491963</v>
      </c>
      <c r="S125" s="47">
        <f t="shared" si="47"/>
        <v>99.999995362392283</v>
      </c>
      <c r="T125" s="47">
        <f t="shared" si="47"/>
        <v>99.999999978595454</v>
      </c>
      <c r="U125" s="47">
        <f t="shared" si="47"/>
        <v>98.784307730717799</v>
      </c>
      <c r="V125" s="47">
        <f t="shared" si="47"/>
        <v>99.993914827152778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99.033600313558097</v>
      </c>
      <c r="E126" s="47">
        <f t="shared" si="48"/>
        <v>79.49952009923436</v>
      </c>
      <c r="F126" s="47">
        <f t="shared" si="48"/>
        <v>49.017377381023877</v>
      </c>
      <c r="G126" s="47">
        <f t="shared" si="48"/>
        <v>90.471818665464795</v>
      </c>
      <c r="H126" s="47">
        <f t="shared" si="48"/>
        <v>92.611687020558136</v>
      </c>
      <c r="I126" s="47">
        <f t="shared" si="48"/>
        <v>55.256239981464297</v>
      </c>
      <c r="J126" s="47">
        <f t="shared" si="48"/>
        <v>22.41826466311197</v>
      </c>
      <c r="K126" s="47" t="str">
        <f t="shared" si="48"/>
        <v xml:space="preserve"> </v>
      </c>
      <c r="L126" s="47" t="str">
        <f t="shared" si="48"/>
        <v xml:space="preserve"> </v>
      </c>
      <c r="M126" s="47">
        <f t="shared" si="48"/>
        <v>58.709014316523657</v>
      </c>
      <c r="N126" s="47">
        <f t="shared" si="48"/>
        <v>43.148164632764122</v>
      </c>
      <c r="O126" s="47">
        <f t="shared" si="48"/>
        <v>37.660205381658429</v>
      </c>
      <c r="P126" s="47">
        <f t="shared" si="48"/>
        <v>99.998710631494816</v>
      </c>
      <c r="Q126" s="47">
        <f t="shared" si="48"/>
        <v>99.984154065620544</v>
      </c>
      <c r="R126" s="47">
        <f t="shared" si="48"/>
        <v>99.999997922437686</v>
      </c>
      <c r="S126" s="47">
        <f t="shared" si="48"/>
        <v>100</v>
      </c>
      <c r="T126" s="47">
        <f t="shared" si="48"/>
        <v>99.996171373408302</v>
      </c>
      <c r="U126" s="47">
        <f t="shared" si="48"/>
        <v>98.973037235387054</v>
      </c>
      <c r="V126" s="47">
        <f t="shared" si="48"/>
        <v>76.30473068449588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76.941244679513204</v>
      </c>
      <c r="E127" s="46">
        <f t="shared" si="49"/>
        <v>75.655182424557552</v>
      </c>
      <c r="F127" s="46">
        <f t="shared" si="49"/>
        <v>66.222029296551327</v>
      </c>
      <c r="G127" s="46">
        <f t="shared" si="49"/>
        <v>71.807405936949991</v>
      </c>
      <c r="H127" s="46">
        <f t="shared" si="49"/>
        <v>70.898616279741688</v>
      </c>
      <c r="I127" s="46">
        <f t="shared" si="49"/>
        <v>68.500653361625268</v>
      </c>
      <c r="J127" s="46">
        <f t="shared" si="49"/>
        <v>73.141182742464906</v>
      </c>
      <c r="K127" s="46">
        <f t="shared" si="49"/>
        <v>86.501919838919619</v>
      </c>
      <c r="L127" s="46">
        <f t="shared" si="49"/>
        <v>90.838411021220907</v>
      </c>
      <c r="M127" s="46">
        <f t="shared" si="49"/>
        <v>86.823877021311631</v>
      </c>
      <c r="N127" s="46">
        <f t="shared" si="49"/>
        <v>82.141026438429776</v>
      </c>
      <c r="O127" s="46">
        <f t="shared" si="49"/>
        <v>77.740749665578932</v>
      </c>
      <c r="P127" s="46">
        <f t="shared" si="49"/>
        <v>85.854104005854367</v>
      </c>
      <c r="Q127" s="46">
        <f t="shared" si="49"/>
        <v>91.014545671374464</v>
      </c>
      <c r="R127" s="46">
        <f t="shared" si="49"/>
        <v>89.496320060690181</v>
      </c>
      <c r="S127" s="46">
        <f t="shared" si="49"/>
        <v>88.699059258271788</v>
      </c>
      <c r="T127" s="46">
        <f t="shared" si="49"/>
        <v>91.908431133279478</v>
      </c>
      <c r="U127" s="46">
        <f t="shared" si="49"/>
        <v>87.312045840163023</v>
      </c>
      <c r="V127" s="46">
        <f t="shared" si="49"/>
        <v>86.611330576999634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78.033103359018952</v>
      </c>
      <c r="E128" s="48">
        <f t="shared" si="50"/>
        <v>76.039861273506588</v>
      </c>
      <c r="F128" s="48">
        <f t="shared" si="50"/>
        <v>71.451547506130908</v>
      </c>
      <c r="G128" s="48">
        <f t="shared" si="50"/>
        <v>75.343731880636824</v>
      </c>
      <c r="H128" s="48">
        <f t="shared" si="50"/>
        <v>79.514390464520886</v>
      </c>
      <c r="I128" s="48">
        <f t="shared" si="50"/>
        <v>80.167753837145355</v>
      </c>
      <c r="J128" s="48">
        <f t="shared" si="50"/>
        <v>72.850832618762468</v>
      </c>
      <c r="K128" s="48">
        <f t="shared" si="50"/>
        <v>84.610112868582917</v>
      </c>
      <c r="L128" s="48">
        <f t="shared" si="50"/>
        <v>88.306715395705083</v>
      </c>
      <c r="M128" s="48">
        <f t="shared" si="50"/>
        <v>84.633536540161501</v>
      </c>
      <c r="N128" s="48">
        <f t="shared" si="50"/>
        <v>83.820447920694392</v>
      </c>
      <c r="O128" s="48">
        <f t="shared" si="50"/>
        <v>80.255531137894991</v>
      </c>
      <c r="P128" s="48">
        <f t="shared" si="50"/>
        <v>85.3188492080711</v>
      </c>
      <c r="Q128" s="48">
        <f t="shared" si="50"/>
        <v>87.384563756244106</v>
      </c>
      <c r="R128" s="48">
        <f t="shared" si="50"/>
        <v>87.907247530988585</v>
      </c>
      <c r="S128" s="48">
        <f t="shared" si="50"/>
        <v>88.241165729087186</v>
      </c>
      <c r="T128" s="48">
        <f t="shared" si="50"/>
        <v>91.592124421130677</v>
      </c>
      <c r="U128" s="48">
        <f t="shared" si="50"/>
        <v>89.721166351659392</v>
      </c>
      <c r="V128" s="48">
        <f t="shared" si="50"/>
        <v>87.629926270817109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78.165894076708341</v>
      </c>
      <c r="E129" s="45">
        <f t="shared" si="51"/>
        <v>76.048962180044512</v>
      </c>
      <c r="F129" s="45">
        <f t="shared" si="51"/>
        <v>71.457650449914695</v>
      </c>
      <c r="G129" s="45">
        <f t="shared" si="51"/>
        <v>75.364255146116392</v>
      </c>
      <c r="H129" s="45">
        <f t="shared" si="51"/>
        <v>79.52218847020481</v>
      </c>
      <c r="I129" s="45">
        <f t="shared" si="51"/>
        <v>80.159167398225918</v>
      </c>
      <c r="J129" s="45">
        <f t="shared" si="51"/>
        <v>72.838055940381565</v>
      </c>
      <c r="K129" s="45">
        <f t="shared" si="51"/>
        <v>84.591512548058731</v>
      </c>
      <c r="L129" s="45">
        <f t="shared" si="51"/>
        <v>88.29658538345106</v>
      </c>
      <c r="M129" s="45">
        <f t="shared" si="51"/>
        <v>84.628177494799871</v>
      </c>
      <c r="N129" s="45">
        <f t="shared" si="51"/>
        <v>83.814196938806404</v>
      </c>
      <c r="O129" s="45">
        <f t="shared" si="51"/>
        <v>80.252916395245009</v>
      </c>
      <c r="P129" s="45">
        <f t="shared" si="51"/>
        <v>85.319052379373048</v>
      </c>
      <c r="Q129" s="45">
        <f t="shared" si="51"/>
        <v>87.383131143986233</v>
      </c>
      <c r="R129" s="45">
        <f t="shared" si="51"/>
        <v>87.90829438005575</v>
      </c>
      <c r="S129" s="45">
        <f t="shared" si="51"/>
        <v>88.242672678122773</v>
      </c>
      <c r="T129" s="45">
        <f t="shared" si="51"/>
        <v>91.592926797958569</v>
      </c>
      <c r="U129" s="45">
        <f t="shared" si="51"/>
        <v>89.721790415391283</v>
      </c>
      <c r="V129" s="45">
        <f t="shared" si="51"/>
        <v>87.63070969956442</v>
      </c>
    </row>
    <row r="130" spans="2:22" x14ac:dyDescent="0.2">
      <c r="B130" s="1" t="s">
        <v>52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customHeight="1" x14ac:dyDescent="0.2">
      <c r="C135" s="131"/>
      <c r="D135" s="155" t="s">
        <v>88</v>
      </c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58"/>
      <c r="C137" s="159" t="s">
        <v>38</v>
      </c>
      <c r="D137" s="153" t="s">
        <v>1</v>
      </c>
      <c r="E137" s="153" t="s">
        <v>2</v>
      </c>
      <c r="F137" s="153" t="s">
        <v>3</v>
      </c>
      <c r="G137" s="153" t="s">
        <v>4</v>
      </c>
      <c r="H137" s="153">
        <v>2004</v>
      </c>
      <c r="I137" s="153" t="s">
        <v>5</v>
      </c>
      <c r="J137" s="153" t="s">
        <v>6</v>
      </c>
      <c r="K137" s="153" t="s">
        <v>7</v>
      </c>
      <c r="L137" s="153" t="s">
        <v>8</v>
      </c>
      <c r="M137" s="153" t="s">
        <v>9</v>
      </c>
      <c r="N137" s="153">
        <v>2010</v>
      </c>
      <c r="O137" s="153">
        <v>2011</v>
      </c>
      <c r="P137" s="153">
        <v>2012</v>
      </c>
      <c r="Q137" s="153">
        <v>2013</v>
      </c>
      <c r="R137" s="153">
        <v>2014</v>
      </c>
      <c r="S137" s="153">
        <v>2015</v>
      </c>
      <c r="T137" s="153">
        <v>2016</v>
      </c>
      <c r="U137" s="153">
        <v>2017</v>
      </c>
      <c r="V137" s="153">
        <v>2018</v>
      </c>
    </row>
    <row r="138" spans="2:22" ht="12" customHeight="1" thickBot="1" x14ac:dyDescent="0.25">
      <c r="B138" s="154"/>
      <c r="C138" s="160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4931.505976409353</v>
      </c>
      <c r="E139" s="41">
        <f t="shared" si="52"/>
        <v>5052.7455737246128</v>
      </c>
      <c r="F139" s="41">
        <f t="shared" si="52"/>
        <v>5165.6842128638491</v>
      </c>
      <c r="G139" s="41">
        <f t="shared" si="52"/>
        <v>5164.5258774061131</v>
      </c>
      <c r="H139" s="41">
        <f t="shared" si="52"/>
        <v>10440.909824175706</v>
      </c>
      <c r="I139" s="41">
        <f t="shared" si="52"/>
        <v>10429.937069087522</v>
      </c>
      <c r="J139" s="41">
        <f t="shared" si="52"/>
        <v>4927.5848301905608</v>
      </c>
      <c r="K139" s="41">
        <f t="shared" si="52"/>
        <v>5250.5823381023411</v>
      </c>
      <c r="L139" s="41">
        <f t="shared" si="52"/>
        <v>5483.5506724919669</v>
      </c>
      <c r="M139" s="41">
        <f t="shared" si="52"/>
        <v>6454.6916494080479</v>
      </c>
      <c r="N139" s="41">
        <f t="shared" si="52"/>
        <v>9143.2100737312576</v>
      </c>
      <c r="O139" s="41">
        <f t="shared" si="52"/>
        <v>8238.9491748456385</v>
      </c>
      <c r="P139" s="41">
        <f t="shared" si="52"/>
        <v>8049.8210629460937</v>
      </c>
      <c r="Q139" s="41">
        <f t="shared" si="52"/>
        <v>8432.9211992916789</v>
      </c>
      <c r="R139" s="41">
        <f t="shared" si="52"/>
        <v>8715.9154438555397</v>
      </c>
      <c r="S139" s="41">
        <f t="shared" si="52"/>
        <v>9017.1679300766737</v>
      </c>
      <c r="T139" s="41">
        <f t="shared" si="52"/>
        <v>8547.4473630852699</v>
      </c>
      <c r="U139" s="41">
        <f t="shared" si="52"/>
        <v>8763.6326282967639</v>
      </c>
      <c r="V139" s="41">
        <f t="shared" si="52"/>
        <v>8342.8797084995149</v>
      </c>
    </row>
    <row r="140" spans="2:22" x14ac:dyDescent="0.2">
      <c r="B140" s="40"/>
      <c r="C140" s="77" t="s">
        <v>56</v>
      </c>
      <c r="D140" s="42">
        <f>431.07926343119*Deflactores!$A$5</f>
        <v>1605.215446183526</v>
      </c>
      <c r="E140" s="42">
        <f>456.188688336339*Deflactores!$B$5</f>
        <v>1578.0236884415972</v>
      </c>
      <c r="F140" s="42">
        <f>486.650426071499*Deflactores!$C$5</f>
        <v>1573.3866319049303</v>
      </c>
      <c r="G140" s="42">
        <f>498.09710794059*Deflactores!$D$5</f>
        <v>1512.2304801255987</v>
      </c>
      <c r="H140" s="42">
        <f>506.02367904996*Deflactores!$E$5</f>
        <v>1456.2460752609065</v>
      </c>
      <c r="I140" s="42">
        <f>522.865377426119*Deflactores!$F$5</f>
        <v>1435.0399232685495</v>
      </c>
      <c r="J140" s="42">
        <f>558.617452348229*Deflactores!$G$5</f>
        <v>1467.4521958185874</v>
      </c>
      <c r="K140" s="42">
        <f>595.26217639267*Deflactores!$H$5</f>
        <v>1479.467813081199</v>
      </c>
      <c r="L140" s="42">
        <f>709.65951390729*Deflactores!$I$5</f>
        <v>1638.0792829936154</v>
      </c>
      <c r="M140" s="42">
        <f>775.84791169177*Deflactores!$J$5</f>
        <v>1755.7133607633223</v>
      </c>
      <c r="N140" s="42">
        <f>788.04901345529*Deflactores!$K$5</f>
        <v>1728.5091100124207</v>
      </c>
      <c r="O140" s="42">
        <f>715.79482502463*Deflactores!$L$5</f>
        <v>1513.6187471310996</v>
      </c>
      <c r="P140" s="42">
        <f>926.770445446085*Deflactores!$M$5</f>
        <v>1913.0686277997777</v>
      </c>
      <c r="Q140" s="42">
        <f>1081.75415004711*Deflactores!$N$5</f>
        <v>2190.4952451740228</v>
      </c>
      <c r="R140" s="42">
        <f>1248.40237050888*Deflactores!$O$5</f>
        <v>2438.6929622016069</v>
      </c>
      <c r="S140" s="42">
        <f>1308.67499301577*Deflactores!$P$5</f>
        <v>2394.3360324897867</v>
      </c>
      <c r="T140" s="42">
        <f>1417.65920970795*Deflactores!$Q$5</f>
        <v>2452.7018865136843</v>
      </c>
      <c r="U140" s="42">
        <f>1537.4694599008*Deflactores!$R$5</f>
        <v>2555.4677866409738</v>
      </c>
      <c r="V140" s="42">
        <f>1803.80371865583*Deflactores!$S$5</f>
        <v>2905.746125382926</v>
      </c>
    </row>
    <row r="141" spans="2:22" x14ac:dyDescent="0.2">
      <c r="B141" s="40"/>
      <c r="C141" s="77" t="s">
        <v>57</v>
      </c>
      <c r="D141" s="42">
        <f>220.02663081923*Deflactores!$A$5</f>
        <v>819.31601986956946</v>
      </c>
      <c r="E141" s="42">
        <f>220.97819644919*Deflactores!$B$5</f>
        <v>764.39604387741076</v>
      </c>
      <c r="F141" s="42">
        <f>232.974463253269*Deflactores!$C$5</f>
        <v>753.22836767446859</v>
      </c>
      <c r="G141" s="42">
        <f>192.38670588465*Deflactores!$D$5</f>
        <v>584.08899785145388</v>
      </c>
      <c r="H141" s="42">
        <f>208.220233013719*Deflactores!$E$5</f>
        <v>599.22076707047279</v>
      </c>
      <c r="I141" s="42">
        <f>214.57498274266*Deflactores!$F$5</f>
        <v>588.91577079778403</v>
      </c>
      <c r="J141" s="42">
        <f>228.55302195001*Deflactores!$G$5</f>
        <v>600.39412036207091</v>
      </c>
      <c r="K141" s="42">
        <f>240.332818958089*Deflactores!$H$5</f>
        <v>597.3244801648749</v>
      </c>
      <c r="L141" s="42">
        <f>266.240027371449*Deflactores!$I$5</f>
        <v>614.55143571540816</v>
      </c>
      <c r="M141" s="42">
        <f>306.33660706446*Deflactores!$J$5</f>
        <v>693.22771358782745</v>
      </c>
      <c r="N141" s="42">
        <f>314.88432041609*Deflactores!$K$5</f>
        <v>690.66822893771871</v>
      </c>
      <c r="O141" s="42">
        <f>318.454323624239*Deflactores!$L$5</f>
        <v>673.40307234830379</v>
      </c>
      <c r="P141" s="42">
        <f>445.410580040352*Deflactores!$M$5</f>
        <v>919.43049258023666</v>
      </c>
      <c r="Q141" s="42">
        <f>514.216888615877*Deflactores!$N$5</f>
        <v>1041.2621476443653</v>
      </c>
      <c r="R141" s="42">
        <f>537.588312932213*Deflactores!$O$5</f>
        <v>1050.1524718951159</v>
      </c>
      <c r="S141" s="42">
        <f>538.572681015205*Deflactores!$P$5</f>
        <v>985.36610170696076</v>
      </c>
      <c r="T141" s="42">
        <f>623.16100046011*Deflactores!$Q$5</f>
        <v>1078.1351053650872</v>
      </c>
      <c r="U141" s="42">
        <f>594.48238064085*Deflactores!$R$5</f>
        <v>988.10455301749528</v>
      </c>
      <c r="V141" s="42">
        <f>597.054044680659*Deflactores!$S$5</f>
        <v>961.79393524470822</v>
      </c>
    </row>
    <row r="142" spans="2:22" x14ac:dyDescent="0.2">
      <c r="B142" s="40"/>
      <c r="C142" s="77" t="s">
        <v>58</v>
      </c>
      <c r="D142" s="42">
        <f>411.3293877536*Deflactores!$A$5</f>
        <v>1531.6725778823873</v>
      </c>
      <c r="E142" s="42">
        <f>497.81092112024*Deflactores!$B$5</f>
        <v>1722.0011060719112</v>
      </c>
      <c r="F142" s="42">
        <f>491.982749280809*Deflactores!$C$5</f>
        <v>1590.6265347285068</v>
      </c>
      <c r="G142" s="42">
        <f>556.897465387039*Deflactores!$D$5</f>
        <v>1690.7492696452646</v>
      </c>
      <c r="H142" s="42">
        <f>2487.39605612149*Deflactores!$E$5</f>
        <v>7158.2830889396964</v>
      </c>
      <c r="I142" s="42">
        <f>2497.43434934301*Deflactores!$F$5</f>
        <v>6854.3800216640684</v>
      </c>
      <c r="J142" s="42">
        <f>566.743007994369*Deflactores!$G$5</f>
        <v>1488.7975090110963</v>
      </c>
      <c r="K142" s="42">
        <f>640.48588128758*Deflactores!$H$5</f>
        <v>1591.8670523303031</v>
      </c>
      <c r="L142" s="42">
        <f>640.59767565517*Deflactores!$I$5</f>
        <v>1478.6665445334741</v>
      </c>
      <c r="M142" s="42">
        <f>847.8155744283*Deflactores!$J$5</f>
        <v>1918.5733557511451</v>
      </c>
      <c r="N142" s="42">
        <f>1894.06052485644*Deflactores!$K$5</f>
        <v>4154.4381329461667</v>
      </c>
      <c r="O142" s="42">
        <f>1740.37128809315*Deflactores!$L$5</f>
        <v>3680.1867190585635</v>
      </c>
      <c r="P142" s="42">
        <f>1419.58669718601*Deflactores!$M$5</f>
        <v>2930.3553950960004</v>
      </c>
      <c r="Q142" s="42">
        <f>1451.92085134349*Deflactores!$N$5</f>
        <v>2940.0633416552441</v>
      </c>
      <c r="R142" s="42">
        <f>1485.47135559955*Deflactores!$O$5</f>
        <v>2901.795627779878</v>
      </c>
      <c r="S142" s="42">
        <f>1799.06829037149*Deflactores!$P$5</f>
        <v>3291.5537131336851</v>
      </c>
      <c r="T142" s="42">
        <f>1516.57599303476*Deflactores!$Q$5</f>
        <v>2623.8384893108491</v>
      </c>
      <c r="U142" s="42">
        <f>1845.8593527088*Deflactores!$R$5</f>
        <v>3068.0506101380697</v>
      </c>
      <c r="V142" s="42">
        <f>1546.61020291733*Deflactores!$S$5</f>
        <v>2491.4332741001572</v>
      </c>
    </row>
    <row r="143" spans="2:22" x14ac:dyDescent="0.2">
      <c r="B143" s="40"/>
      <c r="C143" s="77" t="s">
        <v>59</v>
      </c>
      <c r="D143" s="42">
        <f>261.91651698434*Deflactores!$A$5</f>
        <v>975.30193247387058</v>
      </c>
      <c r="E143" s="42">
        <f>285.713432545169*Deflactores!$B$5</f>
        <v>988.32473533369352</v>
      </c>
      <c r="F143" s="42">
        <f>386.14486047178*Deflactores!$C$5</f>
        <v>1248.4426785559431</v>
      </c>
      <c r="G143" s="42">
        <f>453.70558368885*Deflactores!$D$5</f>
        <v>1377.4571297837961</v>
      </c>
      <c r="H143" s="42">
        <f>426.41966515096*Deflactores!$E$5</f>
        <v>1227.1598929046295</v>
      </c>
      <c r="I143" s="42">
        <f>565.33523150361*Deflactores!$F$5</f>
        <v>1551.6013533571211</v>
      </c>
      <c r="J143" s="42">
        <f>521.87837785404*Deflactores!$G$5</f>
        <v>1370.9410049988055</v>
      </c>
      <c r="K143" s="42">
        <f>636.484900239549*Deflactores!$H$5</f>
        <v>1581.922992525964</v>
      </c>
      <c r="L143" s="42">
        <f>759.12278212679*Deflactores!$I$5</f>
        <v>1752.25340924947</v>
      </c>
      <c r="M143" s="42">
        <f>922.32144672236*Deflactores!$J$5</f>
        <v>2087.1772193057532</v>
      </c>
      <c r="N143" s="42">
        <f>1171.51045327237*Deflactores!$K$5</f>
        <v>2569.5946018349505</v>
      </c>
      <c r="O143" s="42">
        <f>1121.60322867791*Deflactores!$L$5</f>
        <v>2371.7406363076716</v>
      </c>
      <c r="P143" s="42">
        <f>1107.90223367824*Deflactores!$M$5</f>
        <v>2286.9665474700782</v>
      </c>
      <c r="Q143" s="42">
        <f>1116.62183101249*Deflactores!$N$5</f>
        <v>2261.100464818046</v>
      </c>
      <c r="R143" s="42">
        <f>1190.34175090472*Deflactores!$O$5</f>
        <v>2325.2743819789393</v>
      </c>
      <c r="S143" s="42">
        <f>1282.20785923316*Deflactores!$P$5</f>
        <v>2345.9120827462407</v>
      </c>
      <c r="T143" s="42">
        <f>1383.01972765277*Deflactores!$Q$5</f>
        <v>2392.7718818956496</v>
      </c>
      <c r="U143" s="42">
        <f>1294.73326778033*Deflactores!$R$5</f>
        <v>2152.0096785002247</v>
      </c>
      <c r="V143" s="42">
        <f>1231.55208337509*Deflactores!$S$5</f>
        <v>1983.9063737717236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134.44008343717252</v>
      </c>
      <c r="E144" s="41">
        <f t="shared" si="53"/>
        <v>11.815212400241812</v>
      </c>
      <c r="F144" s="41">
        <f t="shared" si="53"/>
        <v>11.759910677108914</v>
      </c>
      <c r="G144" s="41">
        <f t="shared" si="53"/>
        <v>13.85616457093081</v>
      </c>
      <c r="H144" s="41">
        <f t="shared" si="53"/>
        <v>10.919272724811238</v>
      </c>
      <c r="I144" s="41">
        <f t="shared" si="53"/>
        <v>7.2383017275698869</v>
      </c>
      <c r="J144" s="41">
        <f t="shared" si="53"/>
        <v>3.3985993313152969</v>
      </c>
      <c r="K144" s="41">
        <f t="shared" si="53"/>
        <v>2.4710670794168235</v>
      </c>
      <c r="L144" s="41">
        <f t="shared" si="53"/>
        <v>2.7049079957150592</v>
      </c>
      <c r="M144" s="41">
        <f t="shared" si="53"/>
        <v>6.2904759337196179</v>
      </c>
      <c r="N144" s="41">
        <f t="shared" si="53"/>
        <v>2.4438292746125834</v>
      </c>
      <c r="O144" s="41">
        <f t="shared" si="53"/>
        <v>2.0253078085091216</v>
      </c>
      <c r="P144" s="41">
        <f t="shared" si="53"/>
        <v>2.2045477777998377</v>
      </c>
      <c r="Q144" s="41">
        <f t="shared" si="53"/>
        <v>2.0204602991558538</v>
      </c>
      <c r="R144" s="41">
        <f t="shared" si="53"/>
        <v>1.9086096693056958</v>
      </c>
      <c r="S144" s="41">
        <f t="shared" si="53"/>
        <v>2.8743445183688747</v>
      </c>
      <c r="T144" s="41">
        <f t="shared" si="53"/>
        <v>2.2261340765797764</v>
      </c>
      <c r="U144" s="41">
        <f t="shared" si="53"/>
        <v>2.4557915620834794</v>
      </c>
      <c r="V144" s="41">
        <f t="shared" si="53"/>
        <v>1.9899348268157018</v>
      </c>
    </row>
    <row r="145" spans="2:22" x14ac:dyDescent="0.2">
      <c r="B145" s="34"/>
      <c r="C145" s="76" t="s">
        <v>43</v>
      </c>
      <c r="D145" s="41">
        <f t="shared" ref="D145:V145" si="54">+D146+D147</f>
        <v>17.1126270650546</v>
      </c>
      <c r="E145" s="41">
        <f t="shared" si="54"/>
        <v>10.700126676834218</v>
      </c>
      <c r="F145" s="41">
        <f t="shared" si="54"/>
        <v>9.3493224046828178</v>
      </c>
      <c r="G145" s="41">
        <f t="shared" si="54"/>
        <v>10.202810410498417</v>
      </c>
      <c r="H145" s="41">
        <f t="shared" si="54"/>
        <v>7.6340475615432766</v>
      </c>
      <c r="I145" s="41">
        <f t="shared" si="54"/>
        <v>4.1693775607905046</v>
      </c>
      <c r="J145" s="41">
        <f t="shared" si="54"/>
        <v>2.2304085294035794</v>
      </c>
      <c r="K145" s="41">
        <f t="shared" si="54"/>
        <v>2.4710670794168235</v>
      </c>
      <c r="L145" s="41">
        <f t="shared" si="54"/>
        <v>1.1989217634751508</v>
      </c>
      <c r="M145" s="41">
        <f t="shared" si="54"/>
        <v>1.9012363093059175</v>
      </c>
      <c r="N145" s="41">
        <f t="shared" si="54"/>
        <v>0.85738089915180005</v>
      </c>
      <c r="O145" s="41">
        <f t="shared" si="54"/>
        <v>0.85514278839839775</v>
      </c>
      <c r="P145" s="41">
        <f t="shared" si="54"/>
        <v>0.30378734515435646</v>
      </c>
      <c r="Q145" s="41">
        <f t="shared" si="54"/>
        <v>0.30164524746087806</v>
      </c>
      <c r="R145" s="41">
        <f t="shared" si="54"/>
        <v>0.31412792027462505</v>
      </c>
      <c r="S145" s="41">
        <f t="shared" si="54"/>
        <v>0.34868653575507708</v>
      </c>
      <c r="T145" s="41">
        <f t="shared" si="54"/>
        <v>0.39873222104384054</v>
      </c>
      <c r="U145" s="41">
        <f t="shared" si="54"/>
        <v>0.4061146385658671</v>
      </c>
      <c r="V145" s="41">
        <f t="shared" si="54"/>
        <v>0.1913197906824553</v>
      </c>
    </row>
    <row r="146" spans="2:22" x14ac:dyDescent="0.2">
      <c r="B146" s="32"/>
      <c r="C146" s="77" t="s">
        <v>60</v>
      </c>
      <c r="D146" s="42">
        <f>3.65824905879999*Deflactores!$A$5</f>
        <v>13.622269483415868</v>
      </c>
      <c r="E146" s="42">
        <f>2.52775517492*Deflactores!$B$5</f>
        <v>8.7438764848629607</v>
      </c>
      <c r="F146" s="42">
        <f>2.43272454448*Deflactores!$C$5</f>
        <v>7.8652274247253757</v>
      </c>
      <c r="G146" s="42">
        <f>3.0052704935*Deflactores!$D$5</f>
        <v>9.124047437422302</v>
      </c>
      <c r="H146" s="42">
        <f>2.37902479527999*Deflactores!$E$5</f>
        <v>6.8464098905000466</v>
      </c>
      <c r="I146" s="42">
        <f>1.36919240102999*Deflactores!$F$5</f>
        <v>3.757842540246588</v>
      </c>
      <c r="J146" s="42">
        <f>0.76218477646*Deflactores!$G$5</f>
        <v>2.0022104915162919</v>
      </c>
      <c r="K146" s="42">
        <f>0.91212033294*Deflactores!$H$5</f>
        <v>2.2669887786578573</v>
      </c>
      <c r="L146" s="42">
        <f>0.454552066269999*Deflactores!$I$5</f>
        <v>1.0492247453982557</v>
      </c>
      <c r="M146" s="42">
        <f>0.793371209369999*Deflactores!$J$5</f>
        <v>1.7953678953630394</v>
      </c>
      <c r="N146" s="42">
        <f>0.3550073976*Deflactores!$K$5</f>
        <v>0.77867430882611721</v>
      </c>
      <c r="O146" s="42">
        <f>0.404399578*Deflactores!$L$5</f>
        <v>0.85514278839839775</v>
      </c>
      <c r="P146" s="42">
        <f>0.121940248*Deflactores!$M$5</f>
        <v>0.25171288538731862</v>
      </c>
      <c r="Q146" s="42">
        <f>0.127142019*Deflactores!$N$5</f>
        <v>0.25745589981715949</v>
      </c>
      <c r="R146" s="42">
        <f>0.14275677018*Deflactores!$O$5</f>
        <v>0.27886836725781583</v>
      </c>
      <c r="S146" s="42">
        <f>0.170141165*Deflactores!$P$5</f>
        <v>0.3112882298075525</v>
      </c>
      <c r="T146" s="42">
        <f>0.213840013*Deflactores!$Q$5</f>
        <v>0.3699660678007794</v>
      </c>
      <c r="U146" s="42">
        <f>0.23542695539*Deflactores!$R$5</f>
        <v>0.3913092365717134</v>
      </c>
      <c r="V146" s="42">
        <f>0.11701085069*Deflactores!$S$5</f>
        <v>0.18849269601993826</v>
      </c>
    </row>
    <row r="147" spans="2:22" x14ac:dyDescent="0.2">
      <c r="B147" s="32"/>
      <c r="C147" s="77" t="s">
        <v>61</v>
      </c>
      <c r="D147" s="42">
        <f>0.93733260478*Deflactores!$A$5</f>
        <v>3.4903575816387322</v>
      </c>
      <c r="E147" s="42">
        <f>0.56552966579*Deflactores!$B$5</f>
        <v>1.9562501919712578</v>
      </c>
      <c r="F147" s="42">
        <f>0.45903240798*Deflactores!$C$5</f>
        <v>1.4840949799574423</v>
      </c>
      <c r="G147" s="42">
        <f>0.35532197248*Deflactores!$D$5</f>
        <v>1.0787629730761146</v>
      </c>
      <c r="H147" s="42">
        <f>0.27369228239*Deflactores!$E$5</f>
        <v>0.78763767104322968</v>
      </c>
      <c r="I147" s="42">
        <f>0.14994524567*Deflactores!$F$5</f>
        <v>0.41153502054391661</v>
      </c>
      <c r="J147" s="42">
        <f>0.08686852418*Deflactores!$G$5</f>
        <v>0.22819803788728729</v>
      </c>
      <c r="K147" s="42">
        <f>0.08211067006*Deflactores!$H$5</f>
        <v>0.20407830075896621</v>
      </c>
      <c r="L147" s="42">
        <f>0.0648527297699999*Deflactores!$I$5</f>
        <v>0.14969701807689501</v>
      </c>
      <c r="M147" s="42">
        <f>0.04678314223*Deflactores!$J$5</f>
        <v>0.10586841394287805</v>
      </c>
      <c r="N147" s="42">
        <f>0.03588332309*Deflactores!$K$5</f>
        <v>7.8706590325682849E-2</v>
      </c>
      <c r="O147" s="42">
        <f>0*Deflactores!$L$5</f>
        <v>0</v>
      </c>
      <c r="P147" s="42">
        <f>0.025227046*Deflactores!$M$5</f>
        <v>5.2074459767037819E-2</v>
      </c>
      <c r="Q147" s="42">
        <f>0.021822467*Deflactores!$N$5</f>
        <v>4.4189347643718555E-2</v>
      </c>
      <c r="R147" s="42">
        <f>0.01804987764*Deflactores!$O$5</f>
        <v>3.5259553016809213E-2</v>
      </c>
      <c r="S147" s="42">
        <f>0.020440835*Deflactores!$P$5</f>
        <v>3.7398305947524586E-2</v>
      </c>
      <c r="T147" s="42">
        <f>0.01662680748*Deflactores!$Q$5</f>
        <v>2.8766153243061136E-2</v>
      </c>
      <c r="U147" s="42">
        <f>0.00890750943*Deflactores!$R$5</f>
        <v>1.4805401994153691E-2</v>
      </c>
      <c r="V147" s="42">
        <f>0.00175497914999999*Deflactores!$S$5</f>
        <v>2.8270946625170434E-3</v>
      </c>
    </row>
    <row r="148" spans="2:22" x14ac:dyDescent="0.2">
      <c r="B148" s="34"/>
      <c r="C148" s="76" t="s">
        <v>44</v>
      </c>
      <c r="D148" s="41">
        <f t="shared" ref="D148:V148" si="55">+D149+D150</f>
        <v>117.32745637211792</v>
      </c>
      <c r="E148" s="41">
        <f t="shared" si="55"/>
        <v>1.1150857234075935</v>
      </c>
      <c r="F148" s="41">
        <f t="shared" si="55"/>
        <v>2.4105882724260965</v>
      </c>
      <c r="G148" s="41">
        <f t="shared" si="55"/>
        <v>3.6533541604323929</v>
      </c>
      <c r="H148" s="41">
        <f t="shared" si="55"/>
        <v>3.2852251632679619</v>
      </c>
      <c r="I148" s="41">
        <f t="shared" si="55"/>
        <v>3.0689241667793827</v>
      </c>
      <c r="J148" s="41">
        <f t="shared" si="55"/>
        <v>1.1681908019117178</v>
      </c>
      <c r="K148" s="41">
        <f t="shared" si="55"/>
        <v>0</v>
      </c>
      <c r="L148" s="41">
        <f t="shared" si="55"/>
        <v>1.5059862322399087</v>
      </c>
      <c r="M148" s="41">
        <f t="shared" si="55"/>
        <v>4.3892396244137002</v>
      </c>
      <c r="N148" s="41">
        <f t="shared" si="55"/>
        <v>1.5864483754607832</v>
      </c>
      <c r="O148" s="41">
        <f t="shared" si="55"/>
        <v>1.1701650201107241</v>
      </c>
      <c r="P148" s="41">
        <f t="shared" si="55"/>
        <v>1.9007604326454814</v>
      </c>
      <c r="Q148" s="41">
        <f t="shared" si="55"/>
        <v>1.7188150516949758</v>
      </c>
      <c r="R148" s="41">
        <f t="shared" si="55"/>
        <v>1.5944817490310708</v>
      </c>
      <c r="S148" s="41">
        <f t="shared" si="55"/>
        <v>2.5256579826137977</v>
      </c>
      <c r="T148" s="41">
        <f t="shared" si="55"/>
        <v>1.8274018555359359</v>
      </c>
      <c r="U148" s="41">
        <f t="shared" si="55"/>
        <v>2.0496769235176124</v>
      </c>
      <c r="V148" s="41">
        <f t="shared" si="55"/>
        <v>1.7986150361332465</v>
      </c>
    </row>
    <row r="149" spans="2:22" x14ac:dyDescent="0.2">
      <c r="B149" s="32"/>
      <c r="C149" s="77" t="s">
        <v>60</v>
      </c>
      <c r="D149" s="42">
        <f>22.312488238*Deflactores!$A$5</f>
        <v>83.085301940400441</v>
      </c>
      <c r="E149" s="42">
        <f>0.0576564851899999*Deflactores!$B$5</f>
        <v>0.19944225218276732</v>
      </c>
      <c r="F149" s="42">
        <f>0.50530243657*Deflactores!$C$5</f>
        <v>1.6336903374074507</v>
      </c>
      <c r="G149" s="42">
        <f>0.87329680818*Deflactores!$D$5</f>
        <v>2.6513425403861421</v>
      </c>
      <c r="H149" s="42">
        <f>0.839745004*Deflactores!$E$5</f>
        <v>2.4166366455238926</v>
      </c>
      <c r="I149" s="42">
        <f>0.835305961*Deflactores!$F$5</f>
        <v>2.2925545540612471</v>
      </c>
      <c r="J149" s="42">
        <f>0.352199363*Deflactores!$G$5</f>
        <v>0.92520512280392286</v>
      </c>
      <c r="K149" s="42">
        <f>0*Deflactores!$H$5</f>
        <v>0</v>
      </c>
      <c r="L149" s="42">
        <f>0.652433291*Deflactores!$I$5</f>
        <v>1.5059862322399087</v>
      </c>
      <c r="M149" s="42">
        <f>0.660154885*Deflactores!$J$5</f>
        <v>1.4939045840058156</v>
      </c>
      <c r="N149" s="42">
        <f>0.62658618556*Deflactores!$K$5</f>
        <v>1.3743560507735355</v>
      </c>
      <c r="O149" s="42">
        <f>0.549967381*Deflactores!$L$5</f>
        <v>1.1629602633178415</v>
      </c>
      <c r="P149" s="42">
        <f>0.795709454*Deflactores!$M$5</f>
        <v>1.642528417658359</v>
      </c>
      <c r="Q149" s="42">
        <f>0.708641824*Deflactores!$N$5</f>
        <v>1.4349624135353174</v>
      </c>
      <c r="R149" s="42">
        <f>0.740299999*Deflactores!$O$5</f>
        <v>1.4461398345016319</v>
      </c>
      <c r="S149" s="42">
        <f>1.250644745*Deflactores!$P$5</f>
        <v>2.2881645884414148</v>
      </c>
      <c r="T149" s="42">
        <f>0.9343812038*Deflactores!$Q$5</f>
        <v>1.6165793059358105</v>
      </c>
      <c r="U149" s="42">
        <f>1.1078660112*Deflactores!$R$5</f>
        <v>1.841412774286064</v>
      </c>
      <c r="V149" s="42">
        <f>1.022488845*Deflactores!$S$5</f>
        <v>1.6471265520064631</v>
      </c>
    </row>
    <row r="150" spans="2:22" x14ac:dyDescent="0.2">
      <c r="B150" s="32"/>
      <c r="C150" s="77" t="s">
        <v>61</v>
      </c>
      <c r="D150" s="42">
        <f>9.195701889*Deflactores!$A$5</f>
        <v>34.242154431717474</v>
      </c>
      <c r="E150" s="42">
        <f>0.2647021063*Deflactores!$B$5</f>
        <v>0.91564347122482614</v>
      </c>
      <c r="F150" s="42">
        <f>0.24029548963*Deflactores!$C$5</f>
        <v>0.7768979350186459</v>
      </c>
      <c r="G150" s="42">
        <f>0.33004168123*Deflactores!$D$5</f>
        <v>1.0020116200462506</v>
      </c>
      <c r="H150" s="42">
        <f>0.301821487999999*Deflactores!$E$5</f>
        <v>0.86858851774406931</v>
      </c>
      <c r="I150" s="42">
        <f>0.282874911*Deflactores!$F$5</f>
        <v>0.77636961271813554</v>
      </c>
      <c r="J150" s="42">
        <f>0.09249776*Deflactores!$G$5</f>
        <v>0.24298567910779495</v>
      </c>
      <c r="K150" s="42">
        <f>0*Deflactores!$H$5</f>
        <v>0</v>
      </c>
      <c r="L150" s="42">
        <f>0*Deflactores!$I$5</f>
        <v>0</v>
      </c>
      <c r="M150" s="42">
        <f>1.279445549*Deflactores!$J$5</f>
        <v>2.8953350404078848</v>
      </c>
      <c r="N150" s="42">
        <f>0.09669555472*Deflactores!$K$5</f>
        <v>0.21209232468724759</v>
      </c>
      <c r="O150" s="42">
        <f>0.00340715099999999*Deflactores!$L$5</f>
        <v>7.2047567928826602E-3</v>
      </c>
      <c r="P150" s="42">
        <f>0.125098387*Deflactores!$M$5</f>
        <v>0.25823201498712245</v>
      </c>
      <c r="Q150" s="42">
        <f>0.140177784*Deflactores!$N$5</f>
        <v>0.2838526381596585</v>
      </c>
      <c r="R150" s="42">
        <f>0.075938382*Deflactores!$O$5</f>
        <v>0.1483419145294389</v>
      </c>
      <c r="S150" s="42">
        <f>0.129807037*Deflactores!$P$5</f>
        <v>0.23749339417238305</v>
      </c>
      <c r="T150" s="42">
        <f>0.12185522044*Deflactores!$Q$5</f>
        <v>0.21082254960012539</v>
      </c>
      <c r="U150" s="42">
        <f>0.12529986514*Deflactores!$R$5</f>
        <v>0.20826414923154837</v>
      </c>
      <c r="V150" s="42">
        <f>0.094039699*Deflactores!$S$5</f>
        <v>0.15148848412678345</v>
      </c>
    </row>
    <row r="151" spans="2:22" x14ac:dyDescent="0.2">
      <c r="B151" s="34" t="s">
        <v>45</v>
      </c>
      <c r="C151" s="76" t="s">
        <v>46</v>
      </c>
      <c r="D151" s="41">
        <f>1559.83920877294*Deflactores!$A$5</f>
        <v>5808.3934995047348</v>
      </c>
      <c r="E151" s="41">
        <f>2009.47674606653*Deflactores!$B$5</f>
        <v>6951.0752628035507</v>
      </c>
      <c r="F151" s="41">
        <f>1885.36260964452*Deflactores!$C$5</f>
        <v>6095.5547707097967</v>
      </c>
      <c r="G151" s="41">
        <f>1876.58378682371*Deflactores!$D$5</f>
        <v>5697.3372374665787</v>
      </c>
      <c r="H151" s="41">
        <f>2199.76156238223*Deflactores!$E$5</f>
        <v>6330.522215369786</v>
      </c>
      <c r="I151" s="41">
        <f>2298.71767228206*Deflactores!$F$5</f>
        <v>6308.9884594889254</v>
      </c>
      <c r="J151" s="41">
        <f>2997.77594955988*Deflactores!$G$5</f>
        <v>7874.9650252808524</v>
      </c>
      <c r="K151" s="41">
        <f>3566.93180839943*Deflactores!$H$5</f>
        <v>8865.2714908957114</v>
      </c>
      <c r="L151" s="41">
        <f>4671.33033076167*Deflactores!$I$5</f>
        <v>10782.648987131121</v>
      </c>
      <c r="M151" s="41">
        <f>5961.54169767847*Deflactores!$J$5</f>
        <v>13490.734784010088</v>
      </c>
      <c r="N151" s="41">
        <f>5593.89490890109*Deflactores!$K$5</f>
        <v>12269.666157048252</v>
      </c>
      <c r="O151" s="41">
        <f>4908.05616360648*Deflactores!$L$5</f>
        <v>10378.568776257202</v>
      </c>
      <c r="P151" s="41">
        <f>6142.34912009605*Deflactores!$M$5</f>
        <v>12679.229749275515</v>
      </c>
      <c r="Q151" s="41">
        <f>7254.60594567083*Deflactores!$N$5</f>
        <v>14690.195391356801</v>
      </c>
      <c r="R151" s="41">
        <f>4547.89931433233*Deflactores!$O$5</f>
        <v>8884.0988391770079</v>
      </c>
      <c r="S151" s="41">
        <f>4774.37494891819*Deflactores!$P$5</f>
        <v>8735.1390022882897</v>
      </c>
      <c r="T151" s="41">
        <f>6053.14353942388*Deflactores!$Q$5</f>
        <v>10472.585002669004</v>
      </c>
      <c r="U151" s="41">
        <f>6628.87816453948*Deflactores!$R$5</f>
        <v>11018.029985546103</v>
      </c>
      <c r="V151" s="41">
        <f>6476.29291952019*Deflactores!$S$5</f>
        <v>10432.655650451776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10739.899475914088</v>
      </c>
      <c r="E152" s="43">
        <f t="shared" si="56"/>
        <v>12003.820836528164</v>
      </c>
      <c r="F152" s="43">
        <f t="shared" si="56"/>
        <v>11261.238983573647</v>
      </c>
      <c r="G152" s="43">
        <f t="shared" si="56"/>
        <v>10861.863114872693</v>
      </c>
      <c r="H152" s="43">
        <f t="shared" si="56"/>
        <v>16771.432039545492</v>
      </c>
      <c r="I152" s="43">
        <f t="shared" si="56"/>
        <v>16738.925528576448</v>
      </c>
      <c r="J152" s="43">
        <f t="shared" si="56"/>
        <v>12802.549855471414</v>
      </c>
      <c r="K152" s="43">
        <f t="shared" si="56"/>
        <v>14115.853828998053</v>
      </c>
      <c r="L152" s="43">
        <f t="shared" si="56"/>
        <v>16266.199659623087</v>
      </c>
      <c r="M152" s="43">
        <f t="shared" si="56"/>
        <v>19945.426433418135</v>
      </c>
      <c r="N152" s="43">
        <f t="shared" si="56"/>
        <v>21412.876230779511</v>
      </c>
      <c r="O152" s="43">
        <f t="shared" si="56"/>
        <v>18617.51795110284</v>
      </c>
      <c r="P152" s="43">
        <f t="shared" si="56"/>
        <v>20729.050812221609</v>
      </c>
      <c r="Q152" s="43">
        <f t="shared" si="56"/>
        <v>23123.116590648482</v>
      </c>
      <c r="R152" s="43">
        <f t="shared" si="56"/>
        <v>17600.014283032549</v>
      </c>
      <c r="S152" s="43">
        <f t="shared" si="56"/>
        <v>17752.306932364962</v>
      </c>
      <c r="T152" s="43">
        <f t="shared" si="56"/>
        <v>19020.032365754276</v>
      </c>
      <c r="U152" s="43">
        <f t="shared" si="56"/>
        <v>19781.662613842869</v>
      </c>
      <c r="V152" s="43">
        <f t="shared" si="56"/>
        <v>18775.535358951289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10874.339559351261</v>
      </c>
      <c r="E153" s="44">
        <f t="shared" si="57"/>
        <v>12015.636048928405</v>
      </c>
      <c r="F153" s="44">
        <f t="shared" si="57"/>
        <v>11272.998894250755</v>
      </c>
      <c r="G153" s="44">
        <f t="shared" si="57"/>
        <v>10875.719279443623</v>
      </c>
      <c r="H153" s="44">
        <f t="shared" si="57"/>
        <v>16782.351312270304</v>
      </c>
      <c r="I153" s="44">
        <f t="shared" si="57"/>
        <v>16746.163830304016</v>
      </c>
      <c r="J153" s="44">
        <f t="shared" si="57"/>
        <v>12805.948454802729</v>
      </c>
      <c r="K153" s="44">
        <f t="shared" si="57"/>
        <v>14118.324896077469</v>
      </c>
      <c r="L153" s="44">
        <f t="shared" si="57"/>
        <v>16268.904567618803</v>
      </c>
      <c r="M153" s="44">
        <f t="shared" si="57"/>
        <v>19951.716909351857</v>
      </c>
      <c r="N153" s="44">
        <f t="shared" si="57"/>
        <v>21415.320060054124</v>
      </c>
      <c r="O153" s="44">
        <f t="shared" si="57"/>
        <v>18619.543258911348</v>
      </c>
      <c r="P153" s="44">
        <f t="shared" si="57"/>
        <v>20731.25535999941</v>
      </c>
      <c r="Q153" s="44">
        <f t="shared" si="57"/>
        <v>23125.137050947636</v>
      </c>
      <c r="R153" s="44">
        <f t="shared" si="57"/>
        <v>17601.922892701856</v>
      </c>
      <c r="S153" s="44">
        <f t="shared" si="57"/>
        <v>17755.181276883333</v>
      </c>
      <c r="T153" s="44">
        <f t="shared" si="57"/>
        <v>19022.258499830852</v>
      </c>
      <c r="U153" s="44">
        <f t="shared" si="57"/>
        <v>19784.118405404952</v>
      </c>
      <c r="V153" s="44">
        <f t="shared" si="57"/>
        <v>18777.525293778104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15419.245653710524</v>
      </c>
      <c r="E154" s="43">
        <f t="shared" si="58"/>
        <v>16475.376531648231</v>
      </c>
      <c r="F154" s="43">
        <f t="shared" si="58"/>
        <v>16329.166817702482</v>
      </c>
      <c r="G154" s="43">
        <f t="shared" si="58"/>
        <v>14850.509302350096</v>
      </c>
      <c r="H154" s="43">
        <f t="shared" si="58"/>
        <v>22208.657685432805</v>
      </c>
      <c r="I154" s="43">
        <f t="shared" si="58"/>
        <v>21301.409589219656</v>
      </c>
      <c r="J154" s="43">
        <f t="shared" si="58"/>
        <v>18309.387280904102</v>
      </c>
      <c r="K154" s="43">
        <f t="shared" si="58"/>
        <v>18987.212337302226</v>
      </c>
      <c r="L154" s="43">
        <f t="shared" si="58"/>
        <v>20331.610815731648</v>
      </c>
      <c r="M154" s="43">
        <f t="shared" si="58"/>
        <v>25373.618670077689</v>
      </c>
      <c r="N154" s="43">
        <f t="shared" si="58"/>
        <v>27649.756800421019</v>
      </c>
      <c r="O154" s="43">
        <f t="shared" si="58"/>
        <v>27260.568501226466</v>
      </c>
      <c r="P154" s="43">
        <f t="shared" si="58"/>
        <v>27342.795754667572</v>
      </c>
      <c r="Q154" s="43">
        <f t="shared" si="58"/>
        <v>29167.622603933665</v>
      </c>
      <c r="R154" s="43">
        <f t="shared" si="58"/>
        <v>22295.443831010525</v>
      </c>
      <c r="S154" s="43">
        <f t="shared" si="58"/>
        <v>22425.841336403595</v>
      </c>
      <c r="T154" s="43">
        <f t="shared" si="58"/>
        <v>23107.965352610372</v>
      </c>
      <c r="U154" s="43">
        <f t="shared" si="58"/>
        <v>24292.513948447566</v>
      </c>
      <c r="V154" s="43">
        <f t="shared" si="58"/>
        <v>22138.919237354407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69.652560943080971</v>
      </c>
      <c r="E155" s="45">
        <f t="shared" si="59"/>
        <v>72.859159324641411</v>
      </c>
      <c r="F155" s="45">
        <f t="shared" si="59"/>
        <v>68.963953331441957</v>
      </c>
      <c r="G155" s="45">
        <f t="shared" si="59"/>
        <v>73.141350870396082</v>
      </c>
      <c r="H155" s="45">
        <f t="shared" si="59"/>
        <v>75.517540398428849</v>
      </c>
      <c r="I155" s="45">
        <f t="shared" si="59"/>
        <v>78.581304483473176</v>
      </c>
      <c r="J155" s="45">
        <f t="shared" si="59"/>
        <v>69.923420478542823</v>
      </c>
      <c r="K155" s="45">
        <f t="shared" si="59"/>
        <v>74.344003628516248</v>
      </c>
      <c r="L155" s="45">
        <f t="shared" si="59"/>
        <v>80.004480742062327</v>
      </c>
      <c r="M155" s="45">
        <f t="shared" si="59"/>
        <v>78.606944845983477</v>
      </c>
      <c r="N155" s="45">
        <f t="shared" si="59"/>
        <v>77.443271509908769</v>
      </c>
      <c r="O155" s="45">
        <f t="shared" si="59"/>
        <v>68.294679732248539</v>
      </c>
      <c r="P155" s="45">
        <f t="shared" si="59"/>
        <v>75.811745800291988</v>
      </c>
      <c r="Q155" s="45">
        <f t="shared" si="59"/>
        <v>79.276658590371369</v>
      </c>
      <c r="R155" s="45">
        <f t="shared" si="59"/>
        <v>78.93995928689634</v>
      </c>
      <c r="S155" s="45">
        <f t="shared" si="59"/>
        <v>79.160048740503029</v>
      </c>
      <c r="T155" s="45">
        <f t="shared" si="59"/>
        <v>82.309420476977195</v>
      </c>
      <c r="U155" s="45">
        <f t="shared" si="59"/>
        <v>81.431105301915579</v>
      </c>
      <c r="V155" s="45">
        <f t="shared" si="59"/>
        <v>84.807822629714607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3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1"/>
      <c r="D163" s="155" t="s">
        <v>89</v>
      </c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</row>
    <row r="164" spans="2:22" x14ac:dyDescent="0.2">
      <c r="U164" s="29"/>
      <c r="V164" s="29"/>
    </row>
    <row r="165" spans="2:22" x14ac:dyDescent="0.2">
      <c r="B165" s="158"/>
      <c r="C165" s="159" t="s">
        <v>38</v>
      </c>
      <c r="D165" s="153" t="s">
        <v>1</v>
      </c>
      <c r="E165" s="153" t="s">
        <v>2</v>
      </c>
      <c r="F165" s="153" t="s">
        <v>3</v>
      </c>
      <c r="G165" s="153" t="s">
        <v>4</v>
      </c>
      <c r="H165" s="153">
        <v>2004</v>
      </c>
      <c r="I165" s="153" t="s">
        <v>5</v>
      </c>
      <c r="J165" s="153" t="s">
        <v>6</v>
      </c>
      <c r="K165" s="153" t="s">
        <v>7</v>
      </c>
      <c r="L165" s="153" t="s">
        <v>8</v>
      </c>
      <c r="M165" s="153" t="s">
        <v>9</v>
      </c>
      <c r="N165" s="153">
        <v>2010</v>
      </c>
      <c r="O165" s="153">
        <v>2011</v>
      </c>
      <c r="P165" s="153">
        <v>2012</v>
      </c>
      <c r="Q165" s="153">
        <v>2013</v>
      </c>
      <c r="R165" s="153">
        <v>2014</v>
      </c>
      <c r="S165" s="153">
        <v>2015</v>
      </c>
      <c r="T165" s="153">
        <v>2016</v>
      </c>
      <c r="U165" s="153">
        <v>2017</v>
      </c>
      <c r="V165" s="153">
        <v>2018</v>
      </c>
    </row>
    <row r="166" spans="2:22" ht="12" customHeight="1" thickBot="1" x14ac:dyDescent="0.25">
      <c r="B166" s="154"/>
      <c r="C166" s="160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73.474903513078303</v>
      </c>
      <c r="E167" s="46">
        <f t="shared" si="60"/>
        <v>73.804017373107513</v>
      </c>
      <c r="F167" s="46">
        <f t="shared" si="60"/>
        <v>75.747692171229147</v>
      </c>
      <c r="G167" s="46">
        <f t="shared" si="60"/>
        <v>77.34090772375761</v>
      </c>
      <c r="H167" s="46">
        <f t="shared" si="60"/>
        <v>80.523758326549725</v>
      </c>
      <c r="I167" s="46">
        <f t="shared" si="60"/>
        <v>87.833952786361166</v>
      </c>
      <c r="J167" s="46">
        <f t="shared" si="60"/>
        <v>68.529440369524025</v>
      </c>
      <c r="K167" s="46">
        <f t="shared" si="60"/>
        <v>76.18067659743059</v>
      </c>
      <c r="L167" s="46">
        <f t="shared" si="60"/>
        <v>80.884235485553845</v>
      </c>
      <c r="M167" s="46">
        <f t="shared" si="60"/>
        <v>76.646757844187746</v>
      </c>
      <c r="N167" s="46">
        <f t="shared" si="60"/>
        <v>81.34855610099747</v>
      </c>
      <c r="O167" s="46">
        <f t="shared" si="60"/>
        <v>76.871784953195089</v>
      </c>
      <c r="P167" s="46">
        <f t="shared" si="60"/>
        <v>77.776987881219299</v>
      </c>
      <c r="Q167" s="46">
        <f t="shared" si="60"/>
        <v>75.961586673924131</v>
      </c>
      <c r="R167" s="46">
        <f t="shared" si="60"/>
        <v>81.013040431119535</v>
      </c>
      <c r="S167" s="46">
        <f t="shared" si="60"/>
        <v>83.571170625211806</v>
      </c>
      <c r="T167" s="46">
        <f t="shared" si="60"/>
        <v>87.855159926888973</v>
      </c>
      <c r="U167" s="46">
        <f t="shared" si="60"/>
        <v>89.380956517109794</v>
      </c>
      <c r="V167" s="46">
        <f t="shared" si="60"/>
        <v>85.284936692090739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94.247200184823171</v>
      </c>
      <c r="E168" s="47">
        <f t="shared" si="61"/>
        <v>93.583953257777864</v>
      </c>
      <c r="F168" s="47">
        <f t="shared" si="61"/>
        <v>95.780615481290482</v>
      </c>
      <c r="G168" s="47">
        <f t="shared" si="61"/>
        <v>93.428820301267081</v>
      </c>
      <c r="H168" s="47">
        <f t="shared" si="61"/>
        <v>92.020932988424462</v>
      </c>
      <c r="I168" s="47">
        <f t="shared" si="61"/>
        <v>93.970173562179085</v>
      </c>
      <c r="J168" s="47">
        <f t="shared" si="61"/>
        <v>92.925851496574424</v>
      </c>
      <c r="K168" s="47">
        <f t="shared" si="61"/>
        <v>93.187759321594854</v>
      </c>
      <c r="L168" s="47">
        <f t="shared" si="61"/>
        <v>94.983478141214462</v>
      </c>
      <c r="M168" s="47">
        <f t="shared" si="61"/>
        <v>92.116749835982787</v>
      </c>
      <c r="N168" s="47">
        <f t="shared" si="61"/>
        <v>93.84772261624903</v>
      </c>
      <c r="O168" s="47">
        <f t="shared" si="61"/>
        <v>81.002704009116371</v>
      </c>
      <c r="P168" s="47">
        <f t="shared" si="61"/>
        <v>92.124160586917228</v>
      </c>
      <c r="Q168" s="47">
        <f t="shared" si="61"/>
        <v>83.087532688175941</v>
      </c>
      <c r="R168" s="47">
        <f t="shared" si="61"/>
        <v>85.670431849576985</v>
      </c>
      <c r="S168" s="47">
        <f t="shared" si="61"/>
        <v>89.367602103430968</v>
      </c>
      <c r="T168" s="47">
        <f t="shared" si="61"/>
        <v>92.611201110417582</v>
      </c>
      <c r="U168" s="47">
        <f t="shared" si="61"/>
        <v>92.538818479242963</v>
      </c>
      <c r="V168" s="47">
        <f t="shared" si="61"/>
        <v>93.146903261592257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77.764430722791516</v>
      </c>
      <c r="E169" s="47">
        <f t="shared" si="62"/>
        <v>83.920611146968042</v>
      </c>
      <c r="F169" s="47">
        <f t="shared" si="62"/>
        <v>84.760809236473662</v>
      </c>
      <c r="G169" s="47">
        <f t="shared" si="62"/>
        <v>80.519921676741518</v>
      </c>
      <c r="H169" s="47">
        <f t="shared" si="62"/>
        <v>77.133292310857783</v>
      </c>
      <c r="I169" s="47">
        <f t="shared" si="62"/>
        <v>80.891616519107771</v>
      </c>
      <c r="J169" s="47">
        <f t="shared" si="62"/>
        <v>75.449265574977758</v>
      </c>
      <c r="K169" s="47">
        <f t="shared" si="62"/>
        <v>77.835027556606335</v>
      </c>
      <c r="L169" s="47">
        <f t="shared" si="62"/>
        <v>81.058316210147353</v>
      </c>
      <c r="M169" s="47">
        <f t="shared" si="62"/>
        <v>83.871007550774877</v>
      </c>
      <c r="N169" s="47">
        <f t="shared" si="62"/>
        <v>80.942750317544551</v>
      </c>
      <c r="O169" s="47">
        <f t="shared" si="62"/>
        <v>75.007700903031122</v>
      </c>
      <c r="P169" s="47">
        <f t="shared" si="62"/>
        <v>79.329268843283799</v>
      </c>
      <c r="Q169" s="47">
        <f t="shared" si="62"/>
        <v>83.84083744966189</v>
      </c>
      <c r="R169" s="47">
        <f t="shared" si="62"/>
        <v>81.577089995479184</v>
      </c>
      <c r="S169" s="47">
        <f t="shared" si="62"/>
        <v>87.514071801779053</v>
      </c>
      <c r="T169" s="47">
        <f t="shared" si="62"/>
        <v>87.937451373503706</v>
      </c>
      <c r="U169" s="47">
        <f t="shared" si="62"/>
        <v>85.43096213265126</v>
      </c>
      <c r="V169" s="47">
        <f t="shared" si="62"/>
        <v>79.586704639894947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60.91820109805456</v>
      </c>
      <c r="E170" s="47">
        <f t="shared" si="63"/>
        <v>61.131770532514743</v>
      </c>
      <c r="F170" s="47">
        <f t="shared" si="63"/>
        <v>61.520768422063668</v>
      </c>
      <c r="G170" s="47">
        <f t="shared" si="63"/>
        <v>67.325201009252595</v>
      </c>
      <c r="H170" s="47">
        <f t="shared" si="63"/>
        <v>80.009266496679899</v>
      </c>
      <c r="I170" s="47">
        <f t="shared" si="63"/>
        <v>91.97221009190595</v>
      </c>
      <c r="J170" s="47">
        <f t="shared" si="63"/>
        <v>62.524226595673362</v>
      </c>
      <c r="K170" s="47">
        <f t="shared" si="63"/>
        <v>64.546658478899772</v>
      </c>
      <c r="L170" s="47">
        <f t="shared" si="63"/>
        <v>66.552108091976663</v>
      </c>
      <c r="M170" s="47">
        <f t="shared" si="63"/>
        <v>61.553363938494918</v>
      </c>
      <c r="N170" s="47">
        <f t="shared" si="63"/>
        <v>76.034209307065154</v>
      </c>
      <c r="O170" s="47">
        <f t="shared" si="63"/>
        <v>77.615648173063676</v>
      </c>
      <c r="P170" s="47">
        <f t="shared" si="63"/>
        <v>76.883724239292903</v>
      </c>
      <c r="Q170" s="47">
        <f t="shared" si="63"/>
        <v>73.226384021677276</v>
      </c>
      <c r="R170" s="47">
        <f t="shared" si="63"/>
        <v>80.821658626769036</v>
      </c>
      <c r="S170" s="47">
        <f t="shared" si="63"/>
        <v>85.950040233083939</v>
      </c>
      <c r="T170" s="47">
        <f t="shared" si="63"/>
        <v>90.630650920963348</v>
      </c>
      <c r="U170" s="47">
        <f t="shared" si="63"/>
        <v>93.069869187872882</v>
      </c>
      <c r="V170" s="47">
        <f t="shared" si="63"/>
        <v>83.762227847045068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67.695013373787106</v>
      </c>
      <c r="E171" s="47">
        <f t="shared" si="64"/>
        <v>69.005989979836045</v>
      </c>
      <c r="F171" s="47">
        <f t="shared" si="64"/>
        <v>73.320005589507858</v>
      </c>
      <c r="G171" s="47">
        <f t="shared" si="64"/>
        <v>75.588633458581143</v>
      </c>
      <c r="H171" s="47">
        <f t="shared" si="64"/>
        <v>73.923072154626851</v>
      </c>
      <c r="I171" s="47">
        <f t="shared" si="64"/>
        <v>71.608303058779882</v>
      </c>
      <c r="J171" s="47">
        <f t="shared" si="64"/>
        <v>56.315638912357521</v>
      </c>
      <c r="K171" s="47">
        <f t="shared" si="64"/>
        <v>76.384321652638661</v>
      </c>
      <c r="L171" s="47">
        <f t="shared" si="64"/>
        <v>84.448651225772863</v>
      </c>
      <c r="M171" s="47">
        <f t="shared" si="64"/>
        <v>81.152580249160451</v>
      </c>
      <c r="N171" s="47">
        <f t="shared" si="64"/>
        <v>83.41381371420465</v>
      </c>
      <c r="O171" s="47">
        <f t="shared" si="64"/>
        <v>73.889530821895974</v>
      </c>
      <c r="P171" s="47">
        <f t="shared" si="64"/>
        <v>69.242469695393822</v>
      </c>
      <c r="Q171" s="47">
        <f t="shared" si="64"/>
        <v>70.478662229188387</v>
      </c>
      <c r="R171" s="47">
        <f t="shared" si="64"/>
        <v>76.631021523030512</v>
      </c>
      <c r="S171" s="47">
        <f t="shared" si="64"/>
        <v>74.354352914801254</v>
      </c>
      <c r="T171" s="47">
        <f t="shared" si="64"/>
        <v>80.849966545502213</v>
      </c>
      <c r="U171" s="47">
        <f t="shared" si="64"/>
        <v>83.083199464320785</v>
      </c>
      <c r="V171" s="47">
        <f t="shared" si="64"/>
        <v>79.998401471391219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92.090691600764757</v>
      </c>
      <c r="E172" s="46">
        <f t="shared" si="65"/>
        <v>86.728764708561442</v>
      </c>
      <c r="F172" s="46">
        <f t="shared" si="65"/>
        <v>78.01793546053851</v>
      </c>
      <c r="G172" s="46">
        <f t="shared" si="65"/>
        <v>96.615952224729597</v>
      </c>
      <c r="H172" s="46">
        <f t="shared" si="65"/>
        <v>94.512120003736129</v>
      </c>
      <c r="I172" s="46">
        <f t="shared" si="65"/>
        <v>62.864237212768224</v>
      </c>
      <c r="J172" s="46">
        <f t="shared" si="65"/>
        <v>43.142271029745231</v>
      </c>
      <c r="K172" s="46">
        <f t="shared" si="65"/>
        <v>34.822593246126623</v>
      </c>
      <c r="L172" s="46">
        <f t="shared" si="65"/>
        <v>50.127821664028694</v>
      </c>
      <c r="M172" s="46">
        <f t="shared" si="65"/>
        <v>69.586071184319195</v>
      </c>
      <c r="N172" s="46">
        <f t="shared" si="65"/>
        <v>49.093300769773109</v>
      </c>
      <c r="O172" s="46">
        <f t="shared" si="65"/>
        <v>50.659796360943631</v>
      </c>
      <c r="P172" s="46">
        <f t="shared" si="65"/>
        <v>87.524597197180782</v>
      </c>
      <c r="Q172" s="46">
        <f t="shared" si="65"/>
        <v>72.40813454281566</v>
      </c>
      <c r="R172" s="46">
        <f t="shared" si="65"/>
        <v>92.751569092462518</v>
      </c>
      <c r="S172" s="46">
        <f t="shared" si="65"/>
        <v>99.999996308163546</v>
      </c>
      <c r="T172" s="46">
        <f t="shared" si="65"/>
        <v>99.91474768435225</v>
      </c>
      <c r="U172" s="46">
        <f t="shared" si="65"/>
        <v>95.624900728755435</v>
      </c>
      <c r="V172" s="46">
        <f t="shared" si="65"/>
        <v>95.997882121494712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71.104986802251403</v>
      </c>
      <c r="E173" s="46">
        <f t="shared" si="66"/>
        <v>87.544145602252783</v>
      </c>
      <c r="F173" s="46">
        <f t="shared" si="66"/>
        <v>81.69728083568765</v>
      </c>
      <c r="G173" s="46">
        <f t="shared" si="66"/>
        <v>96.519434525238822</v>
      </c>
      <c r="H173" s="46">
        <f t="shared" si="66"/>
        <v>94.121383681166279</v>
      </c>
      <c r="I173" s="46">
        <f t="shared" si="66"/>
        <v>67.780224568919749</v>
      </c>
      <c r="J173" s="46">
        <f t="shared" si="66"/>
        <v>62.809091628939193</v>
      </c>
      <c r="K173" s="46">
        <f t="shared" si="66"/>
        <v>78.253125698526276</v>
      </c>
      <c r="L173" s="46">
        <f t="shared" si="66"/>
        <v>44.783996899465329</v>
      </c>
      <c r="M173" s="46">
        <f t="shared" si="66"/>
        <v>83.764142731804498</v>
      </c>
      <c r="N173" s="46">
        <f t="shared" si="66"/>
        <v>33.90045760008924</v>
      </c>
      <c r="O173" s="46">
        <f t="shared" si="66"/>
        <v>43.311510977830132</v>
      </c>
      <c r="P173" s="46">
        <f t="shared" si="66"/>
        <v>86.467270270270291</v>
      </c>
      <c r="Q173" s="46">
        <f t="shared" si="66"/>
        <v>28.696683875939122</v>
      </c>
      <c r="R173" s="46">
        <f t="shared" si="66"/>
        <v>95.321071618257278</v>
      </c>
      <c r="S173" s="46">
        <f t="shared" si="66"/>
        <v>100</v>
      </c>
      <c r="T173" s="46">
        <f t="shared" si="66"/>
        <v>99.527891537933129</v>
      </c>
      <c r="U173" s="46">
        <f t="shared" si="66"/>
        <v>82.26749657239057</v>
      </c>
      <c r="V173" s="46">
        <f t="shared" si="66"/>
        <v>84.231084992907796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66.695597144841997</v>
      </c>
      <c r="E174" s="47">
        <f t="shared" si="67"/>
        <v>86.230305482704495</v>
      </c>
      <c r="F174" s="47">
        <f t="shared" si="67"/>
        <v>81.720062631596619</v>
      </c>
      <c r="G174" s="47">
        <f t="shared" si="67"/>
        <v>96.894011305999442</v>
      </c>
      <c r="H174" s="47">
        <f t="shared" si="67"/>
        <v>95.947763471667287</v>
      </c>
      <c r="I174" s="47">
        <f t="shared" si="67"/>
        <v>68.820780842138021</v>
      </c>
      <c r="J174" s="47">
        <f t="shared" si="67"/>
        <v>64.982929189189193</v>
      </c>
      <c r="K174" s="47">
        <f t="shared" si="67"/>
        <v>80.956498047032042</v>
      </c>
      <c r="L174" s="47">
        <f t="shared" si="67"/>
        <v>43.635602022655171</v>
      </c>
      <c r="M174" s="47">
        <f t="shared" si="67"/>
        <v>86.57477186490604</v>
      </c>
      <c r="N174" s="47">
        <f t="shared" si="67"/>
        <v>33.464252337722478</v>
      </c>
      <c r="O174" s="47">
        <f t="shared" si="67"/>
        <v>45.970169148573369</v>
      </c>
      <c r="P174" s="47">
        <f t="shared" si="67"/>
        <v>86.975925820256776</v>
      </c>
      <c r="Q174" s="47">
        <f t="shared" si="67"/>
        <v>26.285304734339466</v>
      </c>
      <c r="R174" s="47">
        <f t="shared" si="67"/>
        <v>96.499260847337581</v>
      </c>
      <c r="S174" s="47">
        <f t="shared" si="67"/>
        <v>100</v>
      </c>
      <c r="T174" s="47">
        <f t="shared" si="67"/>
        <v>100</v>
      </c>
      <c r="U174" s="47">
        <f t="shared" si="67"/>
        <v>82.605949259649122</v>
      </c>
      <c r="V174" s="47">
        <f t="shared" si="67"/>
        <v>84.790471514492751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95.831980858807896</v>
      </c>
      <c r="E175" s="47">
        <f t="shared" si="68"/>
        <v>93.941804948504981</v>
      </c>
      <c r="F175" s="47">
        <f t="shared" si="68"/>
        <v>81.576756349742325</v>
      </c>
      <c r="G175" s="47">
        <f t="shared" si="68"/>
        <v>93.463476726708166</v>
      </c>
      <c r="H175" s="47">
        <f t="shared" si="68"/>
        <v>80.759009262319267</v>
      </c>
      <c r="I175" s="47">
        <f t="shared" si="68"/>
        <v>59.55752541713376</v>
      </c>
      <c r="J175" s="47">
        <f t="shared" si="68"/>
        <v>48.557028608160984</v>
      </c>
      <c r="K175" s="47">
        <f t="shared" si="68"/>
        <v>57.079797890470054</v>
      </c>
      <c r="L175" s="47">
        <f t="shared" si="68"/>
        <v>54.913403700253923</v>
      </c>
      <c r="M175" s="47">
        <f t="shared" si="68"/>
        <v>54.022104191685912</v>
      </c>
      <c r="N175" s="47">
        <f t="shared" si="68"/>
        <v>38.919512065232951</v>
      </c>
      <c r="O175" s="47" t="str">
        <f t="shared" si="68"/>
        <v xml:space="preserve"> </v>
      </c>
      <c r="P175" s="47">
        <f t="shared" si="68"/>
        <v>84.090153333333333</v>
      </c>
      <c r="Q175" s="47">
        <f t="shared" si="68"/>
        <v>61.645387005649724</v>
      </c>
      <c r="R175" s="47">
        <f t="shared" si="68"/>
        <v>86.927078715050143</v>
      </c>
      <c r="S175" s="47">
        <f t="shared" si="68"/>
        <v>100</v>
      </c>
      <c r="T175" s="47">
        <f t="shared" si="68"/>
        <v>93.830625492451418</v>
      </c>
      <c r="U175" s="47">
        <f t="shared" si="68"/>
        <v>74.229245249999991</v>
      </c>
      <c r="V175" s="47">
        <f t="shared" si="68"/>
        <v>58.499304999999666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96.233220528942027</v>
      </c>
      <c r="E176" s="46">
        <f t="shared" si="69"/>
        <v>79.613353498251982</v>
      </c>
      <c r="F176" s="46">
        <f t="shared" si="69"/>
        <v>66.416856833996007</v>
      </c>
      <c r="G176" s="46">
        <f t="shared" si="69"/>
        <v>96.886524698645189</v>
      </c>
      <c r="H176" s="46">
        <f t="shared" si="69"/>
        <v>95.432744691523155</v>
      </c>
      <c r="I176" s="46">
        <f t="shared" si="69"/>
        <v>57.225493356137072</v>
      </c>
      <c r="J176" s="46">
        <f t="shared" si="69"/>
        <v>27.000432483302973</v>
      </c>
      <c r="K176" s="46" t="str">
        <f t="shared" si="69"/>
        <v xml:space="preserve"> </v>
      </c>
      <c r="L176" s="46">
        <f t="shared" si="69"/>
        <v>55.389531454283045</v>
      </c>
      <c r="M176" s="46">
        <f t="shared" si="69"/>
        <v>64.832718320687235</v>
      </c>
      <c r="N176" s="46">
        <f t="shared" si="69"/>
        <v>64.784324956159693</v>
      </c>
      <c r="O176" s="46">
        <f t="shared" si="69"/>
        <v>57.829922875953642</v>
      </c>
      <c r="P176" s="46">
        <f t="shared" si="69"/>
        <v>87.695984857142861</v>
      </c>
      <c r="Q176" s="46">
        <f t="shared" si="69"/>
        <v>98.826360228198851</v>
      </c>
      <c r="R176" s="46">
        <f t="shared" si="69"/>
        <v>92.261600655589476</v>
      </c>
      <c r="S176" s="46">
        <f t="shared" si="69"/>
        <v>99.999995798477116</v>
      </c>
      <c r="T176" s="46">
        <f t="shared" si="69"/>
        <v>99.999558267516363</v>
      </c>
      <c r="U176" s="46">
        <f t="shared" si="69"/>
        <v>98.80345135325696</v>
      </c>
      <c r="V176" s="46">
        <f t="shared" si="69"/>
        <v>97.445890507302408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95.160962928247656</v>
      </c>
      <c r="E177" s="47">
        <f t="shared" si="70"/>
        <v>84.337830713386353</v>
      </c>
      <c r="F177" s="47">
        <f t="shared" si="70"/>
        <v>79.939050536217906</v>
      </c>
      <c r="G177" s="47">
        <f t="shared" si="70"/>
        <v>99.554180906877647</v>
      </c>
      <c r="H177" s="47">
        <f t="shared" si="70"/>
        <v>96.489142134896127</v>
      </c>
      <c r="I177" s="47">
        <f t="shared" si="70"/>
        <v>57.924581641411741</v>
      </c>
      <c r="J177" s="47">
        <f t="shared" si="70"/>
        <v>28.53202875891121</v>
      </c>
      <c r="K177" s="47" t="str">
        <f t="shared" si="70"/>
        <v xml:space="preserve"> </v>
      </c>
      <c r="L177" s="47">
        <f t="shared" si="70"/>
        <v>71.727494613016702</v>
      </c>
      <c r="M177" s="47">
        <f t="shared" si="70"/>
        <v>81.259833210241254</v>
      </c>
      <c r="N177" s="47">
        <f t="shared" si="70"/>
        <v>70.217977630322878</v>
      </c>
      <c r="O177" s="47">
        <f t="shared" si="70"/>
        <v>70.981850929272156</v>
      </c>
      <c r="P177" s="47">
        <f t="shared" si="70"/>
        <v>86.031944426424474</v>
      </c>
      <c r="Q177" s="47">
        <f t="shared" si="70"/>
        <v>98.600504243773486</v>
      </c>
      <c r="R177" s="47">
        <f t="shared" si="70"/>
        <v>99.99999986491963</v>
      </c>
      <c r="S177" s="47">
        <f t="shared" si="70"/>
        <v>99.999995362392283</v>
      </c>
      <c r="T177" s="47">
        <f t="shared" si="70"/>
        <v>99.999999978595454</v>
      </c>
      <c r="U177" s="47">
        <f t="shared" si="70"/>
        <v>98.784307730717799</v>
      </c>
      <c r="V177" s="47">
        <f t="shared" si="70"/>
        <v>99.993914827152778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98.938222141866603</v>
      </c>
      <c r="E178" s="47">
        <f t="shared" si="71"/>
        <v>78.653641479664287</v>
      </c>
      <c r="F178" s="47">
        <f t="shared" si="71"/>
        <v>48.990523393342642</v>
      </c>
      <c r="G178" s="47">
        <f t="shared" si="71"/>
        <v>90.471818665464795</v>
      </c>
      <c r="H178" s="47">
        <f t="shared" si="71"/>
        <v>92.611687020558136</v>
      </c>
      <c r="I178" s="47">
        <f t="shared" si="71"/>
        <v>55.256239981464297</v>
      </c>
      <c r="J178" s="47">
        <f t="shared" si="71"/>
        <v>22.41826466311197</v>
      </c>
      <c r="K178" s="47" t="str">
        <f t="shared" si="71"/>
        <v xml:space="preserve"> </v>
      </c>
      <c r="L178" s="47" t="str">
        <f t="shared" si="71"/>
        <v xml:space="preserve"> </v>
      </c>
      <c r="M178" s="47">
        <f t="shared" si="71"/>
        <v>58.709014316523657</v>
      </c>
      <c r="N178" s="47">
        <f t="shared" si="71"/>
        <v>43.148164632764122</v>
      </c>
      <c r="O178" s="47">
        <f t="shared" si="71"/>
        <v>1.8710329489291542</v>
      </c>
      <c r="P178" s="47">
        <f t="shared" si="71"/>
        <v>99.998710631494816</v>
      </c>
      <c r="Q178" s="47">
        <f t="shared" si="71"/>
        <v>99.984154065620544</v>
      </c>
      <c r="R178" s="47">
        <f t="shared" si="71"/>
        <v>52.58890720221607</v>
      </c>
      <c r="S178" s="47">
        <f t="shared" si="71"/>
        <v>100</v>
      </c>
      <c r="T178" s="47">
        <f t="shared" si="71"/>
        <v>99.996171373408302</v>
      </c>
      <c r="U178" s="47">
        <f t="shared" si="71"/>
        <v>98.973037235387054</v>
      </c>
      <c r="V178" s="47">
        <f t="shared" si="71"/>
        <v>76.30473068449588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66.706236590747309</v>
      </c>
      <c r="E179" s="46">
        <f t="shared" si="72"/>
        <v>72.187385134014363</v>
      </c>
      <c r="F179" s="46">
        <f t="shared" si="72"/>
        <v>64.099136331959983</v>
      </c>
      <c r="G179" s="46">
        <f t="shared" si="72"/>
        <v>69.710130385713427</v>
      </c>
      <c r="H179" s="46">
        <f t="shared" si="72"/>
        <v>68.494279177600831</v>
      </c>
      <c r="I179" s="46">
        <f t="shared" si="72"/>
        <v>66.926072509501964</v>
      </c>
      <c r="J179" s="46">
        <f t="shared" si="72"/>
        <v>70.824889428571808</v>
      </c>
      <c r="K179" s="46">
        <f t="shared" si="72"/>
        <v>73.297379148943705</v>
      </c>
      <c r="L179" s="46">
        <f t="shared" si="72"/>
        <v>79.564379286736582</v>
      </c>
      <c r="M179" s="46">
        <f t="shared" si="72"/>
        <v>79.580703625738025</v>
      </c>
      <c r="N179" s="46">
        <f t="shared" si="72"/>
        <v>74.768495420080612</v>
      </c>
      <c r="O179" s="46">
        <f t="shared" si="72"/>
        <v>62.737724579107045</v>
      </c>
      <c r="P179" s="46">
        <f t="shared" si="72"/>
        <v>74.614776172031995</v>
      </c>
      <c r="Q179" s="46">
        <f t="shared" si="72"/>
        <v>81.313763804677819</v>
      </c>
      <c r="R179" s="46">
        <f t="shared" si="72"/>
        <v>77.006702586635498</v>
      </c>
      <c r="S179" s="46">
        <f t="shared" si="72"/>
        <v>75.069724535706257</v>
      </c>
      <c r="T179" s="46">
        <f t="shared" si="72"/>
        <v>78.276619491060529</v>
      </c>
      <c r="U179" s="46">
        <f t="shared" si="72"/>
        <v>76.050903167496998</v>
      </c>
      <c r="V179" s="46">
        <f t="shared" si="72"/>
        <v>84.430104075100161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69.652560943080971</v>
      </c>
      <c r="E180" s="48">
        <f t="shared" si="73"/>
        <v>72.859159324641411</v>
      </c>
      <c r="F180" s="48">
        <f t="shared" si="73"/>
        <v>68.963953331441957</v>
      </c>
      <c r="G180" s="48">
        <f t="shared" si="73"/>
        <v>73.141350870396082</v>
      </c>
      <c r="H180" s="48">
        <f t="shared" si="73"/>
        <v>75.517540398428849</v>
      </c>
      <c r="I180" s="48">
        <f t="shared" si="73"/>
        <v>78.581304483473176</v>
      </c>
      <c r="J180" s="48">
        <f t="shared" si="73"/>
        <v>69.923420478542823</v>
      </c>
      <c r="K180" s="48">
        <f t="shared" si="73"/>
        <v>74.344003628516248</v>
      </c>
      <c r="L180" s="48">
        <f t="shared" si="73"/>
        <v>80.004480742062327</v>
      </c>
      <c r="M180" s="48">
        <f t="shared" si="73"/>
        <v>78.606944845983477</v>
      </c>
      <c r="N180" s="48">
        <f t="shared" si="73"/>
        <v>77.443271509908769</v>
      </c>
      <c r="O180" s="48">
        <f t="shared" si="73"/>
        <v>68.294679732248539</v>
      </c>
      <c r="P180" s="48">
        <f t="shared" si="73"/>
        <v>75.811745800291988</v>
      </c>
      <c r="Q180" s="48">
        <f t="shared" si="73"/>
        <v>79.276658590371369</v>
      </c>
      <c r="R180" s="48">
        <f t="shared" si="73"/>
        <v>78.93995928689634</v>
      </c>
      <c r="S180" s="48">
        <f t="shared" si="73"/>
        <v>79.160048740503029</v>
      </c>
      <c r="T180" s="48">
        <f t="shared" si="73"/>
        <v>82.309420476977195</v>
      </c>
      <c r="U180" s="48">
        <f t="shared" si="73"/>
        <v>81.431105301915579</v>
      </c>
      <c r="V180" s="48">
        <f t="shared" si="73"/>
        <v>84.807822629714607</v>
      </c>
    </row>
    <row r="181" spans="2:22" x14ac:dyDescent="0.2">
      <c r="B181" s="38" t="s">
        <v>49</v>
      </c>
      <c r="C181" s="79" t="s">
        <v>63</v>
      </c>
      <c r="D181" s="45">
        <f t="shared" ref="D181:V181" si="74">+IFERROR(IF(D153&gt;0,+((D153/D28)*100)," "),"")</f>
        <v>69.863008605283383</v>
      </c>
      <c r="E181" s="45">
        <f t="shared" si="74"/>
        <v>72.870618362836865</v>
      </c>
      <c r="F181" s="45">
        <f t="shared" si="74"/>
        <v>68.972303292829324</v>
      </c>
      <c r="G181" s="45">
        <f t="shared" si="74"/>
        <v>73.163998975193266</v>
      </c>
      <c r="H181" s="45">
        <f t="shared" si="74"/>
        <v>75.527416549304803</v>
      </c>
      <c r="I181" s="45">
        <f t="shared" si="74"/>
        <v>78.572813431233456</v>
      </c>
      <c r="J181" s="45">
        <f t="shared" si="74"/>
        <v>69.911902784151835</v>
      </c>
      <c r="K181" s="45">
        <f t="shared" si="74"/>
        <v>74.329238665203064</v>
      </c>
      <c r="L181" s="45">
        <f t="shared" si="74"/>
        <v>79.996553563116365</v>
      </c>
      <c r="M181" s="45">
        <f t="shared" si="74"/>
        <v>78.603732127428486</v>
      </c>
      <c r="N181" s="45">
        <f t="shared" si="74"/>
        <v>77.438168437293797</v>
      </c>
      <c r="O181" s="45">
        <f t="shared" si="74"/>
        <v>68.292093892574186</v>
      </c>
      <c r="P181" s="45">
        <f t="shared" si="74"/>
        <v>75.812824670262458</v>
      </c>
      <c r="Q181" s="45">
        <f t="shared" si="74"/>
        <v>79.276001562477489</v>
      </c>
      <c r="R181" s="45">
        <f t="shared" si="74"/>
        <v>78.941233916354008</v>
      </c>
      <c r="S181" s="45">
        <f t="shared" si="74"/>
        <v>79.162719477076521</v>
      </c>
      <c r="T181" s="45">
        <f t="shared" si="74"/>
        <v>82.311117791171469</v>
      </c>
      <c r="U181" s="45">
        <f t="shared" si="74"/>
        <v>81.432605679876076</v>
      </c>
      <c r="V181" s="45">
        <f t="shared" si="74"/>
        <v>84.808870270792852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79">
    <mergeCell ref="D2:V2"/>
    <mergeCell ref="B113:B114"/>
    <mergeCell ref="A5:C6"/>
    <mergeCell ref="D113:D114"/>
    <mergeCell ref="N113:N114"/>
    <mergeCell ref="S165:S166"/>
    <mergeCell ref="P113:P114"/>
    <mergeCell ref="K64:K65"/>
    <mergeCell ref="O6:O7"/>
    <mergeCell ref="M64:M65"/>
    <mergeCell ref="B38:B39"/>
    <mergeCell ref="V6:V7"/>
    <mergeCell ref="O113:O114"/>
    <mergeCell ref="Q113:Q114"/>
    <mergeCell ref="L64:L65"/>
    <mergeCell ref="Q165:Q166"/>
    <mergeCell ref="I12:I13"/>
    <mergeCell ref="N64:N65"/>
    <mergeCell ref="I165:I166"/>
    <mergeCell ref="K12:K13"/>
    <mergeCell ref="M6:M7"/>
    <mergeCell ref="K165:K166"/>
    <mergeCell ref="E6:E7"/>
    <mergeCell ref="U12:U13"/>
    <mergeCell ref="D10:V10"/>
    <mergeCell ref="D137:D138"/>
    <mergeCell ref="N137:N138"/>
    <mergeCell ref="B87:B88"/>
    <mergeCell ref="P137:P138"/>
    <mergeCell ref="F38:F39"/>
    <mergeCell ref="N87:N88"/>
    <mergeCell ref="I64:I65"/>
    <mergeCell ref="C38:C39"/>
    <mergeCell ref="C64:C65"/>
    <mergeCell ref="I38:I39"/>
    <mergeCell ref="J12:J13"/>
    <mergeCell ref="E137:E138"/>
    <mergeCell ref="G137:G138"/>
    <mergeCell ref="S137:S138"/>
    <mergeCell ref="G87:G88"/>
    <mergeCell ref="R12:R13"/>
    <mergeCell ref="T12:T13"/>
    <mergeCell ref="S38:S39"/>
    <mergeCell ref="Q38:Q39"/>
    <mergeCell ref="B37:V37"/>
    <mergeCell ref="T64:T65"/>
    <mergeCell ref="D4:V4"/>
    <mergeCell ref="N165:N166"/>
    <mergeCell ref="I113:I114"/>
    <mergeCell ref="H6:H7"/>
    <mergeCell ref="K113:K114"/>
    <mergeCell ref="M113:M114"/>
    <mergeCell ref="J6:J7"/>
    <mergeCell ref="H64:H65"/>
    <mergeCell ref="F12:F13"/>
    <mergeCell ref="K38:K39"/>
    <mergeCell ref="K87:K88"/>
    <mergeCell ref="M87:M88"/>
    <mergeCell ref="H87:H88"/>
    <mergeCell ref="U38:U39"/>
    <mergeCell ref="M38:M39"/>
    <mergeCell ref="H113:H114"/>
    <mergeCell ref="D135:V135"/>
    <mergeCell ref="H165:H166"/>
    <mergeCell ref="O38:O39"/>
    <mergeCell ref="F87:F88"/>
    <mergeCell ref="O87:O88"/>
    <mergeCell ref="Q87:Q88"/>
    <mergeCell ref="L165:L166"/>
    <mergeCell ref="D62:V62"/>
    <mergeCell ref="C165:C166"/>
    <mergeCell ref="V113:V114"/>
    <mergeCell ref="D165:D166"/>
    <mergeCell ref="F165:F166"/>
    <mergeCell ref="S64:S65"/>
    <mergeCell ref="D36:V36"/>
    <mergeCell ref="P12:P13"/>
    <mergeCell ref="U64:U65"/>
    <mergeCell ref="T6:T7"/>
    <mergeCell ref="I137:I138"/>
    <mergeCell ref="K137:K138"/>
    <mergeCell ref="D6:D7"/>
    <mergeCell ref="F6:F7"/>
    <mergeCell ref="G6:G7"/>
    <mergeCell ref="U165:U166"/>
    <mergeCell ref="R113:R114"/>
    <mergeCell ref="M12:M13"/>
    <mergeCell ref="O12:O13"/>
    <mergeCell ref="T113:T114"/>
    <mergeCell ref="Q6:Q7"/>
    <mergeCell ref="O64:O65"/>
    <mergeCell ref="U87:U88"/>
    <mergeCell ref="S6:S7"/>
    <mergeCell ref="L6:L7"/>
    <mergeCell ref="N6:N7"/>
    <mergeCell ref="V12:V13"/>
    <mergeCell ref="C87:C88"/>
    <mergeCell ref="S113:S114"/>
    <mergeCell ref="U113:U114"/>
    <mergeCell ref="P64:P65"/>
    <mergeCell ref="R64:R65"/>
    <mergeCell ref="J64:J65"/>
    <mergeCell ref="A7:C7"/>
    <mergeCell ref="P38:P39"/>
    <mergeCell ref="H38:H39"/>
    <mergeCell ref="C113:C114"/>
    <mergeCell ref="J38:J39"/>
    <mergeCell ref="R38:R39"/>
    <mergeCell ref="R87:R88"/>
    <mergeCell ref="G38:G39"/>
    <mergeCell ref="J87:J88"/>
    <mergeCell ref="L87:L88"/>
    <mergeCell ref="V87:V88"/>
    <mergeCell ref="F113:F114"/>
    <mergeCell ref="C12:C13"/>
    <mergeCell ref="I6:I7"/>
    <mergeCell ref="R6:R7"/>
    <mergeCell ref="E87:E88"/>
    <mergeCell ref="G165:G166"/>
    <mergeCell ref="K6:K7"/>
    <mergeCell ref="Q12:Q13"/>
    <mergeCell ref="V64:V65"/>
    <mergeCell ref="S12:S13"/>
    <mergeCell ref="U6:U7"/>
    <mergeCell ref="L137:L138"/>
    <mergeCell ref="T38:T39"/>
    <mergeCell ref="V38:V39"/>
    <mergeCell ref="I87:I88"/>
    <mergeCell ref="M137:M138"/>
    <mergeCell ref="O137:O138"/>
    <mergeCell ref="D85:V85"/>
    <mergeCell ref="J113:J114"/>
    <mergeCell ref="L113:L114"/>
    <mergeCell ref="G64:G65"/>
    <mergeCell ref="D12:D13"/>
    <mergeCell ref="S87:S88"/>
    <mergeCell ref="P165:P166"/>
    <mergeCell ref="H12:H13"/>
    <mergeCell ref="R165:R166"/>
    <mergeCell ref="D111:V111"/>
    <mergeCell ref="P87:P88"/>
    <mergeCell ref="P6:P7"/>
    <mergeCell ref="D87:D88"/>
    <mergeCell ref="J137:J138"/>
    <mergeCell ref="V137:V138"/>
    <mergeCell ref="E113:E114"/>
    <mergeCell ref="L38:L39"/>
    <mergeCell ref="G113:G114"/>
    <mergeCell ref="N38:N39"/>
    <mergeCell ref="B64:B65"/>
    <mergeCell ref="D64:D65"/>
    <mergeCell ref="F64:F65"/>
    <mergeCell ref="D38:D39"/>
    <mergeCell ref="Q137:Q138"/>
    <mergeCell ref="B137:B138"/>
    <mergeCell ref="J165:J166"/>
    <mergeCell ref="C137:C138"/>
    <mergeCell ref="B12:B13"/>
    <mergeCell ref="B11:V11"/>
    <mergeCell ref="B165:B166"/>
    <mergeCell ref="T165:T166"/>
    <mergeCell ref="L12:L13"/>
    <mergeCell ref="Q64:Q65"/>
    <mergeCell ref="V165:V166"/>
    <mergeCell ref="N12:N13"/>
    <mergeCell ref="T87:T88"/>
    <mergeCell ref="M165:M166"/>
    <mergeCell ref="D163:V163"/>
    <mergeCell ref="O165:O166"/>
    <mergeCell ref="E12:E13"/>
    <mergeCell ref="G12:G13"/>
    <mergeCell ref="E64:E65"/>
    <mergeCell ref="E38:E39"/>
    <mergeCell ref="U137:U138"/>
    <mergeCell ref="F137:F138"/>
    <mergeCell ref="H137:H138"/>
    <mergeCell ref="R137:R138"/>
    <mergeCell ref="T137:T138"/>
    <mergeCell ref="E165:E166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V134"/>
  <sheetViews>
    <sheetView showGridLines="0" zoomScaleNormal="100" workbookViewId="0">
      <pane xSplit="3" ySplit="7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12" sqref="K11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19" width="10.7109375" style="109" customWidth="1"/>
    <col min="20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D2" s="163"/>
      <c r="E2" s="156"/>
      <c r="F2" s="156"/>
      <c r="G2" s="156"/>
      <c r="H2" s="156"/>
      <c r="I2" s="156"/>
      <c r="J2" s="156"/>
      <c r="K2" s="169"/>
      <c r="L2" s="169"/>
      <c r="M2" s="170"/>
      <c r="N2" s="170"/>
      <c r="O2" s="170"/>
      <c r="P2" s="170"/>
      <c r="Q2" s="170"/>
      <c r="R2" s="170"/>
      <c r="S2" s="170"/>
      <c r="T2" s="156"/>
    </row>
    <row r="3" spans="1:22" s="101" customFormat="1" ht="16.5" customHeight="1" x14ac:dyDescent="0.25">
      <c r="A3" s="122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1" customFormat="1" ht="16.5" customHeight="1" x14ac:dyDescent="0.25">
      <c r="A4" s="122"/>
      <c r="D4" s="161"/>
      <c r="E4" s="166"/>
      <c r="F4" s="166"/>
      <c r="G4" s="166"/>
      <c r="H4" s="166"/>
      <c r="I4" s="166"/>
      <c r="J4" s="166"/>
      <c r="K4" s="166"/>
      <c r="L4" s="133"/>
      <c r="M4" s="161"/>
      <c r="N4" s="166"/>
      <c r="O4" s="166"/>
      <c r="P4" s="166"/>
      <c r="Q4" s="166"/>
      <c r="R4" s="166"/>
      <c r="S4" s="166"/>
      <c r="T4" s="166"/>
      <c r="U4" s="133"/>
      <c r="V4" s="133"/>
    </row>
    <row r="5" spans="1:22" s="101" customFormat="1" ht="16.5" customHeight="1" x14ac:dyDescent="0.25">
      <c r="A5" s="165" t="s">
        <v>16</v>
      </c>
      <c r="B5" s="166"/>
      <c r="C5" s="166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  <c r="U5" s="133"/>
      <c r="V5" s="98">
        <v>1000000000</v>
      </c>
    </row>
    <row r="6" spans="1:22" s="101" customFormat="1" ht="16.5" customHeight="1" x14ac:dyDescent="0.25">
      <c r="A6" s="166"/>
      <c r="B6" s="166"/>
      <c r="C6" s="166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10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10</v>
      </c>
      <c r="U6" s="151"/>
      <c r="V6" s="151"/>
    </row>
    <row r="7" spans="1:22" s="101" customFormat="1" ht="16.5" customHeight="1" x14ac:dyDescent="0.25">
      <c r="A7" s="162" t="s">
        <v>227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</row>
    <row r="8" spans="1:22" s="101" customFormat="1" ht="16.5" customHeight="1" x14ac:dyDescent="0.25">
      <c r="A8" s="97"/>
      <c r="K8" s="118"/>
      <c r="L8" s="118"/>
      <c r="M8" s="110"/>
      <c r="N8" s="110"/>
      <c r="O8" s="110"/>
      <c r="P8" s="110"/>
      <c r="Q8" s="110"/>
      <c r="R8" s="110"/>
      <c r="S8" s="110"/>
    </row>
    <row r="9" spans="1:22" ht="16.5" customHeight="1" x14ac:dyDescent="0.2">
      <c r="C9" s="131"/>
      <c r="D9" s="155" t="s">
        <v>90</v>
      </c>
      <c r="E9" s="156"/>
      <c r="F9" s="156"/>
      <c r="G9" s="156"/>
      <c r="H9" s="156"/>
      <c r="I9" s="156"/>
      <c r="J9" s="156"/>
      <c r="K9" s="169"/>
      <c r="L9" s="169"/>
      <c r="M9" s="170"/>
      <c r="N9" s="170"/>
      <c r="O9" s="170"/>
      <c r="P9" s="170"/>
      <c r="Q9" s="170"/>
      <c r="R9" s="170"/>
      <c r="S9" s="170"/>
      <c r="T9" s="156"/>
    </row>
    <row r="10" spans="1:22" ht="15.75" customHeight="1" x14ac:dyDescent="0.2">
      <c r="C10" s="2"/>
      <c r="D10" s="157"/>
      <c r="E10" s="156"/>
      <c r="F10" s="156"/>
      <c r="G10" s="156"/>
      <c r="H10" s="156"/>
      <c r="I10" s="156"/>
      <c r="J10" s="156"/>
      <c r="K10" s="169"/>
      <c r="M10" s="111"/>
    </row>
    <row r="11" spans="1:22" ht="15.75" customHeight="1" thickBot="1" x14ac:dyDescent="0.3">
      <c r="C11" s="2"/>
      <c r="D11" s="167"/>
      <c r="E11" s="154"/>
      <c r="F11" s="154"/>
      <c r="G11" s="154"/>
      <c r="H11" s="154"/>
      <c r="I11" s="154"/>
      <c r="J11" s="154"/>
      <c r="K11" s="154"/>
      <c r="M11" s="167" t="s">
        <v>91</v>
      </c>
      <c r="N11" s="154"/>
      <c r="O11" s="154"/>
      <c r="P11" s="154"/>
      <c r="Q11" s="154"/>
      <c r="R11" s="154"/>
      <c r="S11" s="154"/>
      <c r="T11" s="154"/>
    </row>
    <row r="12" spans="1:22" ht="13.5" customHeight="1" x14ac:dyDescent="0.2">
      <c r="B12" s="158"/>
      <c r="C12" s="159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10</v>
      </c>
      <c r="L12" s="114"/>
      <c r="M12" s="153">
        <v>2019</v>
      </c>
      <c r="N12" s="153">
        <v>2020</v>
      </c>
      <c r="O12" s="153">
        <v>2021</v>
      </c>
      <c r="P12" s="153">
        <v>2022</v>
      </c>
      <c r="Q12" s="153">
        <v>2023</v>
      </c>
      <c r="R12" s="153">
        <v>2024</v>
      </c>
      <c r="S12" s="153">
        <v>2025</v>
      </c>
      <c r="T12" s="153" t="s">
        <v>10</v>
      </c>
    </row>
    <row r="13" spans="1:22" ht="12" customHeight="1" thickBot="1" x14ac:dyDescent="0.25">
      <c r="B13" s="154"/>
      <c r="C13" s="160"/>
      <c r="D13" s="154"/>
      <c r="E13" s="154"/>
      <c r="F13" s="154"/>
      <c r="G13" s="154"/>
      <c r="H13" s="154"/>
      <c r="I13" s="154"/>
      <c r="J13" s="154"/>
      <c r="K13" s="154"/>
      <c r="L13" s="114"/>
      <c r="M13" s="154"/>
      <c r="N13" s="154"/>
      <c r="O13" s="154"/>
      <c r="P13" s="154"/>
      <c r="Q13" s="154"/>
      <c r="R13" s="154"/>
      <c r="S13" s="154"/>
      <c r="T13" s="154"/>
    </row>
    <row r="14" spans="1:22" x14ac:dyDescent="0.2">
      <c r="B14" s="34" t="s">
        <v>39</v>
      </c>
      <c r="C14" s="76" t="s">
        <v>40</v>
      </c>
      <c r="D14" s="103">
        <f t="shared" ref="D14:K14" si="0">+SUM(D15:D21)</f>
        <v>243153.57496942056</v>
      </c>
      <c r="E14" s="103">
        <f t="shared" si="0"/>
        <v>323554.96302927623</v>
      </c>
      <c r="F14" s="103">
        <f t="shared" si="0"/>
        <v>309291.50940853072</v>
      </c>
      <c r="G14" s="103">
        <f t="shared" si="0"/>
        <v>270130.00192357175</v>
      </c>
      <c r="H14" s="103">
        <f t="shared" si="0"/>
        <v>305708.33701950713</v>
      </c>
      <c r="I14" s="103">
        <f t="shared" si="0"/>
        <v>322649.82756335736</v>
      </c>
      <c r="J14" s="103">
        <f t="shared" si="0"/>
        <v>338299.91145059757</v>
      </c>
      <c r="K14" s="103">
        <f t="shared" si="0"/>
        <v>365791.22594868601</v>
      </c>
      <c r="L14" s="117"/>
      <c r="M14" s="119">
        <f t="shared" ref="M14:M34" si="1">+(D14/D$34)*100</f>
        <v>62.568512922472408</v>
      </c>
      <c r="N14" s="119">
        <f t="shared" ref="N14:N34" si="2">+(E14/E$34)*100</f>
        <v>68.508633036336519</v>
      </c>
      <c r="O14" s="119">
        <f t="shared" ref="O14:O34" si="3">+(F14/F$34)*100</f>
        <v>62.180079218568572</v>
      </c>
      <c r="P14" s="119">
        <f t="shared" ref="P14:P34" si="4">+(G14/G$34)*100</f>
        <v>59.919644343062771</v>
      </c>
      <c r="Q14" s="119">
        <f t="shared" ref="Q14:Q34" si="5">+(H14/H$34)*100</f>
        <v>61.756308972262644</v>
      </c>
      <c r="R14" s="119">
        <f t="shared" ref="R14:R34" si="6">+(I14/I$34)*100</f>
        <v>61.06128805120288</v>
      </c>
      <c r="S14" s="119">
        <f t="shared" ref="S14:S34" si="7">+(J14/J$34)*100</f>
        <v>62.638074809414555</v>
      </c>
      <c r="T14" s="119">
        <f t="shared" ref="T14:T34" si="8">+(K14/K$34)*100</f>
        <v>65.825406599073659</v>
      </c>
    </row>
    <row r="15" spans="1:22" x14ac:dyDescent="0.2">
      <c r="B15" s="40"/>
      <c r="C15" s="77" t="s">
        <v>92</v>
      </c>
      <c r="D15" s="104">
        <f>+'C6 Ejec. Nac 19-26'!D15+'C7 Ejec. Prop 19-26'!D15</f>
        <v>48571.574627860697</v>
      </c>
      <c r="E15" s="104">
        <f>+'C6 Ejec. Nac 19-26'!E15+'C7 Ejec. Prop 19-26'!E15</f>
        <v>50458.647345786332</v>
      </c>
      <c r="F15" s="104">
        <f>+'C6 Ejec. Nac 19-26'!F15+'C7 Ejec. Prop 19-26'!F15</f>
        <v>50832.152357549545</v>
      </c>
      <c r="G15" s="104">
        <f>+'C6 Ejec. Nac 19-26'!G15+'C7 Ejec. Prop 19-26'!G15</f>
        <v>49418.98541108374</v>
      </c>
      <c r="H15" s="104">
        <f>+'C6 Ejec. Nac 19-26'!H15+'C7 Ejec. Prop 19-26'!H15</f>
        <v>53115.298361597786</v>
      </c>
      <c r="I15" s="104">
        <f>+'C6 Ejec. Nac 19-26'!I15+'C7 Ejec. Prop 19-26'!I15</f>
        <v>56815.581179341199</v>
      </c>
      <c r="J15" s="104">
        <f>+'C6 Ejec. Nac 19-26'!J15+'C7 Ejec. Prop 19-26'!J15</f>
        <v>60750.419539469483</v>
      </c>
      <c r="K15" s="104">
        <f>66697.239393189*Deflactores!$AA$5</f>
        <v>66697.239393188996</v>
      </c>
      <c r="M15" s="109">
        <f t="shared" si="1"/>
        <v>12.498484528349344</v>
      </c>
      <c r="N15" s="109">
        <f t="shared" si="2"/>
        <v>10.683974438709521</v>
      </c>
      <c r="O15" s="109">
        <f t="shared" si="3"/>
        <v>10.219314673355207</v>
      </c>
      <c r="P15" s="109">
        <f t="shared" si="4"/>
        <v>10.96201091526647</v>
      </c>
      <c r="Q15" s="109">
        <f t="shared" si="5"/>
        <v>10.729850578342061</v>
      </c>
      <c r="R15" s="109">
        <f t="shared" si="6"/>
        <v>10.752314961355482</v>
      </c>
      <c r="S15" s="109">
        <f t="shared" si="7"/>
        <v>11.248271711038569</v>
      </c>
      <c r="T15" s="109">
        <f t="shared" si="8"/>
        <v>12.002400797629601</v>
      </c>
    </row>
    <row r="16" spans="1:22" x14ac:dyDescent="0.2">
      <c r="B16" s="40"/>
      <c r="C16" s="77" t="s">
        <v>93</v>
      </c>
      <c r="D16" s="104">
        <f>+'C6 Ejec. Nac 19-26'!D16+'C7 Ejec. Prop 19-26'!D16</f>
        <v>15073.560200913907</v>
      </c>
      <c r="E16" s="104">
        <f>+'C6 Ejec. Nac 19-26'!E16+'C7 Ejec. Prop 19-26'!E16</f>
        <v>14968.451286819547</v>
      </c>
      <c r="F16" s="104">
        <f>+'C6 Ejec. Nac 19-26'!F16+'C7 Ejec. Prop 19-26'!F16</f>
        <v>15804.691193931008</v>
      </c>
      <c r="G16" s="104">
        <f>+'C6 Ejec. Nac 19-26'!G16+'C7 Ejec. Prop 19-26'!G16</f>
        <v>17249.751880909491</v>
      </c>
      <c r="H16" s="104">
        <f>+'C6 Ejec. Nac 19-26'!H16+'C7 Ejec. Prop 19-26'!H16</f>
        <v>18645.079713581632</v>
      </c>
      <c r="I16" s="104">
        <f>+'C6 Ejec. Nac 19-26'!I16+'C7 Ejec. Prop 19-26'!I16</f>
        <v>18914.007830099879</v>
      </c>
      <c r="J16" s="104">
        <f>+'C6 Ejec. Nac 19-26'!J16+'C7 Ejec. Prop 19-26'!J16</f>
        <v>21415.115543959637</v>
      </c>
      <c r="K16" s="104">
        <f>18754.627595663*Deflactores!$AA$5</f>
        <v>18754.627595663002</v>
      </c>
      <c r="L16" s="6"/>
      <c r="M16" s="109">
        <f t="shared" si="1"/>
        <v>3.8787430797065494</v>
      </c>
      <c r="N16" s="109">
        <f t="shared" si="2"/>
        <v>3.1693784781728476</v>
      </c>
      <c r="O16" s="109">
        <f t="shared" si="3"/>
        <v>3.1773809515268181</v>
      </c>
      <c r="P16" s="109">
        <f t="shared" si="4"/>
        <v>3.8263021150927634</v>
      </c>
      <c r="Q16" s="109">
        <f t="shared" si="5"/>
        <v>3.7665027876911963</v>
      </c>
      <c r="R16" s="109">
        <f t="shared" si="6"/>
        <v>3.5794647374781254</v>
      </c>
      <c r="S16" s="109">
        <f t="shared" si="7"/>
        <v>3.9651255116887225</v>
      </c>
      <c r="T16" s="109">
        <f t="shared" si="8"/>
        <v>3.3749606319751013</v>
      </c>
    </row>
    <row r="17" spans="2:20" x14ac:dyDescent="0.2">
      <c r="B17" s="40"/>
      <c r="C17" s="77" t="s">
        <v>58</v>
      </c>
      <c r="D17" s="104">
        <f>+'C6 Ejec. Nac 19-26'!D17+'C7 Ejec. Prop 19-26'!D17</f>
        <v>175458.95456505785</v>
      </c>
      <c r="E17" s="104">
        <f>+'C6 Ejec. Nac 19-26'!E17+'C7 Ejec. Prop 19-26'!E17</f>
        <v>253883.15689495721</v>
      </c>
      <c r="F17" s="104">
        <f>+'C6 Ejec. Nac 19-26'!F17+'C7 Ejec. Prop 19-26'!F17</f>
        <v>236335.99760528616</v>
      </c>
      <c r="G17" s="104">
        <f>+'C6 Ejec. Nac 19-26'!G17+'C7 Ejec. Prop 19-26'!G17</f>
        <v>198332.69192980972</v>
      </c>
      <c r="H17" s="104">
        <f>+'C6 Ejec. Nac 19-26'!H17+'C7 Ejec. Prop 19-26'!H17</f>
        <v>228967.80537279492</v>
      </c>
      <c r="I17" s="104">
        <f>+'C6 Ejec. Nac 19-26'!I17+'C7 Ejec. Prop 19-26'!I17</f>
        <v>242072.64335041845</v>
      </c>
      <c r="J17" s="104">
        <f>+'C6 Ejec. Nac 19-26'!J17+'C7 Ejec. Prop 19-26'!J17</f>
        <v>251481.53921228438</v>
      </c>
      <c r="K17" s="104">
        <f>275772.502677584*Deflactores!$AA$5</f>
        <v>275772.50267758401</v>
      </c>
      <c r="L17" s="6"/>
      <c r="M17" s="109">
        <f t="shared" si="1"/>
        <v>45.149267772221577</v>
      </c>
      <c r="N17" s="109">
        <f t="shared" si="2"/>
        <v>53.756517492360288</v>
      </c>
      <c r="O17" s="109">
        <f t="shared" si="3"/>
        <v>47.513076195976581</v>
      </c>
      <c r="P17" s="109">
        <f t="shared" si="4"/>
        <v>43.993722568435025</v>
      </c>
      <c r="Q17" s="109">
        <f t="shared" si="5"/>
        <v>46.25391204951319</v>
      </c>
      <c r="R17" s="109">
        <f t="shared" si="6"/>
        <v>45.812103842000248</v>
      </c>
      <c r="S17" s="109">
        <f t="shared" si="7"/>
        <v>46.563179395529119</v>
      </c>
      <c r="T17" s="109">
        <f t="shared" si="8"/>
        <v>49.626223457154808</v>
      </c>
    </row>
    <row r="18" spans="2:20" x14ac:dyDescent="0.2">
      <c r="B18" s="40"/>
      <c r="C18" s="77" t="s">
        <v>94</v>
      </c>
      <c r="D18" s="104">
        <f>+'C6 Ejec. Nac 19-26'!D18+'C7 Ejec. Prop 19-26'!D18</f>
        <v>2248.9654970055999</v>
      </c>
      <c r="E18" s="104">
        <f>+'C6 Ejec. Nac 19-26'!E18+'C7 Ejec. Prop 19-26'!E18</f>
        <v>2059.1673440294394</v>
      </c>
      <c r="F18" s="104">
        <f>+'C6 Ejec. Nac 19-26'!F18+'C7 Ejec. Prop 19-26'!F18</f>
        <v>2612.0902854058754</v>
      </c>
      <c r="G18" s="104">
        <f>+'C6 Ejec. Nac 19-26'!G18+'C7 Ejec. Prop 19-26'!G18</f>
        <v>2419.4159832710993</v>
      </c>
      <c r="H18" s="104">
        <f>+'C6 Ejec. Nac 19-26'!H18+'C7 Ejec. Prop 19-26'!H18</f>
        <v>2192.3629117734499</v>
      </c>
      <c r="I18" s="104">
        <f>+'C6 Ejec. Nac 19-26'!I18+'C7 Ejec. Prop 19-26'!I18</f>
        <v>2319.1760868261485</v>
      </c>
      <c r="J18" s="104">
        <f>+'C6 Ejec. Nac 19-26'!J18+'C7 Ejec. Prop 19-26'!J18</f>
        <v>2143.7678441821281</v>
      </c>
      <c r="K18" s="104">
        <f>2106.918076443*Deflactores!$AA$5</f>
        <v>2106.9180764429998</v>
      </c>
      <c r="L18" s="6"/>
      <c r="M18" s="109">
        <f t="shared" si="1"/>
        <v>0.57870597534618184</v>
      </c>
      <c r="N18" s="109">
        <f t="shared" si="2"/>
        <v>0.43600239851600137</v>
      </c>
      <c r="O18" s="109">
        <f t="shared" si="3"/>
        <v>0.52513559516454977</v>
      </c>
      <c r="P18" s="109">
        <f t="shared" si="4"/>
        <v>0.53666954504573139</v>
      </c>
      <c r="Q18" s="109">
        <f t="shared" si="5"/>
        <v>0.44288043525018822</v>
      </c>
      <c r="R18" s="109">
        <f t="shared" si="6"/>
        <v>0.43890269568281487</v>
      </c>
      <c r="S18" s="109">
        <f t="shared" si="7"/>
        <v>0.39693031553603242</v>
      </c>
      <c r="T18" s="109">
        <f t="shared" si="8"/>
        <v>0.37914725453872472</v>
      </c>
    </row>
    <row r="19" spans="2:20" x14ac:dyDescent="0.2">
      <c r="B19" s="40"/>
      <c r="C19" s="77" t="s">
        <v>95</v>
      </c>
      <c r="D19" s="104">
        <f>+'C6 Ejec. Nac 19-26'!D19+'C7 Ejec. Prop 19-26'!D19</f>
        <v>576.7502773771273</v>
      </c>
      <c r="E19" s="104">
        <f>+'C6 Ejec. Nac 19-26'!E19+'C7 Ejec. Prop 19-26'!E19</f>
        <v>646.25041387750389</v>
      </c>
      <c r="F19" s="104">
        <f>+'C6 Ejec. Nac 19-26'!F19+'C7 Ejec. Prop 19-26'!F19</f>
        <v>837.72124092904266</v>
      </c>
      <c r="G19" s="104">
        <f>+'C6 Ejec. Nac 19-26'!G19+'C7 Ejec. Prop 19-26'!G19</f>
        <v>820.3611560874906</v>
      </c>
      <c r="H19" s="104">
        <f>+'C6 Ejec. Nac 19-26'!H19+'C7 Ejec. Prop 19-26'!H19</f>
        <v>891.97015805190949</v>
      </c>
      <c r="I19" s="104">
        <f>+'C6 Ejec. Nac 19-26'!I19+'C7 Ejec. Prop 19-26'!I19</f>
        <v>718.19188107307673</v>
      </c>
      <c r="J19" s="104">
        <f>+'C6 Ejec. Nac 19-26'!J19+'C7 Ejec. Prop 19-26'!J19</f>
        <v>751.50856012573399</v>
      </c>
      <c r="K19" s="104">
        <f>759.543205*Deflactores!$AA$5</f>
        <v>759.54320499999994</v>
      </c>
      <c r="L19" s="6"/>
      <c r="M19" s="109">
        <f t="shared" si="1"/>
        <v>0.148409938811916</v>
      </c>
      <c r="N19" s="109">
        <f t="shared" si="2"/>
        <v>0.13683527534055626</v>
      </c>
      <c r="O19" s="109">
        <f t="shared" si="3"/>
        <v>0.1684157874998192</v>
      </c>
      <c r="P19" s="109">
        <f t="shared" si="4"/>
        <v>0.18197071171507248</v>
      </c>
      <c r="Q19" s="109">
        <f t="shared" si="5"/>
        <v>0.18018738125279429</v>
      </c>
      <c r="R19" s="109">
        <f t="shared" si="6"/>
        <v>0.13591738652836258</v>
      </c>
      <c r="S19" s="109">
        <f t="shared" si="7"/>
        <v>0.13914591111545499</v>
      </c>
      <c r="T19" s="109">
        <f t="shared" si="8"/>
        <v>0.13668244821624639</v>
      </c>
    </row>
    <row r="20" spans="2:20" x14ac:dyDescent="0.2">
      <c r="B20" s="40"/>
      <c r="C20" s="77" t="s">
        <v>96</v>
      </c>
      <c r="D20" s="104">
        <f>+'C6 Ejec. Nac 19-26'!D20+'C7 Ejec. Prop 19-26'!D20</f>
        <v>423.41925940976012</v>
      </c>
      <c r="E20" s="104">
        <f>+'C6 Ejec. Nac 19-26'!E20+'C7 Ejec. Prop 19-26'!E20</f>
        <v>435.06548085752627</v>
      </c>
      <c r="F20" s="104">
        <f>+'C6 Ejec. Nac 19-26'!F20+'C7 Ejec. Prop 19-26'!F20</f>
        <v>679.41092316020081</v>
      </c>
      <c r="G20" s="104">
        <f>+'C6 Ejec. Nac 19-26'!G20+'C7 Ejec. Prop 19-26'!G20</f>
        <v>532.61036278392339</v>
      </c>
      <c r="H20" s="104">
        <f>+'C6 Ejec. Nac 19-26'!H20+'C7 Ejec. Prop 19-26'!H20</f>
        <v>574.37546883780885</v>
      </c>
      <c r="I20" s="104">
        <f>+'C6 Ejec. Nac 19-26'!I20+'C7 Ejec. Prop 19-26'!I20</f>
        <v>394.18577404384672</v>
      </c>
      <c r="J20" s="104">
        <f>+'C6 Ejec. Nac 19-26'!J20+'C7 Ejec. Prop 19-26'!J20</f>
        <v>365.07324516208797</v>
      </c>
      <c r="K20" s="104">
        <f>372.386723455*Deflactores!$AA$5</f>
        <v>372.38672345499998</v>
      </c>
      <c r="L20" s="6"/>
      <c r="M20" s="109">
        <f t="shared" si="1"/>
        <v>0.10895465307197331</v>
      </c>
      <c r="N20" s="109">
        <f t="shared" si="2"/>
        <v>9.2119561683708884E-2</v>
      </c>
      <c r="O20" s="109">
        <f t="shared" si="3"/>
        <v>0.13658902277935242</v>
      </c>
      <c r="P20" s="109">
        <f t="shared" si="4"/>
        <v>0.1181424620893156</v>
      </c>
      <c r="Q20" s="109">
        <f t="shared" si="5"/>
        <v>0.11602990374898582</v>
      </c>
      <c r="R20" s="109">
        <f t="shared" si="6"/>
        <v>7.4599423394550779E-2</v>
      </c>
      <c r="S20" s="109">
        <f t="shared" si="7"/>
        <v>6.7595303656229247E-2</v>
      </c>
      <c r="T20" s="109">
        <f t="shared" si="8"/>
        <v>6.7012289373394762E-2</v>
      </c>
    </row>
    <row r="21" spans="2:20" x14ac:dyDescent="0.2">
      <c r="B21" s="40"/>
      <c r="C21" s="77" t="s">
        <v>97</v>
      </c>
      <c r="D21" s="104">
        <f>+'C6 Ejec. Nac 19-26'!D21+'C7 Ejec. Prop 19-26'!D21</f>
        <v>800.35054179560211</v>
      </c>
      <c r="E21" s="104">
        <f>+'C6 Ejec. Nac 19-26'!E21+'C7 Ejec. Prop 19-26'!E21</f>
        <v>1104.2242629487048</v>
      </c>
      <c r="F21" s="104">
        <f>+'C6 Ejec. Nac 19-26'!F21+'C7 Ejec. Prop 19-26'!F21</f>
        <v>2189.4458022688377</v>
      </c>
      <c r="G21" s="104">
        <f>+'C6 Ejec. Nac 19-26'!G21+'C7 Ejec. Prop 19-26'!G21</f>
        <v>1356.1851996262778</v>
      </c>
      <c r="H21" s="104">
        <f>+'C6 Ejec. Nac 19-26'!H21+'C7 Ejec. Prop 19-26'!H21</f>
        <v>1321.4450328696626</v>
      </c>
      <c r="I21" s="104">
        <f>+'C6 Ejec. Nac 19-26'!I21+'C7 Ejec. Prop 19-26'!I21</f>
        <v>1416.0414615548202</v>
      </c>
      <c r="J21" s="104">
        <f>+'C6 Ejec. Nac 19-26'!J21+'C7 Ejec. Prop 19-26'!J21</f>
        <v>1392.487505414138</v>
      </c>
      <c r="K21" s="104">
        <f>1328.008277352*Deflactores!$AA$5</f>
        <v>1328.0082773520001</v>
      </c>
      <c r="L21" s="6"/>
      <c r="M21" s="109">
        <f t="shared" si="1"/>
        <v>0.20594697496487011</v>
      </c>
      <c r="N21" s="109">
        <f t="shared" si="2"/>
        <v>0.23380539155360458</v>
      </c>
      <c r="O21" s="109">
        <f t="shared" si="3"/>
        <v>0.44016699226624106</v>
      </c>
      <c r="P21" s="109">
        <f t="shared" si="4"/>
        <v>0.30082602541839754</v>
      </c>
      <c r="Q21" s="109">
        <f t="shared" si="5"/>
        <v>0.26694583646422859</v>
      </c>
      <c r="R21" s="109">
        <f t="shared" si="6"/>
        <v>0.26798500476330295</v>
      </c>
      <c r="S21" s="109">
        <f t="shared" si="7"/>
        <v>0.25782666085043626</v>
      </c>
      <c r="T21" s="109">
        <f t="shared" si="8"/>
        <v>0.23897972018578104</v>
      </c>
    </row>
    <row r="22" spans="2:20" x14ac:dyDescent="0.2">
      <c r="B22" s="34" t="s">
        <v>41</v>
      </c>
      <c r="C22" s="76" t="s">
        <v>42</v>
      </c>
      <c r="D22" s="103">
        <f t="shared" ref="D22:K22" si="9">+D23+D27</f>
        <v>80598.992610523244</v>
      </c>
      <c r="E22" s="103">
        <f t="shared" si="9"/>
        <v>81886.134815511614</v>
      </c>
      <c r="F22" s="103">
        <f t="shared" si="9"/>
        <v>101976.2347219428</v>
      </c>
      <c r="G22" s="103">
        <f t="shared" si="9"/>
        <v>91612.256950622716</v>
      </c>
      <c r="H22" s="103">
        <f t="shared" si="9"/>
        <v>91826.265975298636</v>
      </c>
      <c r="I22" s="103">
        <f t="shared" si="9"/>
        <v>105006.37916586775</v>
      </c>
      <c r="J22" s="103">
        <f t="shared" si="9"/>
        <v>119136.28720488798</v>
      </c>
      <c r="K22" s="103">
        <f t="shared" si="9"/>
        <v>100449.70846832701</v>
      </c>
      <c r="L22" s="117"/>
      <c r="M22" s="119">
        <f t="shared" si="1"/>
        <v>20.739810678596822</v>
      </c>
      <c r="N22" s="119">
        <f t="shared" si="2"/>
        <v>17.338343718536205</v>
      </c>
      <c r="O22" s="119">
        <f t="shared" si="3"/>
        <v>20.501339870427284</v>
      </c>
      <c r="P22" s="119">
        <f t="shared" si="4"/>
        <v>20.321229833255288</v>
      </c>
      <c r="Q22" s="119">
        <f t="shared" si="5"/>
        <v>18.549874395404061</v>
      </c>
      <c r="R22" s="119">
        <f t="shared" si="6"/>
        <v>19.872394830900124</v>
      </c>
      <c r="S22" s="119">
        <f t="shared" si="7"/>
        <v>22.058733738526051</v>
      </c>
      <c r="T22" s="119">
        <f t="shared" si="8"/>
        <v>18.076275300309156</v>
      </c>
    </row>
    <row r="23" spans="2:20" x14ac:dyDescent="0.2">
      <c r="B23" s="34"/>
      <c r="C23" s="76" t="s">
        <v>43</v>
      </c>
      <c r="D23" s="103">
        <f t="shared" ref="D23:K23" si="10">+SUM(D24:D26)</f>
        <v>22344.058827314231</v>
      </c>
      <c r="E23" s="103">
        <f t="shared" si="10"/>
        <v>22900.075349512208</v>
      </c>
      <c r="F23" s="103">
        <f t="shared" si="10"/>
        <v>36451.212466632918</v>
      </c>
      <c r="G23" s="103">
        <f t="shared" si="10"/>
        <v>21458.791874031354</v>
      </c>
      <c r="H23" s="103">
        <f t="shared" si="10"/>
        <v>31051.50793158785</v>
      </c>
      <c r="I23" s="103">
        <f t="shared" si="10"/>
        <v>41431.776383357683</v>
      </c>
      <c r="J23" s="103">
        <f t="shared" si="10"/>
        <v>56939.879896000006</v>
      </c>
      <c r="K23" s="103">
        <f t="shared" si="10"/>
        <v>38406.044999037003</v>
      </c>
      <c r="L23" s="117"/>
      <c r="M23" s="119">
        <f t="shared" si="1"/>
        <v>5.7495948132907921</v>
      </c>
      <c r="N23" s="119">
        <f t="shared" si="2"/>
        <v>4.8487986212167389</v>
      </c>
      <c r="O23" s="119">
        <f t="shared" si="3"/>
        <v>7.3281652093279055</v>
      </c>
      <c r="P23" s="119">
        <f t="shared" si="4"/>
        <v>4.759942131446615</v>
      </c>
      <c r="Q23" s="119">
        <f t="shared" si="5"/>
        <v>6.2727321622093681</v>
      </c>
      <c r="R23" s="119">
        <f t="shared" si="6"/>
        <v>7.8409390493799247</v>
      </c>
      <c r="S23" s="119">
        <f t="shared" si="7"/>
        <v>10.542729500789612</v>
      </c>
      <c r="T23" s="119">
        <f t="shared" si="8"/>
        <v>6.9113017168940427</v>
      </c>
    </row>
    <row r="24" spans="2:20" x14ac:dyDescent="0.2">
      <c r="B24" s="32"/>
      <c r="C24" s="83" t="s">
        <v>98</v>
      </c>
      <c r="D24" s="104">
        <f>+'C6 Ejec. Nac 19-26'!D24+'C7 Ejec. Prop 19-26'!D24</f>
        <v>12352.019403062739</v>
      </c>
      <c r="E24" s="104">
        <f>+'C6 Ejec. Nac 19-26'!E24+'C7 Ejec. Prop 19-26'!E24</f>
        <v>9913.3482374671694</v>
      </c>
      <c r="F24" s="104">
        <f>+'C6 Ejec. Nac 19-26'!F24+'C7 Ejec. Prop 19-26'!F24</f>
        <v>20662.185101422474</v>
      </c>
      <c r="G24" s="104">
        <f>+'C6 Ejec. Nac 19-26'!G24+'C7 Ejec. Prop 19-26'!G24</f>
        <v>5544.7502755465512</v>
      </c>
      <c r="H24" s="104">
        <f>+'C6 Ejec. Nac 19-26'!H24+'C7 Ejec. Prop 19-26'!H24</f>
        <v>15431.911224731548</v>
      </c>
      <c r="I24" s="104">
        <f>+'C6 Ejec. Nac 19-26'!I24+'C7 Ejec. Prop 19-26'!I24</f>
        <v>21694.043298458295</v>
      </c>
      <c r="J24" s="104">
        <f>+'C6 Ejec. Nac 19-26'!J24+'C7 Ejec. Prop 19-26'!J24</f>
        <v>36460.750506000004</v>
      </c>
      <c r="K24" s="104">
        <f>17273.044999703*Deflactores!$AA$5</f>
        <v>17273.044999703001</v>
      </c>
      <c r="L24" s="6"/>
      <c r="M24" s="109">
        <f t="shared" si="1"/>
        <v>3.1784335711961287</v>
      </c>
      <c r="N24" s="109">
        <f t="shared" si="2"/>
        <v>2.0990249390815254</v>
      </c>
      <c r="O24" s="109">
        <f t="shared" si="3"/>
        <v>4.1539333197089716</v>
      </c>
      <c r="P24" s="109">
        <f t="shared" si="4"/>
        <v>1.2299243405619551</v>
      </c>
      <c r="Q24" s="109">
        <f t="shared" si="5"/>
        <v>3.1174088574700458</v>
      </c>
      <c r="R24" s="109">
        <f t="shared" si="6"/>
        <v>4.1055847971352479</v>
      </c>
      <c r="S24" s="109">
        <f t="shared" si="7"/>
        <v>6.750906933464389</v>
      </c>
      <c r="T24" s="109">
        <f t="shared" si="8"/>
        <v>3.1083446776524042</v>
      </c>
    </row>
    <row r="25" spans="2:20" x14ac:dyDescent="0.2">
      <c r="B25" s="32"/>
      <c r="C25" s="83" t="s">
        <v>61</v>
      </c>
      <c r="D25" s="104">
        <f>+'C6 Ejec. Nac 19-26'!D25+'C7 Ejec. Prop 19-26'!D25</f>
        <v>9794.5717931062136</v>
      </c>
      <c r="E25" s="104">
        <f>+'C6 Ejec. Nac 19-26'!E25+'C7 Ejec. Prop 19-26'!E25</f>
        <v>12579.369511214429</v>
      </c>
      <c r="F25" s="104">
        <f>+'C6 Ejec. Nac 19-26'!F25+'C7 Ejec. Prop 19-26'!F25</f>
        <v>15554.308812797137</v>
      </c>
      <c r="G25" s="104">
        <f>+'C6 Ejec. Nac 19-26'!G25+'C7 Ejec. Prop 19-26'!G25</f>
        <v>15727.501630932336</v>
      </c>
      <c r="H25" s="104">
        <f>+'C6 Ejec. Nac 19-26'!H25+'C7 Ejec. Prop 19-26'!H25</f>
        <v>15443.821479254351</v>
      </c>
      <c r="I25" s="104">
        <f>+'C6 Ejec. Nac 19-26'!I25+'C7 Ejec. Prop 19-26'!I25</f>
        <v>19482.749414773862</v>
      </c>
      <c r="J25" s="104">
        <f>+'C6 Ejec. Nac 19-26'!J25+'C7 Ejec. Prop 19-26'!J25</f>
        <v>19868.66672841426</v>
      </c>
      <c r="K25" s="104">
        <f>19987.062393947*Deflactores!$AA$5</f>
        <v>19987.062393946999</v>
      </c>
      <c r="L25" s="6"/>
      <c r="M25" s="109">
        <f t="shared" si="1"/>
        <v>2.5203486803931248</v>
      </c>
      <c r="N25" s="109">
        <f t="shared" si="2"/>
        <v>2.663520910338474</v>
      </c>
      <c r="O25" s="109">
        <f t="shared" si="3"/>
        <v>3.1270439852013907</v>
      </c>
      <c r="P25" s="109">
        <f t="shared" si="4"/>
        <v>3.4886399045635668</v>
      </c>
      <c r="Q25" s="109">
        <f t="shared" si="5"/>
        <v>3.1198148545240336</v>
      </c>
      <c r="R25" s="109">
        <f t="shared" si="6"/>
        <v>3.6870987442610867</v>
      </c>
      <c r="S25" s="109">
        <f t="shared" si="7"/>
        <v>3.6787920740543254</v>
      </c>
      <c r="T25" s="109">
        <f t="shared" si="8"/>
        <v>3.5967415713442481</v>
      </c>
    </row>
    <row r="26" spans="2:20" x14ac:dyDescent="0.2">
      <c r="B26" s="32"/>
      <c r="C26" s="83" t="s">
        <v>99</v>
      </c>
      <c r="D26" s="104">
        <f>+'C6 Ejec. Nac 19-26'!D26+'C7 Ejec. Prop 19-26'!D26</f>
        <v>197.46763114527695</v>
      </c>
      <c r="E26" s="104">
        <f>+'C6 Ejec. Nac 19-26'!E26+'C7 Ejec. Prop 19-26'!E26</f>
        <v>407.35760083060785</v>
      </c>
      <c r="F26" s="104">
        <f>+'C6 Ejec. Nac 19-26'!F26+'C7 Ejec. Prop 19-26'!F26</f>
        <v>234.71855241330925</v>
      </c>
      <c r="G26" s="104">
        <f>+'C6 Ejec. Nac 19-26'!G26+'C7 Ejec. Prop 19-26'!G26</f>
        <v>186.53996755246908</v>
      </c>
      <c r="H26" s="104">
        <f>+'C6 Ejec. Nac 19-26'!H26+'C7 Ejec. Prop 19-26'!H26</f>
        <v>175.77522760195012</v>
      </c>
      <c r="I26" s="104">
        <f>+'C6 Ejec. Nac 19-26'!I26+'C7 Ejec. Prop 19-26'!I26</f>
        <v>254.98367012552805</v>
      </c>
      <c r="J26" s="104">
        <f>+'C6 Ejec. Nac 19-26'!J26+'C7 Ejec. Prop 19-26'!J26</f>
        <v>610.46266158574213</v>
      </c>
      <c r="K26" s="104">
        <f>1145.937605387*Deflactores!$AA$5</f>
        <v>1145.9376053870001</v>
      </c>
      <c r="L26" s="6"/>
      <c r="M26" s="109">
        <f t="shared" si="1"/>
        <v>5.0812561701538195E-2</v>
      </c>
      <c r="N26" s="109">
        <f t="shared" si="2"/>
        <v>8.625277179673925E-2</v>
      </c>
      <c r="O26" s="109">
        <f t="shared" si="3"/>
        <v>4.7187904417542871E-2</v>
      </c>
      <c r="P26" s="109">
        <f t="shared" si="4"/>
        <v>4.1377886321093862E-2</v>
      </c>
      <c r="Q26" s="109">
        <f t="shared" si="5"/>
        <v>3.5508450215288541E-2</v>
      </c>
      <c r="R26" s="109">
        <f t="shared" si="6"/>
        <v>4.8255507983590719E-2</v>
      </c>
      <c r="S26" s="109">
        <f t="shared" si="7"/>
        <v>0.11303049327089765</v>
      </c>
      <c r="T26" s="109">
        <f t="shared" si="8"/>
        <v>0.20621546789738976</v>
      </c>
    </row>
    <row r="27" spans="2:20" x14ac:dyDescent="0.2">
      <c r="B27" s="34"/>
      <c r="C27" s="76" t="s">
        <v>44</v>
      </c>
      <c r="D27" s="103">
        <f t="shared" ref="D27:K27" si="11">+SUM(D28:D31)</f>
        <v>58254.93378320901</v>
      </c>
      <c r="E27" s="103">
        <f t="shared" si="11"/>
        <v>58986.059465999409</v>
      </c>
      <c r="F27" s="103">
        <f t="shared" si="11"/>
        <v>65525.022255309887</v>
      </c>
      <c r="G27" s="103">
        <f t="shared" si="11"/>
        <v>70153.465076591368</v>
      </c>
      <c r="H27" s="103">
        <f t="shared" si="11"/>
        <v>60774.758043710783</v>
      </c>
      <c r="I27" s="103">
        <f t="shared" si="11"/>
        <v>63574.602782510068</v>
      </c>
      <c r="J27" s="103">
        <f t="shared" si="11"/>
        <v>62196.407308887981</v>
      </c>
      <c r="K27" s="103">
        <f t="shared" si="11"/>
        <v>62043.663469289997</v>
      </c>
      <c r="L27" s="117"/>
      <c r="M27" s="119">
        <f t="shared" si="1"/>
        <v>14.99021586530603</v>
      </c>
      <c r="N27" s="119">
        <f t="shared" si="2"/>
        <v>12.489545097319466</v>
      </c>
      <c r="O27" s="119">
        <f t="shared" si="3"/>
        <v>13.173174661099379</v>
      </c>
      <c r="P27" s="119">
        <f t="shared" si="4"/>
        <v>15.561287701808673</v>
      </c>
      <c r="Q27" s="119">
        <f t="shared" si="5"/>
        <v>12.27714223319469</v>
      </c>
      <c r="R27" s="119">
        <f t="shared" si="6"/>
        <v>12.031455781520197</v>
      </c>
      <c r="S27" s="119">
        <f t="shared" si="7"/>
        <v>11.516004237736439</v>
      </c>
      <c r="T27" s="119">
        <f t="shared" si="8"/>
        <v>11.164973583415112</v>
      </c>
    </row>
    <row r="28" spans="2:20" x14ac:dyDescent="0.2">
      <c r="B28" s="32"/>
      <c r="C28" s="83" t="s">
        <v>98</v>
      </c>
      <c r="D28" s="104">
        <f>+'C6 Ejec. Nac 19-26'!D28+'C7 Ejec. Prop 19-26'!D28</f>
        <v>27840.886807165392</v>
      </c>
      <c r="E28" s="104">
        <f>+'C6 Ejec. Nac 19-26'!E28+'C7 Ejec. Prop 19-26'!E28</f>
        <v>24911.511291156334</v>
      </c>
      <c r="F28" s="104">
        <f>+'C6 Ejec. Nac 19-26'!F28+'C7 Ejec. Prop 19-26'!F28</f>
        <v>28998.146878869542</v>
      </c>
      <c r="G28" s="104">
        <f>+'C6 Ejec. Nac 19-26'!G28+'C7 Ejec. Prop 19-26'!G28</f>
        <v>33916.193258140236</v>
      </c>
      <c r="H28" s="104">
        <f>+'C6 Ejec. Nac 19-26'!H28+'C7 Ejec. Prop 19-26'!H28</f>
        <v>20464.081658847565</v>
      </c>
      <c r="I28" s="104">
        <f>+'C6 Ejec. Nac 19-26'!I28+'C7 Ejec. Prop 19-26'!I28</f>
        <v>15480.89151816953</v>
      </c>
      <c r="J28" s="104">
        <f>+'C6 Ejec. Nac 19-26'!J28+'C7 Ejec. Prop 19-26'!J28</f>
        <v>10986.988028912781</v>
      </c>
      <c r="K28" s="104">
        <f>10342.874420982*Deflactores!$AA$5</f>
        <v>10342.874420982</v>
      </c>
      <c r="L28" s="6"/>
      <c r="M28" s="109">
        <f t="shared" si="1"/>
        <v>7.1640439018274442</v>
      </c>
      <c r="N28" s="109">
        <f t="shared" si="2"/>
        <v>5.2746945045993927</v>
      </c>
      <c r="O28" s="109">
        <f t="shared" si="3"/>
        <v>5.8297981524547557</v>
      </c>
      <c r="P28" s="109">
        <f t="shared" si="4"/>
        <v>7.5232155740824842</v>
      </c>
      <c r="Q28" s="109">
        <f t="shared" si="5"/>
        <v>4.1339603691500288</v>
      </c>
      <c r="R28" s="109">
        <f t="shared" si="6"/>
        <v>2.9297495164312517</v>
      </c>
      <c r="S28" s="109">
        <f t="shared" si="7"/>
        <v>2.0343007928504306</v>
      </c>
      <c r="T28" s="109">
        <f t="shared" si="8"/>
        <v>1.8612363169689754</v>
      </c>
    </row>
    <row r="29" spans="2:20" x14ac:dyDescent="0.2">
      <c r="B29" s="32"/>
      <c r="C29" s="83" t="s">
        <v>61</v>
      </c>
      <c r="D29" s="104">
        <f>+'C6 Ejec. Nac 19-26'!D29+'C7 Ejec. Prop 19-26'!D29</f>
        <v>29397.350253162087</v>
      </c>
      <c r="E29" s="104">
        <f>+'C6 Ejec. Nac 19-26'!E29+'C7 Ejec. Prop 19-26'!E29</f>
        <v>32655.105748826623</v>
      </c>
      <c r="F29" s="104">
        <f>+'C6 Ejec. Nac 19-26'!F29+'C7 Ejec. Prop 19-26'!F29</f>
        <v>34906.414864882609</v>
      </c>
      <c r="G29" s="104">
        <f>+'C6 Ejec. Nac 19-26'!G29+'C7 Ejec. Prop 19-26'!G29</f>
        <v>34335.321916256966</v>
      </c>
      <c r="H29" s="104">
        <f>+'C6 Ejec. Nac 19-26'!H29+'C7 Ejec. Prop 19-26'!H29</f>
        <v>35270.841241044669</v>
      </c>
      <c r="I29" s="104">
        <f>+'C6 Ejec. Nac 19-26'!I29+'C7 Ejec. Prop 19-26'!I29</f>
        <v>46178.626962039649</v>
      </c>
      <c r="J29" s="104">
        <f>+'C6 Ejec. Nac 19-26'!J29+'C7 Ejec. Prop 19-26'!J29</f>
        <v>48879.801178919013</v>
      </c>
      <c r="K29" s="104">
        <f>48777.532232774*Deflactores!$AA$5</f>
        <v>48777.532232774</v>
      </c>
      <c r="L29" s="6"/>
      <c r="M29" s="109">
        <f t="shared" si="1"/>
        <v>7.5645545800950673</v>
      </c>
      <c r="N29" s="109">
        <f t="shared" si="2"/>
        <v>6.9143017790974257</v>
      </c>
      <c r="O29" s="109">
        <f t="shared" si="3"/>
        <v>7.0175985292493612</v>
      </c>
      <c r="P29" s="109">
        <f t="shared" si="4"/>
        <v>7.6161857734291125</v>
      </c>
      <c r="Q29" s="109">
        <f t="shared" si="5"/>
        <v>7.1250820001503197</v>
      </c>
      <c r="R29" s="109">
        <f t="shared" si="6"/>
        <v>8.7392776993951724</v>
      </c>
      <c r="S29" s="109">
        <f t="shared" si="7"/>
        <v>9.0503619400490116</v>
      </c>
      <c r="T29" s="109">
        <f t="shared" si="8"/>
        <v>8.7776870092892487</v>
      </c>
    </row>
    <row r="30" spans="2:20" x14ac:dyDescent="0.2">
      <c r="B30" s="32"/>
      <c r="C30" s="83" t="s">
        <v>99</v>
      </c>
      <c r="D30" s="104">
        <f>+'C6 Ejec. Nac 19-26'!D30+'C7 Ejec. Prop 19-26'!D30</f>
        <v>251.19986448786568</v>
      </c>
      <c r="E30" s="104">
        <f>+'C6 Ejec. Nac 19-26'!E30+'C7 Ejec. Prop 19-26'!E30</f>
        <v>238.81170838566092</v>
      </c>
      <c r="F30" s="104">
        <f>+'C6 Ejec. Nac 19-26'!F30+'C7 Ejec. Prop 19-26'!F30</f>
        <v>413.9167067475986</v>
      </c>
      <c r="G30" s="104">
        <f>+'C6 Ejec. Nac 19-26'!G30+'C7 Ejec. Prop 19-26'!G30</f>
        <v>302.09246630775243</v>
      </c>
      <c r="H30" s="104">
        <f>+'C6 Ejec. Nac 19-26'!H30+'C7 Ejec. Prop 19-26'!H30</f>
        <v>345.30143064902342</v>
      </c>
      <c r="I30" s="104">
        <f>+'C6 Ejec. Nac 19-26'!I30+'C7 Ejec. Prop 19-26'!I30</f>
        <v>328.28098731879868</v>
      </c>
      <c r="J30" s="104">
        <f>+'C6 Ejec. Nac 19-26'!J30+'C7 Ejec. Prop 19-26'!J30</f>
        <v>311.90882108099402</v>
      </c>
      <c r="K30" s="104">
        <f>257.928673981*Deflactores!$AA$5</f>
        <v>257.92867398099997</v>
      </c>
      <c r="L30" s="6"/>
      <c r="M30" s="109">
        <f t="shared" si="1"/>
        <v>6.4638991918210389E-2</v>
      </c>
      <c r="N30" s="109">
        <f t="shared" si="2"/>
        <v>5.0565330667153116E-2</v>
      </c>
      <c r="O30" s="109">
        <f t="shared" si="3"/>
        <v>8.3213967511339706E-2</v>
      </c>
      <c r="P30" s="109">
        <f t="shared" si="4"/>
        <v>6.7009488064937783E-2</v>
      </c>
      <c r="Q30" s="109">
        <f t="shared" si="5"/>
        <v>6.975453155000054E-2</v>
      </c>
      <c r="R30" s="109">
        <f t="shared" si="6"/>
        <v>6.2126981687198456E-2</v>
      </c>
      <c r="S30" s="109">
        <f t="shared" si="7"/>
        <v>5.7751620403367072E-2</v>
      </c>
      <c r="T30" s="109">
        <f t="shared" si="8"/>
        <v>4.6415164262963986E-2</v>
      </c>
    </row>
    <row r="31" spans="2:20" x14ac:dyDescent="0.2">
      <c r="B31" s="32"/>
      <c r="C31" s="83" t="s">
        <v>100</v>
      </c>
      <c r="D31" s="104">
        <f>+'C6 Ejec. Nac 19-26'!D31+'C7 Ejec. Prop 19-26'!D31</f>
        <v>765.49685839367419</v>
      </c>
      <c r="E31" s="104">
        <f>+'C6 Ejec. Nac 19-26'!E31+'C7 Ejec. Prop 19-26'!E31</f>
        <v>1180.6307176307917</v>
      </c>
      <c r="F31" s="104">
        <f>+'C6 Ejec. Nac 19-26'!F31+'C7 Ejec. Prop 19-26'!F31</f>
        <v>1206.5438048101337</v>
      </c>
      <c r="G31" s="104">
        <f>+'C6 Ejec. Nac 19-26'!G31+'C7 Ejec. Prop 19-26'!G31</f>
        <v>1599.8574358864155</v>
      </c>
      <c r="H31" s="104">
        <f>+'C6 Ejec. Nac 19-26'!H31+'C7 Ejec. Prop 19-26'!H31</f>
        <v>4694.5337131695242</v>
      </c>
      <c r="I31" s="104">
        <f>+'C6 Ejec. Nac 19-26'!I31+'C7 Ejec. Prop 19-26'!I31</f>
        <v>1586.803314982081</v>
      </c>
      <c r="J31" s="104">
        <f>+'C6 Ejec. Nac 19-26'!J31+'C7 Ejec. Prop 19-26'!J31</f>
        <v>2017.7092799751922</v>
      </c>
      <c r="K31" s="104">
        <f>2665.328141553*Deflactores!$AA$5</f>
        <v>2665.328141553</v>
      </c>
      <c r="L31" s="6"/>
      <c r="M31" s="109">
        <f t="shared" si="1"/>
        <v>0.19697839146531212</v>
      </c>
      <c r="N31" s="109">
        <f t="shared" si="2"/>
        <v>0.24998348295549394</v>
      </c>
      <c r="O31" s="109">
        <f t="shared" si="3"/>
        <v>0.24256401188392276</v>
      </c>
      <c r="P31" s="109">
        <f t="shared" si="4"/>
        <v>0.35487686623213732</v>
      </c>
      <c r="Q31" s="109">
        <f t="shared" si="5"/>
        <v>0.94834533234434171</v>
      </c>
      <c r="R31" s="109">
        <f t="shared" si="6"/>
        <v>0.30030158400657486</v>
      </c>
      <c r="S31" s="109">
        <f t="shared" si="7"/>
        <v>0.37358988443363017</v>
      </c>
      <c r="T31" s="109">
        <f t="shared" si="8"/>
        <v>0.47963509289392192</v>
      </c>
    </row>
    <row r="32" spans="2:20" x14ac:dyDescent="0.2">
      <c r="B32" s="34" t="s">
        <v>45</v>
      </c>
      <c r="C32" s="76" t="s">
        <v>46</v>
      </c>
      <c r="D32" s="103">
        <f>+'C6 Ejec. Nac 19-26'!D32+'C7 Ejec. Prop 19-26'!D32</f>
        <v>64867.144815503532</v>
      </c>
      <c r="E32" s="103">
        <f>+'C6 Ejec. Nac 19-26'!E32+'C7 Ejec. Prop 19-26'!E32</f>
        <v>66842.39211722149</v>
      </c>
      <c r="F32" s="103">
        <f>+'C6 Ejec. Nac 19-26'!F32+'C7 Ejec. Prop 19-26'!F32</f>
        <v>86144.792642506844</v>
      </c>
      <c r="G32" s="103">
        <f>+'C6 Ejec. Nac 19-26'!G32+'C7 Ejec. Prop 19-26'!G32</f>
        <v>89078.177203454208</v>
      </c>
      <c r="H32" s="103">
        <f>+'C6 Ejec. Nac 19-26'!H32+'C7 Ejec. Prop 19-26'!H32</f>
        <v>97489.050631925144</v>
      </c>
      <c r="I32" s="103">
        <f>+'C6 Ejec. Nac 19-26'!I32+'C7 Ejec. Prop 19-26'!I32</f>
        <v>100747.03837231899</v>
      </c>
      <c r="J32" s="103">
        <f>+'C6 Ejec. Nac 19-26'!J32+'C7 Ejec. Prop 19-26'!J32</f>
        <v>82650.501773804717</v>
      </c>
      <c r="K32" s="103">
        <f>89458.217092419*Deflactores!$AA$5</f>
        <v>89458.217092419</v>
      </c>
      <c r="L32" s="117"/>
      <c r="M32" s="113">
        <f t="shared" si="1"/>
        <v>16.691676398930774</v>
      </c>
      <c r="N32" s="113">
        <f t="shared" si="2"/>
        <v>14.153023245127267</v>
      </c>
      <c r="O32" s="113">
        <f t="shared" si="3"/>
        <v>17.318580911004144</v>
      </c>
      <c r="P32" s="113">
        <f t="shared" si="4"/>
        <v>19.759125823681938</v>
      </c>
      <c r="Q32" s="113">
        <f t="shared" si="5"/>
        <v>19.693816632333306</v>
      </c>
      <c r="R32" s="113">
        <f t="shared" si="6"/>
        <v>19.066317117897007</v>
      </c>
      <c r="S32" s="113">
        <f t="shared" si="7"/>
        <v>15.303191452059384</v>
      </c>
      <c r="T32" s="113">
        <f t="shared" si="8"/>
        <v>16.098318100617185</v>
      </c>
    </row>
    <row r="33" spans="1:20" ht="14.25" customHeight="1" x14ac:dyDescent="0.2">
      <c r="B33" s="36" t="s">
        <v>47</v>
      </c>
      <c r="C33" s="78" t="s">
        <v>48</v>
      </c>
      <c r="D33" s="105">
        <f t="shared" ref="D33:I33" si="12">+D14+D32</f>
        <v>308020.71978492406</v>
      </c>
      <c r="E33" s="105">
        <f t="shared" si="12"/>
        <v>390397.35514649772</v>
      </c>
      <c r="F33" s="105">
        <f t="shared" si="12"/>
        <v>395436.30205103755</v>
      </c>
      <c r="G33" s="105">
        <f t="shared" si="12"/>
        <v>359208.17912702594</v>
      </c>
      <c r="H33" s="105">
        <f t="shared" si="12"/>
        <v>403197.38765143231</v>
      </c>
      <c r="I33" s="105">
        <f t="shared" si="12"/>
        <v>423396.86593567638</v>
      </c>
      <c r="J33" s="105">
        <f>(+J14+J32)</f>
        <v>420950.41322440229</v>
      </c>
      <c r="K33" s="105">
        <f>(+K14+K32)</f>
        <v>455249.443041105</v>
      </c>
      <c r="L33" s="117"/>
      <c r="M33" s="112">
        <f t="shared" si="1"/>
        <v>79.260189321403175</v>
      </c>
      <c r="N33" s="112">
        <f t="shared" si="2"/>
        <v>82.661656281463792</v>
      </c>
      <c r="O33" s="112">
        <f t="shared" si="3"/>
        <v>79.498660129572713</v>
      </c>
      <c r="P33" s="112">
        <f t="shared" si="4"/>
        <v>79.678770166744712</v>
      </c>
      <c r="Q33" s="112">
        <f t="shared" si="5"/>
        <v>81.450125604595939</v>
      </c>
      <c r="R33" s="112">
        <f t="shared" si="6"/>
        <v>80.127605169099894</v>
      </c>
      <c r="S33" s="112">
        <f t="shared" si="7"/>
        <v>77.941266261473942</v>
      </c>
      <c r="T33" s="112">
        <f t="shared" si="8"/>
        <v>81.923724699690851</v>
      </c>
    </row>
    <row r="34" spans="1:20" ht="13.5" customHeight="1" x14ac:dyDescent="0.2">
      <c r="B34" s="38" t="s">
        <v>49</v>
      </c>
      <c r="C34" s="79" t="s">
        <v>50</v>
      </c>
      <c r="D34" s="106">
        <f t="shared" ref="D34:K34" si="13">+D14+D22+D32</f>
        <v>388619.71239544731</v>
      </c>
      <c r="E34" s="106">
        <f t="shared" si="13"/>
        <v>472283.48996200936</v>
      </c>
      <c r="F34" s="106">
        <f t="shared" si="13"/>
        <v>497412.53677298035</v>
      </c>
      <c r="G34" s="106">
        <f t="shared" si="13"/>
        <v>450820.43607764866</v>
      </c>
      <c r="H34" s="106">
        <f t="shared" si="13"/>
        <v>495023.6536267309</v>
      </c>
      <c r="I34" s="106">
        <f t="shared" si="13"/>
        <v>528403.24510154407</v>
      </c>
      <c r="J34" s="106">
        <f t="shared" si="13"/>
        <v>540086.7004292903</v>
      </c>
      <c r="K34" s="106">
        <f t="shared" si="13"/>
        <v>555699.15150943201</v>
      </c>
      <c r="L34" s="117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ht="13.5" customHeight="1" x14ac:dyDescent="0.2">
      <c r="B35" s="72" t="str">
        <f>+'C1 Aprop Resumen 2000-2026'!B20</f>
        <v>* Información con corte a 30 de abril</v>
      </c>
      <c r="C35" s="68"/>
      <c r="D35" s="71"/>
      <c r="E35" s="71"/>
      <c r="F35" s="71"/>
      <c r="G35" s="71"/>
      <c r="H35" s="71"/>
      <c r="I35" s="71"/>
      <c r="M35" s="111"/>
      <c r="N35" s="111"/>
      <c r="O35" s="111"/>
      <c r="P35" s="111"/>
      <c r="Q35" s="111"/>
      <c r="R35" s="111"/>
      <c r="S35" s="111"/>
    </row>
    <row r="36" spans="1:20" x14ac:dyDescent="0.2">
      <c r="B36" s="1" t="s">
        <v>52</v>
      </c>
    </row>
    <row r="38" spans="1:20" ht="14.25" customHeight="1" x14ac:dyDescent="0.2"/>
    <row r="42" spans="1:20" ht="18" customHeight="1" x14ac:dyDescent="0.2">
      <c r="C42" s="137"/>
      <c r="D42" s="173" t="s">
        <v>101</v>
      </c>
      <c r="E42" s="156"/>
      <c r="F42" s="156"/>
      <c r="G42" s="156"/>
      <c r="H42" s="156"/>
      <c r="I42" s="156"/>
      <c r="J42" s="156"/>
      <c r="K42" s="169"/>
      <c r="L42" s="169"/>
      <c r="M42" s="170"/>
      <c r="N42" s="170"/>
      <c r="O42" s="170"/>
      <c r="P42" s="170"/>
      <c r="Q42" s="170"/>
      <c r="R42" s="170"/>
      <c r="S42" s="170"/>
      <c r="T42" s="156"/>
    </row>
    <row r="43" spans="1:20" ht="13.5" customHeight="1" x14ac:dyDescent="0.2">
      <c r="B43" s="93"/>
      <c r="C43" s="93"/>
      <c r="D43" s="93"/>
      <c r="E43" s="93"/>
      <c r="F43" s="93"/>
      <c r="G43" s="93"/>
      <c r="H43" s="93"/>
      <c r="I43" s="93"/>
      <c r="M43" s="3"/>
      <c r="N43" s="3"/>
      <c r="O43" s="3"/>
      <c r="P43" s="3"/>
      <c r="Q43" s="3"/>
      <c r="R43" s="3"/>
      <c r="S43" s="3"/>
    </row>
    <row r="44" spans="1:20" ht="13.5" customHeight="1" thickBot="1" x14ac:dyDescent="0.3">
      <c r="B44" s="92"/>
      <c r="C44" s="92"/>
      <c r="D44" s="167"/>
      <c r="E44" s="154"/>
      <c r="F44" s="154"/>
      <c r="G44" s="154"/>
      <c r="H44" s="154"/>
      <c r="I44" s="154"/>
      <c r="J44" s="154"/>
      <c r="K44" s="154"/>
      <c r="M44" s="167" t="s">
        <v>102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17"/>
      <c r="B45" s="49"/>
      <c r="C45" s="171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68">
        <v>2025</v>
      </c>
      <c r="K45" s="153" t="s">
        <v>10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68">
        <v>2025</v>
      </c>
      <c r="T45" s="153" t="s">
        <v>10</v>
      </c>
    </row>
    <row r="46" spans="1:20" ht="12" customHeight="1" thickBot="1" x14ac:dyDescent="0.25">
      <c r="A46" s="17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18"/>
      <c r="B47" s="34" t="s">
        <v>39</v>
      </c>
      <c r="C47" s="76" t="s">
        <v>40</v>
      </c>
      <c r="D47" s="103">
        <f t="shared" ref="D47:K47" si="14">+SUM(D48:D54)</f>
        <v>241173.35430671411</v>
      </c>
      <c r="E47" s="103">
        <f t="shared" si="14"/>
        <v>290850.85664014233</v>
      </c>
      <c r="F47" s="103">
        <f t="shared" si="14"/>
        <v>300290.58581429656</v>
      </c>
      <c r="G47" s="103">
        <f t="shared" si="14"/>
        <v>259978.48790099088</v>
      </c>
      <c r="H47" s="103">
        <f t="shared" si="14"/>
        <v>298733.61940680182</v>
      </c>
      <c r="I47" s="103">
        <f t="shared" si="14"/>
        <v>309594.63117808127</v>
      </c>
      <c r="J47" s="103">
        <f t="shared" si="14"/>
        <v>333744.23817791219</v>
      </c>
      <c r="K47" s="103">
        <f t="shared" si="14"/>
        <v>126492.32516641149</v>
      </c>
      <c r="L47" s="117"/>
      <c r="M47" s="119">
        <f>+D47/$D$14*100</f>
        <v>99.185609069101503</v>
      </c>
      <c r="N47" s="119">
        <f>+E47/$E$14*100</f>
        <v>89.892256300771152</v>
      </c>
      <c r="O47" s="119">
        <f>+F47/$F$14*100</f>
        <v>97.089825190660122</v>
      </c>
      <c r="P47" s="119">
        <f>+G47/$G$14*100</f>
        <v>96.241989430906301</v>
      </c>
      <c r="Q47" s="119">
        <f>+H47/$H$14*100</f>
        <v>97.71850591949665</v>
      </c>
      <c r="R47" s="119">
        <f>+I47/$I$14*100</f>
        <v>95.953756899897144</v>
      </c>
      <c r="S47" s="119">
        <f>+J47/$J$14*100</f>
        <v>98.653362558343247</v>
      </c>
      <c r="T47" s="119">
        <f>+K47/$K$14*100</f>
        <v>34.580470003989682</v>
      </c>
    </row>
    <row r="48" spans="1:20" x14ac:dyDescent="0.2">
      <c r="A48" s="19"/>
      <c r="B48" s="40"/>
      <c r="C48" s="77" t="s">
        <v>92</v>
      </c>
      <c r="D48" s="104">
        <f>+'C6 Ejec. Nac 19-26'!D48+'C7 Ejec. Prop 19-26'!D48</f>
        <v>48109.468729446577</v>
      </c>
      <c r="E48" s="104">
        <f>+'C6 Ejec. Nac 19-26'!E48+'C7 Ejec. Prop 19-26'!E48</f>
        <v>49196.622738325284</v>
      </c>
      <c r="F48" s="104">
        <f>+'C6 Ejec. Nac 19-26'!F48+'C7 Ejec. Prop 19-26'!F48</f>
        <v>49382.00996472485</v>
      </c>
      <c r="G48" s="104">
        <f>+'C6 Ejec. Nac 19-26'!G48+'C7 Ejec. Prop 19-26'!G48</f>
        <v>48304.535166090318</v>
      </c>
      <c r="H48" s="104">
        <f>+'C6 Ejec. Nac 19-26'!H48+'C7 Ejec. Prop 19-26'!H48</f>
        <v>51287.079667079641</v>
      </c>
      <c r="I48" s="104">
        <f>+'C6 Ejec. Nac 19-26'!I48+'C7 Ejec. Prop 19-26'!I48</f>
        <v>55606.61701190516</v>
      </c>
      <c r="J48" s="104">
        <f>+'C6 Ejec. Nac 19-26'!J48+'C7 Ejec. Prop 19-26'!J48</f>
        <v>59678.082391900687</v>
      </c>
      <c r="K48" s="104">
        <f>18921.7683264923*Deflactores!$AA$5</f>
        <v>18921.7683264923</v>
      </c>
      <c r="L48" s="6"/>
      <c r="M48" s="109">
        <f>+D48/$D$15*100</f>
        <v>99.048608364141742</v>
      </c>
      <c r="N48" s="109">
        <f>+E48/$E$15*100</f>
        <v>97.498893304030602</v>
      </c>
      <c r="O48" s="109">
        <f>+F48/$F$15*100</f>
        <v>97.147194589313273</v>
      </c>
      <c r="P48" s="109">
        <f>+G48/$G$15*100</f>
        <v>97.744894526419245</v>
      </c>
      <c r="Q48" s="109">
        <f>+H48/$H$15*100</f>
        <v>96.558018591796255</v>
      </c>
      <c r="R48" s="109">
        <f>+I48/$I$15*100</f>
        <v>97.872125669858264</v>
      </c>
      <c r="S48" s="109">
        <f>+J48/$J$15*100</f>
        <v>98.234848161217883</v>
      </c>
      <c r="T48" s="109">
        <f>+K48/$K$15*100</f>
        <v>28.369642429945248</v>
      </c>
    </row>
    <row r="49" spans="1:20" x14ac:dyDescent="0.2">
      <c r="A49" s="19"/>
      <c r="B49" s="40"/>
      <c r="C49" s="77" t="s">
        <v>93</v>
      </c>
      <c r="D49" s="104">
        <f>+'C6 Ejec. Nac 19-26'!D49+'C7 Ejec. Prop 19-26'!D49</f>
        <v>14832.487480759868</v>
      </c>
      <c r="E49" s="104">
        <f>+'C6 Ejec. Nac 19-26'!E49+'C7 Ejec. Prop 19-26'!E49</f>
        <v>14571.259323626589</v>
      </c>
      <c r="F49" s="104">
        <f>+'C6 Ejec. Nac 19-26'!F49+'C7 Ejec. Prop 19-26'!F49</f>
        <v>15377.356626707162</v>
      </c>
      <c r="G49" s="104">
        <f>+'C6 Ejec. Nac 19-26'!G49+'C7 Ejec. Prop 19-26'!G49</f>
        <v>16684.43464555937</v>
      </c>
      <c r="H49" s="104">
        <f>+'C6 Ejec. Nac 19-26'!H49+'C7 Ejec. Prop 19-26'!H49</f>
        <v>17985.979396302493</v>
      </c>
      <c r="I49" s="104">
        <f>+'C6 Ejec. Nac 19-26'!I49+'C7 Ejec. Prop 19-26'!I49</f>
        <v>18318.666540229227</v>
      </c>
      <c r="J49" s="104">
        <f>+'C6 Ejec. Nac 19-26'!J49+'C7 Ejec. Prop 19-26'!J49</f>
        <v>20994.014788616954</v>
      </c>
      <c r="K49" s="104">
        <f>11295.7091480683*Deflactores!$AA$5</f>
        <v>11295.709148068299</v>
      </c>
      <c r="L49" s="6"/>
      <c r="M49" s="109">
        <f>+D49/$D$16*100</f>
        <v>98.400691562306406</v>
      </c>
      <c r="N49" s="109">
        <f>+E49/$E$16*100</f>
        <v>97.346472553625475</v>
      </c>
      <c r="O49" s="109">
        <f>+F49/$F$16*100</f>
        <v>97.296153642103789</v>
      </c>
      <c r="P49" s="109">
        <f>+G49/$G$16*100</f>
        <v>96.722751496641735</v>
      </c>
      <c r="Q49" s="109">
        <f>+H49/$H$16*100</f>
        <v>96.465017434068514</v>
      </c>
      <c r="R49" s="109">
        <f>+I49/$I$16*100</f>
        <v>96.852378960511885</v>
      </c>
      <c r="S49" s="109">
        <f>+J49/$J$16*100</f>
        <v>98.033628375815795</v>
      </c>
      <c r="T49" s="109">
        <f>+K49/$K$16*100</f>
        <v>60.228917318947062</v>
      </c>
    </row>
    <row r="50" spans="1:20" x14ac:dyDescent="0.2">
      <c r="A50" s="19"/>
      <c r="B50" s="40"/>
      <c r="C50" s="77" t="s">
        <v>58</v>
      </c>
      <c r="D50" s="104">
        <f>+'C6 Ejec. Nac 19-26'!D50+'C7 Ejec. Prop 19-26'!D50</f>
        <v>174326.21181333749</v>
      </c>
      <c r="E50" s="104">
        <f>+'C6 Ejec. Nac 19-26'!E50+'C7 Ejec. Prop 19-26'!E50</f>
        <v>222934.89539955618</v>
      </c>
      <c r="F50" s="104">
        <f>+'C6 Ejec. Nac 19-26'!F50+'C7 Ejec. Prop 19-26'!F50</f>
        <v>229838.0022375391</v>
      </c>
      <c r="G50" s="104">
        <f>+'C6 Ejec. Nac 19-26'!G50+'C7 Ejec. Prop 19-26'!G50</f>
        <v>190200.92707355245</v>
      </c>
      <c r="H50" s="104">
        <f>+'C6 Ejec. Nac 19-26'!H50+'C7 Ejec. Prop 19-26'!H50</f>
        <v>224993.39801823761</v>
      </c>
      <c r="I50" s="104">
        <f>+'C6 Ejec. Nac 19-26'!I50+'C7 Ejec. Prop 19-26'!I50</f>
        <v>231167.58110147464</v>
      </c>
      <c r="J50" s="104">
        <f>+'C6 Ejec. Nac 19-26'!J50+'C7 Ejec. Prop 19-26'!J50</f>
        <v>248645.50979570457</v>
      </c>
      <c r="K50" s="104">
        <f>94355.5225596761*Deflactores!$AA$5</f>
        <v>94355.522559676101</v>
      </c>
      <c r="L50" s="6"/>
      <c r="M50" s="109">
        <f t="shared" ref="M50:M67" si="15">+D50/D17*100</f>
        <v>99.354411546262597</v>
      </c>
      <c r="N50" s="109">
        <f t="shared" ref="N50:N67" si="16">+E50/E17*100</f>
        <v>87.810037548806079</v>
      </c>
      <c r="O50" s="109">
        <f t="shared" ref="O50:O67" si="17">+F50/F17*100</f>
        <v>97.250526608900429</v>
      </c>
      <c r="P50" s="109">
        <f t="shared" ref="P50:P67" si="18">+G50/G17*100</f>
        <v>95.899937233174299</v>
      </c>
      <c r="Q50" s="109">
        <f>+H50/$H$17*100</f>
        <v>98.264206905382906</v>
      </c>
      <c r="R50" s="109">
        <f>+I50/$I$17*100</f>
        <v>95.495128198704421</v>
      </c>
      <c r="S50" s="109">
        <f>+J50/$J$17*100</f>
        <v>98.872271330347701</v>
      </c>
      <c r="T50" s="109">
        <f>+K50/$K$17*100</f>
        <v>34.214985773977141</v>
      </c>
    </row>
    <row r="51" spans="1:20" x14ac:dyDescent="0.2">
      <c r="A51" s="19"/>
      <c r="B51" s="40"/>
      <c r="C51" s="77" t="s">
        <v>94</v>
      </c>
      <c r="D51" s="104">
        <f>+'C6 Ejec. Nac 19-26'!D51+'C7 Ejec. Prop 19-26'!D51</f>
        <v>2169.0636657658524</v>
      </c>
      <c r="E51" s="104">
        <f>+'C6 Ejec. Nac 19-26'!E51+'C7 Ejec. Prop 19-26'!E51</f>
        <v>1999.5970482816945</v>
      </c>
      <c r="F51" s="104">
        <f>+'C6 Ejec. Nac 19-26'!F51+'C7 Ejec. Prop 19-26'!F51</f>
        <v>2128.9406144005943</v>
      </c>
      <c r="G51" s="104">
        <f>+'C6 Ejec. Nac 19-26'!G51+'C7 Ejec. Prop 19-26'!G51</f>
        <v>2225.3200028744627</v>
      </c>
      <c r="H51" s="104">
        <f>+'C6 Ejec. Nac 19-26'!H51+'C7 Ejec. Prop 19-26'!H51</f>
        <v>1978.9454515199034</v>
      </c>
      <c r="I51" s="104">
        <f>+'C6 Ejec. Nac 19-26'!I51+'C7 Ejec. Prop 19-26'!I51</f>
        <v>2167.9192972686037</v>
      </c>
      <c r="J51" s="104">
        <f>+'C6 Ejec. Nac 19-26'!J51+'C7 Ejec. Prop 19-26'!J51</f>
        <v>2077.3976257067889</v>
      </c>
      <c r="K51" s="104">
        <f>1001.32393263766*Deflactores!$AA$5</f>
        <v>1001.3239326376601</v>
      </c>
      <c r="L51" s="6"/>
      <c r="M51" s="109">
        <f t="shared" si="15"/>
        <v>96.44717398527753</v>
      </c>
      <c r="N51" s="109">
        <f t="shared" si="16"/>
        <v>97.107068742107387</v>
      </c>
      <c r="O51" s="109">
        <f t="shared" si="17"/>
        <v>81.50333188310114</v>
      </c>
      <c r="P51" s="109">
        <f t="shared" si="18"/>
        <v>91.977568895192022</v>
      </c>
      <c r="Q51" s="109">
        <f>+H51/$H$18*100</f>
        <v>90.265413672734113</v>
      </c>
      <c r="R51" s="109">
        <f>+I51/$I$18*100</f>
        <v>93.477994602620115</v>
      </c>
      <c r="S51" s="109">
        <f>+J51/$J$18*100</f>
        <v>96.904038902558483</v>
      </c>
      <c r="T51" s="109">
        <f>+K51/$K$18*100</f>
        <v>47.525527633620342</v>
      </c>
    </row>
    <row r="52" spans="1:20" x14ac:dyDescent="0.2">
      <c r="A52" s="19"/>
      <c r="B52" s="40"/>
      <c r="C52" s="77" t="s">
        <v>95</v>
      </c>
      <c r="D52" s="104">
        <f>+'C6 Ejec. Nac 19-26'!D52+'C7 Ejec. Prop 19-26'!D52</f>
        <v>568.93614474907736</v>
      </c>
      <c r="E52" s="104">
        <f>+'C6 Ejec. Nac 19-26'!E52+'C7 Ejec. Prop 19-26'!E52</f>
        <v>635.83336682022025</v>
      </c>
      <c r="F52" s="104">
        <f>+'C6 Ejec. Nac 19-26'!F52+'C7 Ejec. Prop 19-26'!F52</f>
        <v>826.16749929780678</v>
      </c>
      <c r="G52" s="104">
        <f>+'C6 Ejec. Nac 19-26'!G52+'C7 Ejec. Prop 19-26'!G52</f>
        <v>810.50641129314226</v>
      </c>
      <c r="H52" s="104">
        <f>+'C6 Ejec. Nac 19-26'!H52+'C7 Ejec. Prop 19-26'!H52</f>
        <v>787.79832379990808</v>
      </c>
      <c r="I52" s="104">
        <f>+'C6 Ejec. Nac 19-26'!I52+'C7 Ejec. Prop 19-26'!I52</f>
        <v>713.03263857885122</v>
      </c>
      <c r="J52" s="104">
        <f>+'C6 Ejec. Nac 19-26'!J52+'C7 Ejec. Prop 19-26'!J52</f>
        <v>729.67691428450439</v>
      </c>
      <c r="K52" s="104">
        <f>606.71883031928*Deflactores!$AA$5</f>
        <v>606.71883031927996</v>
      </c>
      <c r="L52" s="6"/>
      <c r="M52" s="109">
        <f t="shared" si="15"/>
        <v>98.645144539230031</v>
      </c>
      <c r="N52" s="109">
        <f t="shared" si="16"/>
        <v>98.388078857113399</v>
      </c>
      <c r="O52" s="109">
        <f t="shared" si="17"/>
        <v>98.620813097872201</v>
      </c>
      <c r="P52" s="109">
        <f t="shared" si="18"/>
        <v>98.798730934391372</v>
      </c>
      <c r="Q52" s="109">
        <f>+H52/$H$19*100</f>
        <v>88.321152528295798</v>
      </c>
      <c r="R52" s="109">
        <f>+I52/$I$19*100</f>
        <v>99.281634528293907</v>
      </c>
      <c r="S52" s="109">
        <f>+J52/$J$19*100</f>
        <v>97.094957130285124</v>
      </c>
      <c r="T52" s="109">
        <f>+K52/$K$19*100</f>
        <v>79.879436261862153</v>
      </c>
    </row>
    <row r="53" spans="1:20" x14ac:dyDescent="0.2">
      <c r="A53" s="19"/>
      <c r="B53" s="40"/>
      <c r="C53" s="77" t="s">
        <v>96</v>
      </c>
      <c r="D53" s="104">
        <f>+'C6 Ejec. Nac 19-26'!D53+'C7 Ejec. Prop 19-26'!D53</f>
        <v>416.40935317586008</v>
      </c>
      <c r="E53" s="104">
        <f>+'C6 Ejec. Nac 19-26'!E53+'C7 Ejec. Prop 19-26'!E53</f>
        <v>428.48449019230543</v>
      </c>
      <c r="F53" s="104">
        <f>+'C6 Ejec. Nac 19-26'!F53+'C7 Ejec. Prop 19-26'!F53</f>
        <v>657.52504929680128</v>
      </c>
      <c r="G53" s="104">
        <f>+'C6 Ejec. Nac 19-26'!G53+'C7 Ejec. Prop 19-26'!G53</f>
        <v>501.24292168953292</v>
      </c>
      <c r="H53" s="104">
        <f>+'C6 Ejec. Nac 19-26'!H53+'C7 Ejec. Prop 19-26'!H53</f>
        <v>568.1295564774905</v>
      </c>
      <c r="I53" s="104">
        <f>+'C6 Ejec. Nac 19-26'!I53+'C7 Ejec. Prop 19-26'!I53</f>
        <v>383.83019796193582</v>
      </c>
      <c r="J53" s="104">
        <f>+'C6 Ejec. Nac 19-26'!J53+'C7 Ejec. Prop 19-26'!J53</f>
        <v>348.58055382567136</v>
      </c>
      <c r="K53" s="104">
        <f>103.21977419411*Deflactores!$AA$5</f>
        <v>103.21977419411</v>
      </c>
      <c r="L53" s="6"/>
      <c r="M53" s="109">
        <f t="shared" si="15"/>
        <v>98.344452672353228</v>
      </c>
      <c r="N53" s="109">
        <f t="shared" si="16"/>
        <v>98.487356282036089</v>
      </c>
      <c r="O53" s="109">
        <f t="shared" si="17"/>
        <v>96.778698558215709</v>
      </c>
      <c r="P53" s="109">
        <f t="shared" si="18"/>
        <v>94.110621331054347</v>
      </c>
      <c r="Q53" s="109">
        <f>+H53/$H$20*100</f>
        <v>98.912573273201176</v>
      </c>
      <c r="R53" s="109">
        <f>+I53/$I$20*100</f>
        <v>97.372919886053779</v>
      </c>
      <c r="S53" s="109">
        <f>+J53/$J$20*100</f>
        <v>95.482360990574904</v>
      </c>
      <c r="T53" s="109">
        <f>+K53/$K$20*100</f>
        <v>27.718435618874395</v>
      </c>
    </row>
    <row r="54" spans="1:20" x14ac:dyDescent="0.2">
      <c r="A54" s="19"/>
      <c r="B54" s="40"/>
      <c r="C54" s="77" t="s">
        <v>97</v>
      </c>
      <c r="D54" s="104">
        <f>+'C6 Ejec. Nac 19-26'!D54+'C7 Ejec. Prop 19-26'!D54</f>
        <v>750.77711947937792</v>
      </c>
      <c r="E54" s="104">
        <f>+'C6 Ejec. Nac 19-26'!E54+'C7 Ejec. Prop 19-26'!E54</f>
        <v>1084.1642733400283</v>
      </c>
      <c r="F54" s="104">
        <f>+'C6 Ejec. Nac 19-26'!F54+'C7 Ejec. Prop 19-26'!F54</f>
        <v>2080.5838223302167</v>
      </c>
      <c r="G54" s="104">
        <f>+'C6 Ejec. Nac 19-26'!G54+'C7 Ejec. Prop 19-26'!G54</f>
        <v>1251.5216799315747</v>
      </c>
      <c r="H54" s="104">
        <f>+'C6 Ejec. Nac 19-26'!H54+'C7 Ejec. Prop 19-26'!H54</f>
        <v>1132.2889933847646</v>
      </c>
      <c r="I54" s="104">
        <f>+'C6 Ejec. Nac 19-26'!I54+'C7 Ejec. Prop 19-26'!I54</f>
        <v>1236.9843906628435</v>
      </c>
      <c r="J54" s="104">
        <f>+'C6 Ejec. Nac 19-26'!J54+'C7 Ejec. Prop 19-26'!J54</f>
        <v>1270.976107873013</v>
      </c>
      <c r="K54" s="104">
        <f>208.06259502375*Deflactores!$AA$5</f>
        <v>208.06259502374999</v>
      </c>
      <c r="L54" s="6"/>
      <c r="M54" s="109">
        <f t="shared" si="15"/>
        <v>93.806036264434184</v>
      </c>
      <c r="N54" s="109">
        <f t="shared" si="16"/>
        <v>98.183340985905474</v>
      </c>
      <c r="O54" s="109">
        <f t="shared" si="17"/>
        <v>95.027875098538104</v>
      </c>
      <c r="P54" s="109">
        <f t="shared" si="18"/>
        <v>92.282505389120516</v>
      </c>
      <c r="Q54" s="109">
        <f>+H54/$H$21*100</f>
        <v>85.685667221880209</v>
      </c>
      <c r="R54" s="109">
        <f>+I54/$I$21*100</f>
        <v>87.355096884283938</v>
      </c>
      <c r="S54" s="109">
        <f>+J54/$J$21*100</f>
        <v>91.273789023694945</v>
      </c>
      <c r="T54" s="109">
        <f>+K54/$K$21*100</f>
        <v>15.667266429891477</v>
      </c>
    </row>
    <row r="55" spans="1:20" x14ac:dyDescent="0.2">
      <c r="A55" s="20"/>
      <c r="B55" s="34" t="s">
        <v>41</v>
      </c>
      <c r="C55" s="76" t="s">
        <v>42</v>
      </c>
      <c r="D55" s="103">
        <f t="shared" ref="D55:K55" si="19">+D56+D60</f>
        <v>80078.006370822637</v>
      </c>
      <c r="E55" s="103">
        <f t="shared" si="19"/>
        <v>81304.589313156001</v>
      </c>
      <c r="F55" s="103">
        <f t="shared" si="19"/>
        <v>86258.163245822041</v>
      </c>
      <c r="G55" s="103">
        <f t="shared" si="19"/>
        <v>90531.822395746582</v>
      </c>
      <c r="H55" s="103">
        <f t="shared" si="19"/>
        <v>88038.576968469628</v>
      </c>
      <c r="I55" s="103">
        <f t="shared" si="19"/>
        <v>100720.41937606671</v>
      </c>
      <c r="J55" s="103">
        <f t="shared" si="19"/>
        <v>111142.85630331932</v>
      </c>
      <c r="K55" s="103">
        <f t="shared" si="19"/>
        <v>44669.84224470082</v>
      </c>
      <c r="L55" s="117"/>
      <c r="M55" s="119">
        <f t="shared" si="15"/>
        <v>99.353607008194061</v>
      </c>
      <c r="N55" s="119">
        <f t="shared" si="16"/>
        <v>99.289812000937843</v>
      </c>
      <c r="O55" s="119">
        <f t="shared" si="17"/>
        <v>84.586534775500382</v>
      </c>
      <c r="P55" s="119">
        <f t="shared" si="18"/>
        <v>98.820644102831707</v>
      </c>
      <c r="Q55" s="119">
        <f>+H55/$H$22*100</f>
        <v>95.875157323888232</v>
      </c>
      <c r="R55" s="119">
        <f>+I55/$I$22*100</f>
        <v>95.918381508012047</v>
      </c>
      <c r="S55" s="119">
        <f>+J55/$J$22*100</f>
        <v>93.290515350858854</v>
      </c>
      <c r="T55" s="119">
        <f>+K55/$K$22*100</f>
        <v>44.469857529537535</v>
      </c>
    </row>
    <row r="56" spans="1:20" x14ac:dyDescent="0.2">
      <c r="A56" s="20"/>
      <c r="B56" s="34"/>
      <c r="C56" s="76" t="s">
        <v>43</v>
      </c>
      <c r="D56" s="103">
        <f t="shared" ref="D56:K56" si="20">+SUM(D57:D59)</f>
        <v>21879.399871978407</v>
      </c>
      <c r="E56" s="103">
        <f t="shared" si="20"/>
        <v>22679.984684745818</v>
      </c>
      <c r="F56" s="103">
        <f t="shared" si="20"/>
        <v>29367.369728792393</v>
      </c>
      <c r="G56" s="103">
        <f t="shared" si="20"/>
        <v>21094.574307405488</v>
      </c>
      <c r="H56" s="103">
        <f t="shared" si="20"/>
        <v>29175.777703800282</v>
      </c>
      <c r="I56" s="103">
        <f t="shared" si="20"/>
        <v>40019.625488658763</v>
      </c>
      <c r="J56" s="103">
        <f t="shared" si="20"/>
        <v>50669.216337314712</v>
      </c>
      <c r="K56" s="103">
        <f t="shared" si="20"/>
        <v>18699.018030586598</v>
      </c>
      <c r="L56" s="117"/>
      <c r="M56" s="119">
        <f t="shared" si="15"/>
        <v>97.920436215609101</v>
      </c>
      <c r="N56" s="119">
        <f t="shared" si="16"/>
        <v>99.03890855638133</v>
      </c>
      <c r="O56" s="119">
        <f t="shared" si="17"/>
        <v>80.566235638046322</v>
      </c>
      <c r="P56" s="119">
        <f t="shared" si="18"/>
        <v>98.302711686827863</v>
      </c>
      <c r="Q56" s="119">
        <f>+H56/$H$23*100</f>
        <v>93.959294241296931</v>
      </c>
      <c r="R56" s="119">
        <f>+I56/$I$23*100</f>
        <v>96.591623584678956</v>
      </c>
      <c r="S56" s="119">
        <f>+J56/J23*100</f>
        <v>88.987220257333561</v>
      </c>
      <c r="T56" s="119">
        <f>+K56/K23*100</f>
        <v>48.687694947645504</v>
      </c>
    </row>
    <row r="57" spans="1:20" x14ac:dyDescent="0.2">
      <c r="A57" s="20"/>
      <c r="B57" s="32"/>
      <c r="C57" s="77" t="s">
        <v>98</v>
      </c>
      <c r="D57" s="104">
        <f>+'C6 Ejec. Nac 19-26'!D57+'C7 Ejec. Prop 19-26'!D57</f>
        <v>12276.474407173177</v>
      </c>
      <c r="E57" s="104">
        <f>+'C6 Ejec. Nac 19-26'!E57+'C7 Ejec. Prop 19-26'!E57</f>
        <v>9758.0260679765033</v>
      </c>
      <c r="F57" s="104">
        <f>+'C6 Ejec. Nac 19-26'!F57+'C7 Ejec. Prop 19-26'!F57</f>
        <v>15686.191745536167</v>
      </c>
      <c r="G57" s="104">
        <f>+'C6 Ejec. Nac 19-26'!G57+'C7 Ejec. Prop 19-26'!G57</f>
        <v>5447.398973668247</v>
      </c>
      <c r="H57" s="104">
        <f>+'C6 Ejec. Nac 19-26'!H57+'C7 Ejec. Prop 19-26'!H57</f>
        <v>14704.303099272707</v>
      </c>
      <c r="I57" s="104">
        <f>+'C6 Ejec. Nac 19-26'!I57+'C7 Ejec. Prop 19-26'!I57</f>
        <v>20850.920360069784</v>
      </c>
      <c r="J57" s="104">
        <f>+'C6 Ejec. Nac 19-26'!J57+'C7 Ejec. Prop 19-26'!J57</f>
        <v>33804.532688269457</v>
      </c>
      <c r="K57" s="104">
        <f>8850.2767414239*Deflactores!$AA$5</f>
        <v>8850.2767414239006</v>
      </c>
      <c r="L57" s="6"/>
      <c r="M57" s="109">
        <f t="shared" si="15"/>
        <v>99.388399633902523</v>
      </c>
      <c r="N57" s="109">
        <f t="shared" si="16"/>
        <v>98.433201721859916</v>
      </c>
      <c r="O57" s="109">
        <f t="shared" si="17"/>
        <v>75.917390481882109</v>
      </c>
      <c r="P57" s="109">
        <f t="shared" si="18"/>
        <v>98.244261742361189</v>
      </c>
      <c r="Q57" s="109">
        <f t="shared" ref="Q57:Q67" si="21">+H57/H24*100</f>
        <v>95.285042047852386</v>
      </c>
      <c r="R57" s="109">
        <f>+I57/$I$24*100</f>
        <v>96.113574003752319</v>
      </c>
      <c r="S57" s="109">
        <f>+J57/$J$24*100</f>
        <v>92.71485698767107</v>
      </c>
      <c r="T57" s="109">
        <f>+K57/$K$24*100</f>
        <v>51.237501792973248</v>
      </c>
    </row>
    <row r="58" spans="1:20" x14ac:dyDescent="0.2">
      <c r="A58" s="20"/>
      <c r="B58" s="32"/>
      <c r="C58" s="77" t="s">
        <v>61</v>
      </c>
      <c r="D58" s="104">
        <f>+'C6 Ejec. Nac 19-26'!D58+'C7 Ejec. Prop 19-26'!D58</f>
        <v>9482.8762203824153</v>
      </c>
      <c r="E58" s="104">
        <f>+'C6 Ejec. Nac 19-26'!E58+'C7 Ejec. Prop 19-26'!E58</f>
        <v>12550.932508825306</v>
      </c>
      <c r="F58" s="104">
        <f>+'C6 Ejec. Nac 19-26'!F58+'C7 Ejec. Prop 19-26'!F58</f>
        <v>13495.274809597171</v>
      </c>
      <c r="G58" s="104">
        <f>+'C6 Ejec. Nac 19-26'!G58+'C7 Ejec. Prop 19-26'!G58</f>
        <v>15517.407362430993</v>
      </c>
      <c r="H58" s="104">
        <f>+'C6 Ejec. Nac 19-26'!H58+'C7 Ejec. Prop 19-26'!H58</f>
        <v>14366.688239834544</v>
      </c>
      <c r="I58" s="104">
        <f>+'C6 Ejec. Nac 19-26'!I58+'C7 Ejec. Prop 19-26'!I58</f>
        <v>19042.513708703893</v>
      </c>
      <c r="J58" s="104">
        <f>+'C6 Ejec. Nac 19-26'!J58+'C7 Ejec. Prop 19-26'!J58</f>
        <v>16622.889058942066</v>
      </c>
      <c r="K58" s="104">
        <f>9743.19692204091*Deflactores!$AA$5</f>
        <v>9743.1969220409101</v>
      </c>
      <c r="L58" s="6"/>
      <c r="M58" s="109">
        <f t="shared" si="15"/>
        <v>96.817670243193461</v>
      </c>
      <c r="N58" s="109">
        <f t="shared" si="16"/>
        <v>99.773939366644953</v>
      </c>
      <c r="O58" s="109">
        <f t="shared" si="17"/>
        <v>86.762291864065872</v>
      </c>
      <c r="P58" s="109">
        <f t="shared" si="18"/>
        <v>98.664159931872859</v>
      </c>
      <c r="Q58" s="109">
        <f t="shared" si="21"/>
        <v>93.025474680170845</v>
      </c>
      <c r="R58" s="109">
        <f>+I58/$I$25*100</f>
        <v>97.740382033882057</v>
      </c>
      <c r="S58" s="109">
        <f>+J58/$J$25*100</f>
        <v>83.663837569783212</v>
      </c>
      <c r="T58" s="109">
        <f>+K58/$K$25*100</f>
        <v>48.747518419673305</v>
      </c>
    </row>
    <row r="59" spans="1:20" x14ac:dyDescent="0.2">
      <c r="A59" s="20"/>
      <c r="B59" s="32"/>
      <c r="C59" s="77" t="s">
        <v>103</v>
      </c>
      <c r="D59" s="104">
        <f>+'C6 Ejec. Nac 19-26'!D59+'C7 Ejec. Prop 19-26'!D59</f>
        <v>120.04924442281508</v>
      </c>
      <c r="E59" s="104">
        <f>+'C6 Ejec. Nac 19-26'!E59+'C7 Ejec. Prop 19-26'!E59</f>
        <v>371.02610794401136</v>
      </c>
      <c r="F59" s="104">
        <f>+'C6 Ejec. Nac 19-26'!F59+'C7 Ejec. Prop 19-26'!F59</f>
        <v>185.90317365905386</v>
      </c>
      <c r="G59" s="104">
        <f>+'C6 Ejec. Nac 19-26'!G59+'C7 Ejec. Prop 19-26'!G59</f>
        <v>129.76797130625135</v>
      </c>
      <c r="H59" s="104">
        <f>+'C6 Ejec. Nac 19-26'!H59+'C7 Ejec. Prop 19-26'!H59</f>
        <v>104.78636469303234</v>
      </c>
      <c r="I59" s="104">
        <f>+'C6 Ejec. Nac 19-26'!I59+'C7 Ejec. Prop 19-26'!I59</f>
        <v>126.19141988508886</v>
      </c>
      <c r="J59" s="104">
        <f>+'C6 Ejec. Nac 19-26'!J59+'C7 Ejec. Prop 19-26'!J59</f>
        <v>241.79459010318294</v>
      </c>
      <c r="K59" s="104">
        <f>105.544367121789*Deflactores!$AA$5</f>
        <v>105.54436712178899</v>
      </c>
      <c r="L59" s="6"/>
      <c r="M59" s="109">
        <f t="shared" si="15"/>
        <v>60.794391327100506</v>
      </c>
      <c r="N59" s="109">
        <f t="shared" si="16"/>
        <v>91.081179579682299</v>
      </c>
      <c r="O59" s="109">
        <f t="shared" si="17"/>
        <v>79.202590399289036</v>
      </c>
      <c r="P59" s="109">
        <f t="shared" si="18"/>
        <v>69.565773495565139</v>
      </c>
      <c r="Q59" s="109">
        <f t="shared" si="21"/>
        <v>59.613840996027697</v>
      </c>
      <c r="R59" s="109">
        <f>+I59/$I$26*100</f>
        <v>49.490000603946534</v>
      </c>
      <c r="S59" s="109">
        <f>+J59/$J$26*100</f>
        <v>39.608415930811489</v>
      </c>
      <c r="T59" s="109">
        <f>+K59/$K$26*100</f>
        <v>9.2103066192809955</v>
      </c>
    </row>
    <row r="60" spans="1:20" x14ac:dyDescent="0.2">
      <c r="A60" s="20"/>
      <c r="B60" s="34"/>
      <c r="C60" s="76" t="s">
        <v>44</v>
      </c>
      <c r="D60" s="103">
        <f t="shared" ref="D60:K60" si="22">+SUM(D61:D64)</f>
        <v>58198.606498844238</v>
      </c>
      <c r="E60" s="103">
        <f t="shared" si="22"/>
        <v>58624.604628410183</v>
      </c>
      <c r="F60" s="103">
        <f t="shared" si="22"/>
        <v>56890.793517029655</v>
      </c>
      <c r="G60" s="103">
        <f t="shared" si="22"/>
        <v>69437.24808834109</v>
      </c>
      <c r="H60" s="103">
        <f t="shared" si="22"/>
        <v>58862.799264669353</v>
      </c>
      <c r="I60" s="103">
        <f t="shared" si="22"/>
        <v>60700.793887407948</v>
      </c>
      <c r="J60" s="103">
        <f t="shared" si="22"/>
        <v>60473.639966004608</v>
      </c>
      <c r="K60" s="103">
        <f t="shared" si="22"/>
        <v>25970.824214114222</v>
      </c>
      <c r="L60" s="117"/>
      <c r="M60" s="119">
        <f t="shared" si="15"/>
        <v>99.903308989116042</v>
      </c>
      <c r="N60" s="119">
        <f t="shared" si="16"/>
        <v>99.38721989422335</v>
      </c>
      <c r="O60" s="119">
        <f t="shared" si="17"/>
        <v>86.823005256468193</v>
      </c>
      <c r="P60" s="119">
        <f t="shared" si="18"/>
        <v>98.979071115776904</v>
      </c>
      <c r="Q60" s="119">
        <f t="shared" si="21"/>
        <v>96.854024860672752</v>
      </c>
      <c r="R60" s="119">
        <f>+I60/$I$27*100</f>
        <v>95.479627446618153</v>
      </c>
      <c r="S60" s="119">
        <f>+J60/$J$27*100</f>
        <v>97.230117594529958</v>
      </c>
      <c r="T60" s="119">
        <f>+K60/$K$27*100</f>
        <v>41.858947009099658</v>
      </c>
    </row>
    <row r="61" spans="1:20" x14ac:dyDescent="0.2">
      <c r="A61" s="20"/>
      <c r="B61" s="32"/>
      <c r="C61" s="77" t="s">
        <v>98</v>
      </c>
      <c r="D61" s="104">
        <f>+'C6 Ejec. Nac 19-26'!D61+'C7 Ejec. Prop 19-26'!D61</f>
        <v>27810.607519905825</v>
      </c>
      <c r="E61" s="104">
        <f>+'C6 Ejec. Nac 19-26'!E61+'C7 Ejec. Prop 19-26'!E61</f>
        <v>24570.214031074993</v>
      </c>
      <c r="F61" s="104">
        <f>+'C6 Ejec. Nac 19-26'!F61+'C7 Ejec. Prop 19-26'!F61</f>
        <v>22216.898087266753</v>
      </c>
      <c r="G61" s="104">
        <f>+'C6 Ejec. Nac 19-26'!G61+'C7 Ejec. Prop 19-26'!G61</f>
        <v>33380.292395559656</v>
      </c>
      <c r="H61" s="104">
        <f>+'C6 Ejec. Nac 19-26'!H61+'C7 Ejec. Prop 19-26'!H61</f>
        <v>20046.252830671787</v>
      </c>
      <c r="I61" s="104">
        <f>+'C6 Ejec. Nac 19-26'!I61+'C7 Ejec. Prop 19-26'!I61</f>
        <v>13459.522977930497</v>
      </c>
      <c r="J61" s="104">
        <f>+'C6 Ejec. Nac 19-26'!J61+'C7 Ejec. Prop 19-26'!J61</f>
        <v>10843.946122181442</v>
      </c>
      <c r="K61" s="104">
        <f>549.53889310426*Deflactores!$AA$5</f>
        <v>549.53889310425996</v>
      </c>
      <c r="L61" s="6"/>
      <c r="M61" s="109">
        <f t="shared" si="15"/>
        <v>99.891241656671028</v>
      </c>
      <c r="N61" s="109">
        <f t="shared" si="16"/>
        <v>98.629961642662352</v>
      </c>
      <c r="O61" s="109">
        <f t="shared" si="17"/>
        <v>76.614889151609304</v>
      </c>
      <c r="P61" s="109">
        <f t="shared" si="18"/>
        <v>98.419926262060798</v>
      </c>
      <c r="Q61" s="109">
        <f t="shared" si="21"/>
        <v>97.958233185630732</v>
      </c>
      <c r="R61" s="109">
        <f>+I61/$I$28*100</f>
        <v>86.942815677852892</v>
      </c>
      <c r="S61" s="109">
        <f>+J61/$J$28*100</f>
        <v>98.698078978925636</v>
      </c>
      <c r="T61" s="109">
        <f>+K61/$K$28*100</f>
        <v>5.3132124662505973</v>
      </c>
    </row>
    <row r="62" spans="1:20" x14ac:dyDescent="0.2">
      <c r="A62" s="20"/>
      <c r="B62" s="32"/>
      <c r="C62" s="77" t="s">
        <v>61</v>
      </c>
      <c r="D62" s="104">
        <f>+'C6 Ejec. Nac 19-26'!D62+'C7 Ejec. Prop 19-26'!D62</f>
        <v>29381.889797301348</v>
      </c>
      <c r="E62" s="104">
        <f>+'C6 Ejec. Nac 19-26'!E62+'C7 Ejec. Prop 19-26'!E62</f>
        <v>32640.082685971793</v>
      </c>
      <c r="F62" s="104">
        <f>+'C6 Ejec. Nac 19-26'!F62+'C7 Ejec. Prop 19-26'!F62</f>
        <v>33234.827952621388</v>
      </c>
      <c r="G62" s="104">
        <f>+'C6 Ejec. Nac 19-26'!G62+'C7 Ejec. Prop 19-26'!G62</f>
        <v>34225.216940330021</v>
      </c>
      <c r="H62" s="104">
        <f>+'C6 Ejec. Nac 19-26'!H62+'C7 Ejec. Prop 19-26'!H62</f>
        <v>33884.084518351279</v>
      </c>
      <c r="I62" s="104">
        <f>+'C6 Ejec. Nac 19-26'!I62+'C7 Ejec. Prop 19-26'!I62</f>
        <v>45490.0390335786</v>
      </c>
      <c r="J62" s="104">
        <f>+'C6 Ejec. Nac 19-26'!J62+'C7 Ejec. Prop 19-26'!J62</f>
        <v>47447.069143371082</v>
      </c>
      <c r="K62" s="104">
        <f>25171.0634959308*Deflactores!$AA$5</f>
        <v>25171.063495930801</v>
      </c>
      <c r="L62" s="6"/>
      <c r="M62" s="109">
        <f t="shared" si="15"/>
        <v>99.947408675518034</v>
      </c>
      <c r="N62" s="109">
        <f t="shared" si="16"/>
        <v>99.953994750559431</v>
      </c>
      <c r="O62" s="109">
        <f t="shared" si="17"/>
        <v>95.211232895925647</v>
      </c>
      <c r="P62" s="109">
        <f t="shared" si="18"/>
        <v>99.679324468850211</v>
      </c>
      <c r="Q62" s="109">
        <f t="shared" si="21"/>
        <v>96.06826297899687</v>
      </c>
      <c r="R62" s="109">
        <f>+I62/$I$29*100</f>
        <v>98.508860107453842</v>
      </c>
      <c r="S62" s="109">
        <f>+J62/$J$29*100</f>
        <v>97.068866891860765</v>
      </c>
      <c r="T62" s="109">
        <f>+K62/$K$29*100</f>
        <v>51.603806801480964</v>
      </c>
    </row>
    <row r="63" spans="1:20" x14ac:dyDescent="0.2">
      <c r="A63" s="20"/>
      <c r="B63" s="32"/>
      <c r="C63" s="77" t="s">
        <v>103</v>
      </c>
      <c r="D63" s="104">
        <f>+'C6 Ejec. Nac 19-26'!D63+'C7 Ejec. Prop 19-26'!D63</f>
        <v>245.91991049160376</v>
      </c>
      <c r="E63" s="104">
        <f>+'C6 Ejec. Nac 19-26'!E63+'C7 Ejec. Prop 19-26'!E63</f>
        <v>233.67719373260812</v>
      </c>
      <c r="F63" s="104">
        <f>+'C6 Ejec. Nac 19-26'!F63+'C7 Ejec. Prop 19-26'!F63</f>
        <v>232.52367233138034</v>
      </c>
      <c r="G63" s="104">
        <f>+'C6 Ejec. Nac 19-26'!G63+'C7 Ejec. Prop 19-26'!G63</f>
        <v>231.88137108596953</v>
      </c>
      <c r="H63" s="104">
        <f>+'C6 Ejec. Nac 19-26'!H63+'C7 Ejec. Prop 19-26'!H63</f>
        <v>237.92927238319595</v>
      </c>
      <c r="I63" s="104">
        <f>+'C6 Ejec. Nac 19-26'!I63+'C7 Ejec. Prop 19-26'!I63</f>
        <v>164.42856091676342</v>
      </c>
      <c r="J63" s="104">
        <f>+'C6 Ejec. Nac 19-26'!J63+'C7 Ejec. Prop 19-26'!J63</f>
        <v>164.91542047689643</v>
      </c>
      <c r="K63" s="104">
        <f>44.78317164316*Deflactores!$AA$5</f>
        <v>44.783171643160003</v>
      </c>
      <c r="L63" s="6"/>
      <c r="M63" s="109">
        <f t="shared" si="15"/>
        <v>97.898106351678791</v>
      </c>
      <c r="N63" s="109">
        <f t="shared" si="16"/>
        <v>97.849973651726913</v>
      </c>
      <c r="O63" s="109">
        <f t="shared" si="17"/>
        <v>56.176440462735535</v>
      </c>
      <c r="P63" s="109">
        <f t="shared" si="18"/>
        <v>76.758409079206785</v>
      </c>
      <c r="Q63" s="109">
        <f t="shared" si="21"/>
        <v>68.904803532376818</v>
      </c>
      <c r="R63" s="109">
        <f>+I63/$I$30*100</f>
        <v>50.087750210487926</v>
      </c>
      <c r="S63" s="109">
        <f>+J63/$J$30*100</f>
        <v>52.872958163011518</v>
      </c>
      <c r="T63" s="109">
        <f>+K63/$K$30*100</f>
        <v>17.362618491365915</v>
      </c>
    </row>
    <row r="64" spans="1:20" x14ac:dyDescent="0.2">
      <c r="A64" s="20"/>
      <c r="B64" s="32"/>
      <c r="C64" s="77" t="s">
        <v>104</v>
      </c>
      <c r="D64" s="104">
        <f>+'C6 Ejec. Nac 19-26'!D64+'C7 Ejec. Prop 19-26'!D64</f>
        <v>760.1892711454575</v>
      </c>
      <c r="E64" s="104">
        <f>+'C6 Ejec. Nac 19-26'!E64+'C7 Ejec. Prop 19-26'!E64</f>
        <v>1180.6307176307917</v>
      </c>
      <c r="F64" s="104">
        <f>+'C6 Ejec. Nac 19-26'!F64+'C7 Ejec. Prop 19-26'!F64</f>
        <v>1206.5438048101337</v>
      </c>
      <c r="G64" s="104">
        <f>+'C6 Ejec. Nac 19-26'!G64+'C7 Ejec. Prop 19-26'!G64</f>
        <v>1599.8573813654318</v>
      </c>
      <c r="H64" s="104">
        <f>+'C6 Ejec. Nac 19-26'!H64+'C7 Ejec. Prop 19-26'!H64</f>
        <v>4694.5326432630909</v>
      </c>
      <c r="I64" s="104">
        <f>+'C6 Ejec. Nac 19-26'!I64+'C7 Ejec. Prop 19-26'!I64</f>
        <v>1586.803314982081</v>
      </c>
      <c r="J64" s="104">
        <f>+'C6 Ejec. Nac 19-26'!J64+'C7 Ejec. Prop 19-26'!J64</f>
        <v>2017.7092799751922</v>
      </c>
      <c r="K64" s="104">
        <f>205.438653436*Deflactores!$AA$5</f>
        <v>205.43865343600001</v>
      </c>
      <c r="L64" s="6"/>
      <c r="M64" s="109">
        <f t="shared" si="15"/>
        <v>99.306648069156793</v>
      </c>
      <c r="N64" s="109">
        <f t="shared" si="16"/>
        <v>100</v>
      </c>
      <c r="O64" s="109">
        <f t="shared" si="17"/>
        <v>100</v>
      </c>
      <c r="P64" s="109">
        <f t="shared" si="18"/>
        <v>99.999996592134877</v>
      </c>
      <c r="Q64" s="109">
        <f t="shared" si="21"/>
        <v>99.999977209527117</v>
      </c>
      <c r="R64" s="109">
        <f>+I64/$I$31*100</f>
        <v>100</v>
      </c>
      <c r="S64" s="109">
        <f>+J64/$J$31*100</f>
        <v>100</v>
      </c>
      <c r="T64" s="109">
        <f>+K64/$K$31*100</f>
        <v>7.707818419547305</v>
      </c>
    </row>
    <row r="65" spans="1:20" x14ac:dyDescent="0.2">
      <c r="A65" s="20"/>
      <c r="B65" s="34" t="s">
        <v>45</v>
      </c>
      <c r="C65" s="76" t="s">
        <v>46</v>
      </c>
      <c r="D65" s="103">
        <f>+'C6 Ejec. Nac 19-26'!D65+'C7 Ejec. Prop 19-26'!D65</f>
        <v>62700.584011127539</v>
      </c>
      <c r="E65" s="103">
        <f>+'C6 Ejec. Nac 19-26'!E65+'C7 Ejec. Prop 19-26'!E65</f>
        <v>64169.872123052948</v>
      </c>
      <c r="F65" s="103">
        <f>+'C6 Ejec. Nac 19-26'!F65+'C7 Ejec. Prop 19-26'!F65</f>
        <v>81670.15645029649</v>
      </c>
      <c r="G65" s="103">
        <f>+'C6 Ejec. Nac 19-26'!G65+'C7 Ejec. Prop 19-26'!G65</f>
        <v>84322.466416656214</v>
      </c>
      <c r="H65" s="103">
        <f>+'C6 Ejec. Nac 19-26'!H65+'C7 Ejec. Prop 19-26'!H65</f>
        <v>87741.874974560647</v>
      </c>
      <c r="I65" s="103">
        <f>+'C6 Ejec. Nac 19-26'!I65+'C7 Ejec. Prop 19-26'!I65</f>
        <v>97259.108117070122</v>
      </c>
      <c r="J65" s="103">
        <f>+'C6 Ejec. Nac 19-26'!J65+'C7 Ejec. Prop 19-26'!J65</f>
        <v>80482.546179204495</v>
      </c>
      <c r="K65" s="103">
        <f>48590.745202565*Deflactores!$AA$5</f>
        <v>48590.745202564998</v>
      </c>
      <c r="L65" s="117"/>
      <c r="M65" s="113">
        <f t="shared" si="15"/>
        <v>96.660002824946019</v>
      </c>
      <c r="N65" s="113">
        <f t="shared" si="16"/>
        <v>96.001758899529293</v>
      </c>
      <c r="O65" s="113">
        <f t="shared" si="17"/>
        <v>94.805680001135201</v>
      </c>
      <c r="P65" s="113">
        <f t="shared" si="18"/>
        <v>94.661194317059312</v>
      </c>
      <c r="Q65" s="113">
        <f t="shared" si="21"/>
        <v>90.001773948783793</v>
      </c>
      <c r="R65" s="113">
        <f>+I65/$I$32*100</f>
        <v>96.537932715839318</v>
      </c>
      <c r="S65" s="113">
        <f>+J65/$J$32*100</f>
        <v>97.376960153813201</v>
      </c>
      <c r="T65" s="113">
        <f>+K65/$K$32*100</f>
        <v>54.316693068414338</v>
      </c>
    </row>
    <row r="66" spans="1:20" x14ac:dyDescent="0.2">
      <c r="A66" s="21"/>
      <c r="B66" s="36" t="s">
        <v>47</v>
      </c>
      <c r="C66" s="78" t="s">
        <v>48</v>
      </c>
      <c r="D66" s="105">
        <f t="shared" ref="D66:K66" si="23">+D47+D65</f>
        <v>303873.93831784168</v>
      </c>
      <c r="E66" s="105">
        <f t="shared" si="23"/>
        <v>355020.72876319528</v>
      </c>
      <c r="F66" s="105">
        <f t="shared" si="23"/>
        <v>381960.74226459302</v>
      </c>
      <c r="G66" s="105">
        <f t="shared" si="23"/>
        <v>344300.95431764709</v>
      </c>
      <c r="H66" s="105">
        <f t="shared" si="23"/>
        <v>386475.49438136246</v>
      </c>
      <c r="I66" s="105">
        <f t="shared" si="23"/>
        <v>406853.73929515138</v>
      </c>
      <c r="J66" s="105">
        <f t="shared" si="23"/>
        <v>414226.78435711667</v>
      </c>
      <c r="K66" s="105">
        <f t="shared" si="23"/>
        <v>175083.07036897651</v>
      </c>
      <c r="L66" s="117"/>
      <c r="M66" s="112">
        <f t="shared" si="15"/>
        <v>98.653732946933602</v>
      </c>
      <c r="N66" s="112">
        <f t="shared" si="16"/>
        <v>90.938302753094405</v>
      </c>
      <c r="O66" s="112">
        <f t="shared" si="17"/>
        <v>96.592229970655225</v>
      </c>
      <c r="P66" s="112">
        <f t="shared" si="18"/>
        <v>95.849976232276362</v>
      </c>
      <c r="Q66" s="112">
        <f t="shared" si="21"/>
        <v>95.852678171485067</v>
      </c>
      <c r="R66" s="112">
        <f>+I66/$I$33*100</f>
        <v>96.092761196055179</v>
      </c>
      <c r="S66" s="112">
        <f>+J66/$J$33*100</f>
        <v>98.402750381978748</v>
      </c>
      <c r="T66" s="112">
        <f>+K66/$K$33*100</f>
        <v>38.458711602019044</v>
      </c>
    </row>
    <row r="67" spans="1:20" x14ac:dyDescent="0.2">
      <c r="A67" s="20"/>
      <c r="B67" s="38" t="s">
        <v>49</v>
      </c>
      <c r="C67" s="79" t="s">
        <v>63</v>
      </c>
      <c r="D67" s="106">
        <f t="shared" ref="D67:K67" si="24">+D47+D55+D65</f>
        <v>383951.94468866428</v>
      </c>
      <c r="E67" s="106">
        <f t="shared" si="24"/>
        <v>436325.31807635131</v>
      </c>
      <c r="F67" s="106">
        <f t="shared" si="24"/>
        <v>468218.90551041509</v>
      </c>
      <c r="G67" s="106">
        <f t="shared" si="24"/>
        <v>434832.77671339369</v>
      </c>
      <c r="H67" s="106">
        <f t="shared" si="24"/>
        <v>474514.07134983205</v>
      </c>
      <c r="I67" s="106">
        <f t="shared" si="24"/>
        <v>507574.15867121809</v>
      </c>
      <c r="J67" s="106">
        <f t="shared" si="24"/>
        <v>525369.64066043601</v>
      </c>
      <c r="K67" s="106">
        <f t="shared" si="24"/>
        <v>219752.91261367733</v>
      </c>
      <c r="L67" s="117"/>
      <c r="M67" s="107">
        <f t="shared" si="15"/>
        <v>98.798885502227634</v>
      </c>
      <c r="N67" s="107">
        <f t="shared" si="16"/>
        <v>92.386316132170847</v>
      </c>
      <c r="O67" s="107">
        <f t="shared" si="17"/>
        <v>94.130901594888982</v>
      </c>
      <c r="P67" s="107">
        <f t="shared" si="18"/>
        <v>96.453652477834595</v>
      </c>
      <c r="Q67" s="107">
        <f t="shared" si="21"/>
        <v>95.856848026020998</v>
      </c>
      <c r="R67" s="107">
        <f>+I67/$I$34*100</f>
        <v>96.058107775942361</v>
      </c>
      <c r="S67" s="107">
        <f>+J67/$J$34*100</f>
        <v>97.275056068376358</v>
      </c>
      <c r="T67" s="107">
        <f>+K67/$K$34*100</f>
        <v>39.545302888580601</v>
      </c>
    </row>
    <row r="68" spans="1:20" s="5" customFormat="1" x14ac:dyDescent="0.2">
      <c r="A68" s="32"/>
      <c r="B68" s="72" t="str">
        <f>+'C1 Aprop Resumen 2000-2026'!B20</f>
        <v>* Información con corte a 30 de abril</v>
      </c>
      <c r="C68" s="68"/>
      <c r="D68" s="108"/>
      <c r="E68" s="108"/>
      <c r="F68" s="108"/>
      <c r="G68" s="108"/>
      <c r="H68" s="108"/>
      <c r="I68" s="108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</row>
    <row r="74" spans="1:20" ht="18" customHeight="1" x14ac:dyDescent="0.2">
      <c r="C74" s="131"/>
      <c r="D74" s="155" t="s">
        <v>105</v>
      </c>
      <c r="E74" s="156"/>
      <c r="F74" s="156"/>
      <c r="G74" s="156"/>
      <c r="H74" s="156"/>
      <c r="I74" s="156"/>
      <c r="J74" s="156"/>
      <c r="K74" s="169"/>
      <c r="L74" s="169"/>
      <c r="M74" s="170"/>
      <c r="N74" s="170"/>
      <c r="O74" s="170"/>
      <c r="P74" s="170"/>
      <c r="Q74" s="170"/>
      <c r="R74" s="170"/>
      <c r="S74" s="170"/>
      <c r="T74" s="156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72"/>
      <c r="N75" s="170"/>
      <c r="O75" s="170"/>
      <c r="P75" s="170"/>
      <c r="Q75" s="170"/>
      <c r="R75" s="170"/>
      <c r="S75" s="170"/>
    </row>
    <row r="76" spans="1:20" ht="12" customHeight="1" thickBot="1" x14ac:dyDescent="0.3">
      <c r="B76" s="92"/>
      <c r="C76" s="92"/>
      <c r="D76" s="167"/>
      <c r="E76" s="154"/>
      <c r="F76" s="154"/>
      <c r="G76" s="154"/>
      <c r="H76" s="154"/>
      <c r="I76" s="154"/>
      <c r="J76" s="154"/>
      <c r="K76" s="154"/>
      <c r="M76" s="167" t="s">
        <v>106</v>
      </c>
      <c r="N76" s="154"/>
      <c r="O76" s="154"/>
      <c r="P76" s="154"/>
      <c r="Q76" s="154"/>
      <c r="R76" s="154"/>
      <c r="S76" s="154"/>
      <c r="T76" s="154"/>
    </row>
    <row r="77" spans="1:20" x14ac:dyDescent="0.2">
      <c r="B77" s="49"/>
      <c r="C77" s="171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10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10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25">+SUM(D80:D86)</f>
        <v>229289.9535051109</v>
      </c>
      <c r="E79" s="41">
        <f t="shared" si="25"/>
        <v>272977.93236900837</v>
      </c>
      <c r="F79" s="41">
        <f t="shared" si="25"/>
        <v>288972.33257119218</v>
      </c>
      <c r="G79" s="41">
        <f t="shared" si="25"/>
        <v>240465.7307784681</v>
      </c>
      <c r="H79" s="41">
        <f t="shared" si="25"/>
        <v>276266.67542920035</v>
      </c>
      <c r="I79" s="41">
        <f t="shared" si="25"/>
        <v>289489.9889284934</v>
      </c>
      <c r="J79" s="41">
        <f t="shared" si="25"/>
        <v>310841.95497375465</v>
      </c>
      <c r="K79" s="41">
        <f t="shared" si="25"/>
        <v>92761.171285987642</v>
      </c>
      <c r="L79" s="71"/>
      <c r="M79" s="46">
        <f>+D79/$D$14*100</f>
        <v>94.298409362867403</v>
      </c>
      <c r="N79" s="46">
        <f>+E79/$E$14*100</f>
        <v>84.368334150482028</v>
      </c>
      <c r="O79" s="46">
        <f>+F79/$F$14*100</f>
        <v>93.430412339415454</v>
      </c>
      <c r="P79" s="46">
        <f>+G79/$G$14*100</f>
        <v>89.018520366539448</v>
      </c>
      <c r="Q79" s="46">
        <f>+H79/$H$14*100</f>
        <v>90.36936255080667</v>
      </c>
      <c r="R79" s="46">
        <f>+I79/$I$14*100</f>
        <v>89.722654158755901</v>
      </c>
      <c r="S79" s="46">
        <f>+J79/$J$14*100</f>
        <v>91.88354606446515</v>
      </c>
      <c r="T79" s="46">
        <f>+K79/$K$14*100</f>
        <v>25.359047649491838</v>
      </c>
    </row>
    <row r="80" spans="1:20" x14ac:dyDescent="0.2">
      <c r="B80" s="40"/>
      <c r="C80" s="77" t="s">
        <v>92</v>
      </c>
      <c r="D80" s="42">
        <f>+'C6 Ejec. Nac 19-26'!D80+'C7 Ejec. Prop 19-26'!D80</f>
        <v>47659.4615482101</v>
      </c>
      <c r="E80" s="42">
        <f>+'C6 Ejec. Nac 19-26'!E80+'C7 Ejec. Prop 19-26'!E80</f>
        <v>48681.708266771217</v>
      </c>
      <c r="F80" s="42">
        <f>+'C6 Ejec. Nac 19-26'!F80+'C7 Ejec. Prop 19-26'!F80</f>
        <v>48924.018721685847</v>
      </c>
      <c r="G80" s="42">
        <f>+'C6 Ejec. Nac 19-26'!G80+'C7 Ejec. Prop 19-26'!G80</f>
        <v>47854.320076670447</v>
      </c>
      <c r="H80" s="42">
        <f>+'C6 Ejec. Nac 19-26'!H80+'C7 Ejec. Prop 19-26'!H80</f>
        <v>50698.877069518574</v>
      </c>
      <c r="I80" s="42">
        <f>+'C6 Ejec. Nac 19-26'!I80+'C7 Ejec. Prop 19-26'!I80</f>
        <v>55079.788301505774</v>
      </c>
      <c r="J80" s="42">
        <f>+'C6 Ejec. Nac 19-26'!J80+'C7 Ejec. Prop 19-26'!J80</f>
        <v>58853.994199967005</v>
      </c>
      <c r="K80" s="42">
        <f>17567.3897806619*Deflactores!$AA$5</f>
        <v>17567.389780661899</v>
      </c>
      <c r="M80" s="47">
        <f t="shared" ref="M80:M99" si="26">+D80/D15*100</f>
        <v>98.122125776981889</v>
      </c>
      <c r="N80" s="47">
        <f t="shared" ref="N80:N99" si="27">+E80/E15*100</f>
        <v>96.478425061936377</v>
      </c>
      <c r="O80" s="47">
        <f t="shared" ref="O80:O99" si="28">+F80/F15*100</f>
        <v>96.246207277547427</v>
      </c>
      <c r="P80" s="47">
        <f t="shared" ref="P80:P99" si="29">+G80/G15*100</f>
        <v>96.833878070547414</v>
      </c>
      <c r="Q80" s="47">
        <f t="shared" ref="Q80:Q99" si="30">+H80/H15*100</f>
        <v>95.450611468604166</v>
      </c>
      <c r="R80" s="47">
        <f t="shared" ref="R80:R99" si="31">+I80/I15*100</f>
        <v>96.944864697667512</v>
      </c>
      <c r="S80" s="47">
        <f t="shared" ref="S80:S99" si="32">+J80/J15*100</f>
        <v>96.878333756575344</v>
      </c>
      <c r="T80" s="47">
        <f t="shared" ref="T80:T99" si="33">+K80/K15*100</f>
        <v>26.339005842655382</v>
      </c>
    </row>
    <row r="81" spans="2:20" x14ac:dyDescent="0.2">
      <c r="B81" s="40"/>
      <c r="C81" s="77" t="s">
        <v>93</v>
      </c>
      <c r="D81" s="42">
        <f>+'C6 Ejec. Nac 19-26'!D81+'C7 Ejec. Prop 19-26'!D81</f>
        <v>13391.295679931629</v>
      </c>
      <c r="E81" s="42">
        <f>+'C6 Ejec. Nac 19-26'!E81+'C7 Ejec. Prop 19-26'!E81</f>
        <v>12950.064939822791</v>
      </c>
      <c r="F81" s="42">
        <f>+'C6 Ejec. Nac 19-26'!F81+'C7 Ejec. Prop 19-26'!F81</f>
        <v>13905.59121932535</v>
      </c>
      <c r="G81" s="42">
        <f>+'C6 Ejec. Nac 19-26'!G81+'C7 Ejec. Prop 19-26'!G81</f>
        <v>15025.433598997775</v>
      </c>
      <c r="H81" s="42">
        <f>+'C6 Ejec. Nac 19-26'!H81+'C7 Ejec. Prop 19-26'!H81</f>
        <v>14683.673912412965</v>
      </c>
      <c r="I81" s="42">
        <f>+'C6 Ejec. Nac 19-26'!I81+'C7 Ejec. Prop 19-26'!I81</f>
        <v>13641.678429784341</v>
      </c>
      <c r="J81" s="42">
        <f>+'C6 Ejec. Nac 19-26'!J81+'C7 Ejec. Prop 19-26'!J81</f>
        <v>16175.188294573773</v>
      </c>
      <c r="K81" s="42">
        <f>3732.63102603482*Deflactores!$AA$5</f>
        <v>3732.63102603482</v>
      </c>
      <c r="L81" s="42"/>
      <c r="M81" s="47">
        <f t="shared" si="26"/>
        <v>88.839633778884675</v>
      </c>
      <c r="N81" s="47">
        <f t="shared" si="27"/>
        <v>86.515730262795827</v>
      </c>
      <c r="O81" s="47">
        <f t="shared" si="28"/>
        <v>87.983947605791172</v>
      </c>
      <c r="P81" s="47">
        <f t="shared" si="29"/>
        <v>87.105215789373773</v>
      </c>
      <c r="Q81" s="47">
        <f t="shared" si="30"/>
        <v>78.753612953003042</v>
      </c>
      <c r="R81" s="47">
        <f t="shared" si="31"/>
        <v>72.124737138338716</v>
      </c>
      <c r="S81" s="47">
        <f t="shared" si="32"/>
        <v>75.531641477116182</v>
      </c>
      <c r="T81" s="47">
        <f t="shared" si="33"/>
        <v>19.902453445132597</v>
      </c>
    </row>
    <row r="82" spans="2:20" x14ac:dyDescent="0.2">
      <c r="B82" s="40"/>
      <c r="C82" s="77" t="s">
        <v>58</v>
      </c>
      <c r="D82" s="42">
        <f>+'C6 Ejec. Nac 19-26'!D82+'C7 Ejec. Prop 19-26'!D82</f>
        <v>164464.57165835385</v>
      </c>
      <c r="E82" s="42">
        <f>+'C6 Ejec. Nac 19-26'!E82+'C7 Ejec. Prop 19-26'!E82</f>
        <v>207456.43368299643</v>
      </c>
      <c r="F82" s="42">
        <f>+'C6 Ejec. Nac 19-26'!F82+'C7 Ejec. Prop 19-26'!F82</f>
        <v>220827.60385797848</v>
      </c>
      <c r="G82" s="42">
        <f>+'C6 Ejec. Nac 19-26'!G82+'C7 Ejec. Prop 19-26'!G82</f>
        <v>173080.49305116813</v>
      </c>
      <c r="H82" s="42">
        <f>+'C6 Ejec. Nac 19-26'!H82+'C7 Ejec. Prop 19-26'!H82</f>
        <v>206619.67044150466</v>
      </c>
      <c r="I82" s="42">
        <f>+'C6 Ejec. Nac 19-26'!I82+'C7 Ejec. Prop 19-26'!I82</f>
        <v>216440.22159980226</v>
      </c>
      <c r="J82" s="42">
        <f>+'C6 Ejec. Nac 19-26'!J82+'C7 Ejec. Prop 19-26'!J82</f>
        <v>231581.02923368101</v>
      </c>
      <c r="K82" s="42">
        <f>70724.2459794194*Deflactores!$AA$5</f>
        <v>70724.2459794194</v>
      </c>
      <c r="L82" s="42"/>
      <c r="M82" s="47">
        <f t="shared" si="26"/>
        <v>93.733928864469874</v>
      </c>
      <c r="N82" s="47">
        <f t="shared" si="27"/>
        <v>81.713350432628502</v>
      </c>
      <c r="O82" s="47">
        <f t="shared" si="28"/>
        <v>93.437989174544271</v>
      </c>
      <c r="P82" s="47">
        <f t="shared" si="29"/>
        <v>87.267757709062721</v>
      </c>
      <c r="Q82" s="47">
        <f t="shared" si="30"/>
        <v>90.239616921294214</v>
      </c>
      <c r="R82" s="47">
        <f t="shared" si="31"/>
        <v>89.411268701886598</v>
      </c>
      <c r="S82" s="47">
        <f t="shared" si="32"/>
        <v>92.086691515831447</v>
      </c>
      <c r="T82" s="47">
        <f t="shared" si="33"/>
        <v>25.645865810669953</v>
      </c>
    </row>
    <row r="83" spans="2:20" x14ac:dyDescent="0.2">
      <c r="B83" s="40"/>
      <c r="C83" s="77" t="s">
        <v>94</v>
      </c>
      <c r="D83" s="42">
        <f>+'C6 Ejec. Nac 19-26'!D83+'C7 Ejec. Prop 19-26'!D83</f>
        <v>2069.0809971912508</v>
      </c>
      <c r="E83" s="42">
        <f>+'C6 Ejec. Nac 19-26'!E83+'C7 Ejec. Prop 19-26'!E83</f>
        <v>1820.6828702048429</v>
      </c>
      <c r="F83" s="42">
        <f>+'C6 Ejec. Nac 19-26'!F83+'C7 Ejec. Prop 19-26'!F83</f>
        <v>1980.9190366420696</v>
      </c>
      <c r="G83" s="42">
        <f>+'C6 Ejec. Nac 19-26'!G83+'C7 Ejec. Prop 19-26'!G83</f>
        <v>1991.1004650829157</v>
      </c>
      <c r="H83" s="42">
        <f>+'C6 Ejec. Nac 19-26'!H83+'C7 Ejec. Prop 19-26'!H83</f>
        <v>1842.4680664815123</v>
      </c>
      <c r="I83" s="42">
        <f>+'C6 Ejec. Nac 19-26'!I83+'C7 Ejec. Prop 19-26'!I83</f>
        <v>2014.9247322116198</v>
      </c>
      <c r="J83" s="42">
        <f>+'C6 Ejec. Nac 19-26'!J83+'C7 Ejec. Prop 19-26'!J83</f>
        <v>1937.2338474614764</v>
      </c>
      <c r="K83" s="42">
        <f>402.53981989371*Deflactores!$AA$5</f>
        <v>402.53981989370999</v>
      </c>
      <c r="L83" s="42"/>
      <c r="M83" s="47">
        <f t="shared" si="26"/>
        <v>92.001455778051849</v>
      </c>
      <c r="N83" s="47">
        <f t="shared" si="27"/>
        <v>88.41840249088628</v>
      </c>
      <c r="O83" s="47">
        <f t="shared" si="28"/>
        <v>75.836545455941916</v>
      </c>
      <c r="P83" s="47">
        <f t="shared" si="29"/>
        <v>82.296739330906945</v>
      </c>
      <c r="Q83" s="47">
        <f t="shared" si="30"/>
        <v>84.040286240342382</v>
      </c>
      <c r="R83" s="47">
        <f t="shared" si="31"/>
        <v>86.881058478362277</v>
      </c>
      <c r="S83" s="47">
        <f t="shared" si="32"/>
        <v>90.365841278888723</v>
      </c>
      <c r="T83" s="47">
        <f t="shared" si="33"/>
        <v>19.105622776434529</v>
      </c>
    </row>
    <row r="84" spans="2:20" x14ac:dyDescent="0.2">
      <c r="B84" s="40"/>
      <c r="C84" s="77" t="s">
        <v>95</v>
      </c>
      <c r="D84" s="42">
        <f>+'C6 Ejec. Nac 19-26'!D84+'C7 Ejec. Prop 19-26'!D84</f>
        <v>568.54505937289298</v>
      </c>
      <c r="E84" s="42">
        <f>+'C6 Ejec. Nac 19-26'!E84+'C7 Ejec. Prop 19-26'!E84</f>
        <v>631.23093166568071</v>
      </c>
      <c r="F84" s="42">
        <f>+'C6 Ejec. Nac 19-26'!F84+'C7 Ejec. Prop 19-26'!F84</f>
        <v>708.47638837283398</v>
      </c>
      <c r="G84" s="42">
        <f>+'C6 Ejec. Nac 19-26'!G84+'C7 Ejec. Prop 19-26'!G84</f>
        <v>809.5944280440599</v>
      </c>
      <c r="H84" s="42">
        <f>+'C6 Ejec. Nac 19-26'!H84+'C7 Ejec. Prop 19-26'!H84</f>
        <v>782.69869656069397</v>
      </c>
      <c r="I84" s="42">
        <f>+'C6 Ejec. Nac 19-26'!I84+'C7 Ejec. Prop 19-26'!I84</f>
        <v>707.85219462469854</v>
      </c>
      <c r="J84" s="42">
        <f>+'C6 Ejec. Nac 19-26'!J84+'C7 Ejec. Prop 19-26'!J84</f>
        <v>715.93021750732669</v>
      </c>
      <c r="K84" s="42">
        <f>27.09835654438*Deflactores!$AA$5</f>
        <v>27.09835654438</v>
      </c>
      <c r="L84" s="42"/>
      <c r="M84" s="47">
        <f t="shared" si="26"/>
        <v>98.577336097426951</v>
      </c>
      <c r="N84" s="47">
        <f t="shared" si="27"/>
        <v>97.675903660671366</v>
      </c>
      <c r="O84" s="47">
        <f t="shared" si="28"/>
        <v>84.57185442583804</v>
      </c>
      <c r="P84" s="47">
        <f t="shared" si="29"/>
        <v>98.687562427409418</v>
      </c>
      <c r="Q84" s="47">
        <f t="shared" si="30"/>
        <v>87.749426311540759</v>
      </c>
      <c r="R84" s="47">
        <f t="shared" si="31"/>
        <v>98.560316995935779</v>
      </c>
      <c r="S84" s="47">
        <f t="shared" si="32"/>
        <v>95.265743531590019</v>
      </c>
      <c r="T84" s="47">
        <f t="shared" si="33"/>
        <v>3.5677175920993198</v>
      </c>
    </row>
    <row r="85" spans="2:20" x14ac:dyDescent="0.2">
      <c r="B85" s="40"/>
      <c r="C85" s="77" t="s">
        <v>96</v>
      </c>
      <c r="D85" s="42">
        <f>+'C6 Ejec. Nac 19-26'!D85+'C7 Ejec. Prop 19-26'!D85</f>
        <v>388.02438587153841</v>
      </c>
      <c r="E85" s="42">
        <f>+'C6 Ejec. Nac 19-26'!E85+'C7 Ejec. Prop 19-26'!E85</f>
        <v>356.08668062561514</v>
      </c>
      <c r="F85" s="42">
        <f>+'C6 Ejec. Nac 19-26'!F85+'C7 Ejec. Prop 19-26'!F85</f>
        <v>618.79099137725939</v>
      </c>
      <c r="G85" s="42">
        <f>+'C6 Ejec. Nac 19-26'!G85+'C7 Ejec. Prop 19-26'!G85</f>
        <v>454.64156367794487</v>
      </c>
      <c r="H85" s="42">
        <f>+'C6 Ejec. Nac 19-26'!H85+'C7 Ejec. Prop 19-26'!H85</f>
        <v>517.59697907649013</v>
      </c>
      <c r="I85" s="42">
        <f>+'C6 Ejec. Nac 19-26'!I85+'C7 Ejec. Prop 19-26'!I85</f>
        <v>372.06397719468333</v>
      </c>
      <c r="J85" s="42">
        <f>+'C6 Ejec. Nac 19-26'!J85+'C7 Ejec. Prop 19-26'!J85</f>
        <v>312.04278653553536</v>
      </c>
      <c r="K85" s="42">
        <f>102.58752377911*Deflactores!$AA$5</f>
        <v>102.58752377911</v>
      </c>
      <c r="L85" s="42"/>
      <c r="M85" s="47">
        <f t="shared" si="26"/>
        <v>91.640702978990234</v>
      </c>
      <c r="N85" s="47">
        <f t="shared" si="27"/>
        <v>81.8466866007752</v>
      </c>
      <c r="O85" s="47">
        <f t="shared" si="28"/>
        <v>91.077574746520867</v>
      </c>
      <c r="P85" s="47">
        <f t="shared" si="29"/>
        <v>85.361005989737009</v>
      </c>
      <c r="Q85" s="47">
        <f t="shared" si="30"/>
        <v>90.11474325736711</v>
      </c>
      <c r="R85" s="47">
        <f t="shared" si="31"/>
        <v>94.387976861208926</v>
      </c>
      <c r="S85" s="47">
        <f t="shared" si="32"/>
        <v>85.474022177930962</v>
      </c>
      <c r="T85" s="47">
        <f t="shared" si="33"/>
        <v>27.548652333064954</v>
      </c>
    </row>
    <row r="86" spans="2:20" x14ac:dyDescent="0.2">
      <c r="B86" s="40"/>
      <c r="C86" s="77" t="s">
        <v>97</v>
      </c>
      <c r="D86" s="42">
        <f>+'C6 Ejec. Nac 19-26'!D86+'C7 Ejec. Prop 19-26'!D86</f>
        <v>748.97417617962537</v>
      </c>
      <c r="E86" s="42">
        <f>+'C6 Ejec. Nac 19-26'!E86+'C7 Ejec. Prop 19-26'!E86</f>
        <v>1081.724996921786</v>
      </c>
      <c r="F86" s="42">
        <f>+'C6 Ejec. Nac 19-26'!F86+'C7 Ejec. Prop 19-26'!F86</f>
        <v>2006.9323558103788</v>
      </c>
      <c r="G86" s="42">
        <f>+'C6 Ejec. Nac 19-26'!G86+'C7 Ejec. Prop 19-26'!G86</f>
        <v>1250.1475948268251</v>
      </c>
      <c r="H86" s="42">
        <f>+'C6 Ejec. Nac 19-26'!H86+'C7 Ejec. Prop 19-26'!H86</f>
        <v>1121.6902636454354</v>
      </c>
      <c r="I86" s="42">
        <f>+'C6 Ejec. Nac 19-26'!I86+'C7 Ejec. Prop 19-26'!I86</f>
        <v>1233.4596933700395</v>
      </c>
      <c r="J86" s="42">
        <f>+'C6 Ejec. Nac 19-26'!J86+'C7 Ejec. Prop 19-26'!J86</f>
        <v>1266.5363940285031</v>
      </c>
      <c r="K86" s="42">
        <f>204.67879965434*Deflactores!$AA$5</f>
        <v>204.67879965434</v>
      </c>
      <c r="L86" s="42"/>
      <c r="M86" s="47">
        <f t="shared" si="26"/>
        <v>93.580767059804458</v>
      </c>
      <c r="N86" s="47">
        <f t="shared" si="27"/>
        <v>97.962436908709378</v>
      </c>
      <c r="O86" s="47">
        <f t="shared" si="28"/>
        <v>91.66394316455208</v>
      </c>
      <c r="P86" s="47">
        <f t="shared" si="29"/>
        <v>92.181185517385572</v>
      </c>
      <c r="Q86" s="47">
        <f t="shared" si="30"/>
        <v>84.883611179010771</v>
      </c>
      <c r="R86" s="47">
        <f t="shared" si="31"/>
        <v>87.106184872277325</v>
      </c>
      <c r="S86" s="47">
        <f t="shared" si="32"/>
        <v>90.954955725209473</v>
      </c>
      <c r="T86" s="47">
        <f t="shared" si="33"/>
        <v>15.41246414988181</v>
      </c>
    </row>
    <row r="87" spans="2:20" x14ac:dyDescent="0.2">
      <c r="B87" s="34" t="s">
        <v>41</v>
      </c>
      <c r="C87" s="76" t="s">
        <v>42</v>
      </c>
      <c r="D87" s="41">
        <f t="shared" ref="D87:K87" si="34">+D88+D92</f>
        <v>80010.569780982682</v>
      </c>
      <c r="E87" s="41">
        <f t="shared" si="34"/>
        <v>69157.012353922051</v>
      </c>
      <c r="F87" s="41">
        <f t="shared" si="34"/>
        <v>78945.725727086741</v>
      </c>
      <c r="G87" s="41">
        <f t="shared" si="34"/>
        <v>87931.282393736445</v>
      </c>
      <c r="H87" s="41">
        <f t="shared" si="34"/>
        <v>87850.192539326672</v>
      </c>
      <c r="I87" s="41">
        <f t="shared" si="34"/>
        <v>92053.746570432151</v>
      </c>
      <c r="J87" s="41">
        <f t="shared" si="34"/>
        <v>110517.83576733066</v>
      </c>
      <c r="K87" s="41">
        <f t="shared" si="34"/>
        <v>36828.489021198417</v>
      </c>
      <c r="L87" s="71"/>
      <c r="M87" s="46">
        <f t="shared" si="26"/>
        <v>99.269937736835018</v>
      </c>
      <c r="N87" s="46">
        <f t="shared" si="27"/>
        <v>84.455094271737067</v>
      </c>
      <c r="O87" s="46">
        <f t="shared" si="28"/>
        <v>77.41580765591803</v>
      </c>
      <c r="P87" s="46">
        <f t="shared" si="29"/>
        <v>95.982006470083746</v>
      </c>
      <c r="Q87" s="46">
        <f t="shared" si="30"/>
        <v>95.670004226196525</v>
      </c>
      <c r="R87" s="46">
        <f t="shared" si="31"/>
        <v>87.664908838561445</v>
      </c>
      <c r="S87" s="46">
        <f t="shared" si="32"/>
        <v>92.765888849015838</v>
      </c>
      <c r="T87" s="46">
        <f t="shared" si="33"/>
        <v>36.663609663746186</v>
      </c>
    </row>
    <row r="88" spans="2:20" x14ac:dyDescent="0.2">
      <c r="B88" s="34"/>
      <c r="C88" s="76" t="s">
        <v>43</v>
      </c>
      <c r="D88" s="41">
        <f t="shared" ref="D88:K88" si="35">+SUM(D89:D91)</f>
        <v>21877.847078664723</v>
      </c>
      <c r="E88" s="41">
        <f t="shared" si="35"/>
        <v>22678.565384870246</v>
      </c>
      <c r="F88" s="41">
        <f t="shared" si="35"/>
        <v>29366.206946301561</v>
      </c>
      <c r="G88" s="41">
        <f t="shared" si="35"/>
        <v>19395.357103044596</v>
      </c>
      <c r="H88" s="41">
        <f t="shared" si="35"/>
        <v>29165.225816013233</v>
      </c>
      <c r="I88" s="41">
        <f t="shared" si="35"/>
        <v>35517.500851202385</v>
      </c>
      <c r="J88" s="41">
        <f t="shared" si="35"/>
        <v>50656.703181042772</v>
      </c>
      <c r="K88" s="41">
        <f t="shared" si="35"/>
        <v>11070.815596329328</v>
      </c>
      <c r="L88" s="71"/>
      <c r="M88" s="46">
        <f t="shared" si="26"/>
        <v>97.913486747181338</v>
      </c>
      <c r="N88" s="46">
        <f t="shared" si="27"/>
        <v>99.032710760723859</v>
      </c>
      <c r="O88" s="46">
        <f t="shared" si="28"/>
        <v>80.563045668736251</v>
      </c>
      <c r="P88" s="46">
        <f t="shared" si="29"/>
        <v>90.384198779224619</v>
      </c>
      <c r="Q88" s="46">
        <f t="shared" si="30"/>
        <v>93.925312356068375</v>
      </c>
      <c r="R88" s="46">
        <f t="shared" si="31"/>
        <v>85.72526681590476</v>
      </c>
      <c r="S88" s="46">
        <f t="shared" si="32"/>
        <v>88.965244172566955</v>
      </c>
      <c r="T88" s="46">
        <f t="shared" si="33"/>
        <v>28.825711151999428</v>
      </c>
    </row>
    <row r="89" spans="2:20" x14ac:dyDescent="0.2">
      <c r="B89" s="32"/>
      <c r="C89" s="77" t="s">
        <v>98</v>
      </c>
      <c r="D89" s="42">
        <f>+'C6 Ejec. Nac 19-26'!D89+'C7 Ejec. Prop 19-26'!D89</f>
        <v>12276.474407173177</v>
      </c>
      <c r="E89" s="42">
        <f>+'C6 Ejec. Nac 19-26'!E89+'C7 Ejec. Prop 19-26'!E89</f>
        <v>9758.0260679765033</v>
      </c>
      <c r="F89" s="42">
        <f>+'C6 Ejec. Nac 19-26'!F89+'C7 Ejec. Prop 19-26'!F89</f>
        <v>15686.191745536167</v>
      </c>
      <c r="G89" s="42">
        <f>+'C6 Ejec. Nac 19-26'!G89+'C7 Ejec. Prop 19-26'!G89</f>
        <v>5365.131055764924</v>
      </c>
      <c r="H89" s="42">
        <f>+'C6 Ejec. Nac 19-26'!H89+'C7 Ejec. Prop 19-26'!H89</f>
        <v>14704.303099272707</v>
      </c>
      <c r="I89" s="42">
        <f>+'C6 Ejec. Nac 19-26'!I89+'C7 Ejec. Prop 19-26'!I89</f>
        <v>18873.87707881509</v>
      </c>
      <c r="J89" s="42">
        <f>+'C6 Ejec. Nac 19-26'!J89+'C7 Ejec. Prop 19-26'!J89</f>
        <v>33804.532688269457</v>
      </c>
      <c r="K89" s="42">
        <f>6374.62825641556*Deflactores!$AA$5</f>
        <v>6374.6282564155599</v>
      </c>
      <c r="L89" s="42"/>
      <c r="M89" s="47">
        <f t="shared" si="26"/>
        <v>99.388399633902523</v>
      </c>
      <c r="N89" s="47">
        <f t="shared" si="27"/>
        <v>98.433201721859916</v>
      </c>
      <c r="O89" s="47">
        <f t="shared" si="28"/>
        <v>75.917390481882109</v>
      </c>
      <c r="P89" s="47">
        <f t="shared" si="29"/>
        <v>96.760553481122784</v>
      </c>
      <c r="Q89" s="47">
        <f t="shared" si="30"/>
        <v>95.285042047852386</v>
      </c>
      <c r="R89" s="47">
        <f t="shared" si="31"/>
        <v>87.000273850086657</v>
      </c>
      <c r="S89" s="47">
        <f t="shared" si="32"/>
        <v>92.71485698767107</v>
      </c>
      <c r="T89" s="47">
        <f t="shared" si="33"/>
        <v>36.905063678842772</v>
      </c>
    </row>
    <row r="90" spans="2:20" x14ac:dyDescent="0.2">
      <c r="B90" s="32"/>
      <c r="C90" s="77" t="s">
        <v>61</v>
      </c>
      <c r="D90" s="42">
        <f>+'C6 Ejec. Nac 19-26'!D90+'C7 Ejec. Prop 19-26'!D90</f>
        <v>9482.8762203824153</v>
      </c>
      <c r="E90" s="42">
        <f>+'C6 Ejec. Nac 19-26'!E90+'C7 Ejec. Prop 19-26'!E90</f>
        <v>12550.932508825306</v>
      </c>
      <c r="F90" s="42">
        <f>+'C6 Ejec. Nac 19-26'!F90+'C7 Ejec. Prop 19-26'!F90</f>
        <v>13495.274809597171</v>
      </c>
      <c r="G90" s="42">
        <f>+'C6 Ejec. Nac 19-26'!G90+'C7 Ejec. Prop 19-26'!G90</f>
        <v>13907.907431707454</v>
      </c>
      <c r="H90" s="42">
        <f>+'C6 Ejec. Nac 19-26'!H90+'C7 Ejec. Prop 19-26'!H90</f>
        <v>14366.688239834544</v>
      </c>
      <c r="I90" s="42">
        <f>+'C6 Ejec. Nac 19-26'!I90+'C7 Ejec. Prop 19-26'!I90</f>
        <v>16535.629432179197</v>
      </c>
      <c r="J90" s="42">
        <f>+'C6 Ejec. Nac 19-26'!J90+'C7 Ejec. Prop 19-26'!J90</f>
        <v>16622.889058942066</v>
      </c>
      <c r="K90" s="42">
        <f>4645.48202444979*Deflactores!$AA$5</f>
        <v>4645.4820244497896</v>
      </c>
      <c r="L90" s="42"/>
      <c r="M90" s="47">
        <f t="shared" si="26"/>
        <v>96.817670243193461</v>
      </c>
      <c r="N90" s="47">
        <f t="shared" si="27"/>
        <v>99.773939366644953</v>
      </c>
      <c r="O90" s="47">
        <f t="shared" si="28"/>
        <v>86.762291864065872</v>
      </c>
      <c r="P90" s="47">
        <f t="shared" si="29"/>
        <v>88.430494290039277</v>
      </c>
      <c r="Q90" s="47">
        <f t="shared" si="30"/>
        <v>93.025474680170845</v>
      </c>
      <c r="R90" s="47">
        <f t="shared" si="31"/>
        <v>84.873182322204229</v>
      </c>
      <c r="S90" s="47">
        <f t="shared" si="32"/>
        <v>83.663837569783212</v>
      </c>
      <c r="T90" s="47">
        <f t="shared" si="33"/>
        <v>23.242445202235697</v>
      </c>
    </row>
    <row r="91" spans="2:20" x14ac:dyDescent="0.2">
      <c r="B91" s="32"/>
      <c r="C91" s="77" t="s">
        <v>103</v>
      </c>
      <c r="D91" s="42">
        <f>+'C6 Ejec. Nac 19-26'!D91+'C7 Ejec. Prop 19-26'!D91</f>
        <v>118.4964511091306</v>
      </c>
      <c r="E91" s="42">
        <f>+'C6 Ejec. Nac 19-26'!E91+'C7 Ejec. Prop 19-26'!E91</f>
        <v>369.60680806843675</v>
      </c>
      <c r="F91" s="42">
        <f>+'C6 Ejec. Nac 19-26'!F91+'C7 Ejec. Prop 19-26'!F91</f>
        <v>184.74039116822485</v>
      </c>
      <c r="G91" s="42">
        <f>+'C6 Ejec. Nac 19-26'!G91+'C7 Ejec. Prop 19-26'!G91</f>
        <v>122.31861557221619</v>
      </c>
      <c r="H91" s="42">
        <f>+'C6 Ejec. Nac 19-26'!H91+'C7 Ejec. Prop 19-26'!H91</f>
        <v>94.234476905983016</v>
      </c>
      <c r="I91" s="42">
        <f>+'C6 Ejec. Nac 19-26'!I91+'C7 Ejec. Prop 19-26'!I91</f>
        <v>107.99434020809623</v>
      </c>
      <c r="J91" s="42">
        <f>+'C6 Ejec. Nac 19-26'!J91+'C7 Ejec. Prop 19-26'!J91</f>
        <v>229.28143383124626</v>
      </c>
      <c r="K91" s="42">
        <f>50.70531546398*Deflactores!$AA$5</f>
        <v>50.70531546398</v>
      </c>
      <c r="L91" s="42"/>
      <c r="M91" s="47">
        <f t="shared" si="26"/>
        <v>60.008037986718321</v>
      </c>
      <c r="N91" s="47">
        <f t="shared" si="27"/>
        <v>90.732763379105549</v>
      </c>
      <c r="O91" s="47">
        <f t="shared" si="28"/>
        <v>78.707196030640446</v>
      </c>
      <c r="P91" s="47">
        <f t="shared" si="29"/>
        <v>65.572336683188809</v>
      </c>
      <c r="Q91" s="47">
        <f t="shared" si="30"/>
        <v>53.610783607904452</v>
      </c>
      <c r="R91" s="47">
        <f t="shared" si="31"/>
        <v>42.353433910073846</v>
      </c>
      <c r="S91" s="47">
        <f t="shared" si="32"/>
        <v>37.558633518332343</v>
      </c>
      <c r="T91" s="47">
        <f t="shared" si="33"/>
        <v>4.4247885072988824</v>
      </c>
    </row>
    <row r="92" spans="2:20" x14ac:dyDescent="0.2">
      <c r="B92" s="34"/>
      <c r="C92" s="76" t="s">
        <v>44</v>
      </c>
      <c r="D92" s="41">
        <f t="shared" ref="D92:K92" si="36">+SUM(D93:D96)</f>
        <v>58132.722702317958</v>
      </c>
      <c r="E92" s="41">
        <f t="shared" si="36"/>
        <v>46478.446969051809</v>
      </c>
      <c r="F92" s="41">
        <f t="shared" si="36"/>
        <v>49579.518780785183</v>
      </c>
      <c r="G92" s="41">
        <f t="shared" si="36"/>
        <v>68535.925290691841</v>
      </c>
      <c r="H92" s="41">
        <f t="shared" si="36"/>
        <v>58684.966723313439</v>
      </c>
      <c r="I92" s="41">
        <f t="shared" si="36"/>
        <v>56536.245719229773</v>
      </c>
      <c r="J92" s="41">
        <f t="shared" si="36"/>
        <v>59861.132586287895</v>
      </c>
      <c r="K92" s="41">
        <f t="shared" si="36"/>
        <v>25757.673424869092</v>
      </c>
      <c r="L92" s="71"/>
      <c r="M92" s="46">
        <f t="shared" si="26"/>
        <v>99.790213338245565</v>
      </c>
      <c r="N92" s="46">
        <f t="shared" si="27"/>
        <v>78.795646615185049</v>
      </c>
      <c r="O92" s="46">
        <f t="shared" si="28"/>
        <v>75.665016316369829</v>
      </c>
      <c r="P92" s="46">
        <f t="shared" si="29"/>
        <v>97.694283833117083</v>
      </c>
      <c r="Q92" s="46">
        <f t="shared" si="30"/>
        <v>96.56141564743983</v>
      </c>
      <c r="R92" s="46">
        <f t="shared" si="31"/>
        <v>88.928979883116767</v>
      </c>
      <c r="S92" s="46">
        <f t="shared" si="32"/>
        <v>96.245322159843838</v>
      </c>
      <c r="T92" s="46">
        <f t="shared" si="33"/>
        <v>41.515397358214464</v>
      </c>
    </row>
    <row r="93" spans="2:20" x14ac:dyDescent="0.2">
      <c r="B93" s="32"/>
      <c r="C93" s="77" t="s">
        <v>98</v>
      </c>
      <c r="D93" s="42">
        <f>+'C6 Ejec. Nac 19-26'!D93+'C7 Ejec. Prop 19-26'!D93</f>
        <v>27800.649899694308</v>
      </c>
      <c r="E93" s="42">
        <f>+'C6 Ejec. Nac 19-26'!E93+'C7 Ejec. Prop 19-26'!E93</f>
        <v>13168.819295882715</v>
      </c>
      <c r="F93" s="42">
        <f>+'C6 Ejec. Nac 19-26'!F93+'C7 Ejec. Prop 19-26'!F93</f>
        <v>14976.729731237987</v>
      </c>
      <c r="G93" s="42">
        <f>+'C6 Ejec. Nac 19-26'!G93+'C7 Ejec. Prop 19-26'!G93</f>
        <v>32547.209161612125</v>
      </c>
      <c r="H93" s="42">
        <f>+'C6 Ejec. Nac 19-26'!H93+'C7 Ejec. Prop 19-26'!H93</f>
        <v>19946.255500744384</v>
      </c>
      <c r="I93" s="42">
        <f>+'C6 Ejec. Nac 19-26'!I93+'C7 Ejec. Prop 19-26'!I93</f>
        <v>9611.6760371112741</v>
      </c>
      <c r="J93" s="42">
        <f>+'C6 Ejec. Nac 19-26'!J93+'C7 Ejec. Prop 19-26'!J93</f>
        <v>10842.17136396334</v>
      </c>
      <c r="K93" s="42">
        <f>549.53889310426*Deflactores!$AA$5</f>
        <v>549.53889310425996</v>
      </c>
      <c r="L93" s="42"/>
      <c r="M93" s="47">
        <f t="shared" si="26"/>
        <v>99.85547548197809</v>
      </c>
      <c r="N93" s="47">
        <f t="shared" si="27"/>
        <v>52.862386155422399</v>
      </c>
      <c r="O93" s="47">
        <f t="shared" si="28"/>
        <v>51.647195918409793</v>
      </c>
      <c r="P93" s="47">
        <f t="shared" si="29"/>
        <v>95.963626913820761</v>
      </c>
      <c r="Q93" s="47">
        <f t="shared" si="30"/>
        <v>97.46958516518967</v>
      </c>
      <c r="R93" s="47">
        <f t="shared" si="31"/>
        <v>62.08735476138628</v>
      </c>
      <c r="S93" s="47">
        <f t="shared" si="32"/>
        <v>98.681925705495004</v>
      </c>
      <c r="T93" s="47">
        <f t="shared" si="33"/>
        <v>5.3132124662505973</v>
      </c>
    </row>
    <row r="94" spans="2:20" x14ac:dyDescent="0.2">
      <c r="B94" s="32"/>
      <c r="C94" s="77" t="s">
        <v>61</v>
      </c>
      <c r="D94" s="42">
        <f>+'C6 Ejec. Nac 19-26'!D94+'C7 Ejec. Prop 19-26'!D94</f>
        <v>29381.533093049136</v>
      </c>
      <c r="E94" s="42">
        <f>+'C6 Ejec. Nac 19-26'!E94+'C7 Ejec. Prop 19-26'!E94</f>
        <v>31961.028466523414</v>
      </c>
      <c r="F94" s="42">
        <f>+'C6 Ejec. Nac 19-26'!F94+'C7 Ejec. Prop 19-26'!F94</f>
        <v>33234.799031280985</v>
      </c>
      <c r="G94" s="42">
        <f>+'C6 Ejec. Nac 19-26'!G94+'C7 Ejec. Prop 19-26'!G94</f>
        <v>34225.188348786476</v>
      </c>
      <c r="H94" s="42">
        <f>+'C6 Ejec. Nac 19-26'!H94+'C7 Ejec. Prop 19-26'!H94</f>
        <v>33884.061122527892</v>
      </c>
      <c r="I94" s="42">
        <f>+'C6 Ejec. Nac 19-26'!I94+'C7 Ejec. Prop 19-26'!I94</f>
        <v>45243.784830764744</v>
      </c>
      <c r="J94" s="42">
        <f>+'C6 Ejec. Nac 19-26'!J94+'C7 Ejec. Prop 19-26'!J94</f>
        <v>47447.045802078828</v>
      </c>
      <c r="K94" s="42">
        <f>25171.0634959308*Deflactores!$AA$5</f>
        <v>25171.063495930801</v>
      </c>
      <c r="L94" s="42"/>
      <c r="M94" s="47">
        <f t="shared" si="26"/>
        <v>99.946195286388956</v>
      </c>
      <c r="N94" s="47">
        <f t="shared" si="27"/>
        <v>97.874521406723204</v>
      </c>
      <c r="O94" s="47">
        <f t="shared" si="28"/>
        <v>95.211150041984567</v>
      </c>
      <c r="P94" s="47">
        <f t="shared" si="29"/>
        <v>99.679241197332871</v>
      </c>
      <c r="Q94" s="47">
        <f t="shared" si="30"/>
        <v>96.068196647084832</v>
      </c>
      <c r="R94" s="47">
        <f t="shared" si="31"/>
        <v>97.975595653713626</v>
      </c>
      <c r="S94" s="47">
        <f t="shared" si="32"/>
        <v>97.068819139431966</v>
      </c>
      <c r="T94" s="47">
        <f t="shared" si="33"/>
        <v>51.603806801480964</v>
      </c>
    </row>
    <row r="95" spans="2:20" x14ac:dyDescent="0.2">
      <c r="B95" s="32"/>
      <c r="C95" s="77" t="s">
        <v>103</v>
      </c>
      <c r="D95" s="42">
        <f>+'C6 Ejec. Nac 19-26'!D95+'C7 Ejec. Prop 19-26'!D95</f>
        <v>190.35043842905864</v>
      </c>
      <c r="E95" s="42">
        <f>+'C6 Ejec. Nac 19-26'!E95+'C7 Ejec. Prop 19-26'!E95</f>
        <v>167.96848901489034</v>
      </c>
      <c r="F95" s="42">
        <f>+'C6 Ejec. Nac 19-26'!F95+'C7 Ejec. Prop 19-26'!F95</f>
        <v>161.44621345607135</v>
      </c>
      <c r="G95" s="42">
        <f>+'C6 Ejec. Nac 19-26'!G95+'C7 Ejec. Prop 19-26'!G95</f>
        <v>163.72542992372317</v>
      </c>
      <c r="H95" s="42">
        <f>+'C6 Ejec. Nac 19-26'!H95+'C7 Ejec. Prop 19-26'!H95</f>
        <v>169.5566066197934</v>
      </c>
      <c r="I95" s="42">
        <f>+'C6 Ejec. Nac 19-26'!I95+'C7 Ejec. Prop 19-26'!I95</f>
        <v>93.981536371671737</v>
      </c>
      <c r="J95" s="42">
        <f>+'C6 Ejec. Nac 19-26'!J95+'C7 Ejec. Prop 19-26'!J95</f>
        <v>104.66487204992076</v>
      </c>
      <c r="K95" s="42">
        <f>37.07103583403*Deflactores!$AA$5</f>
        <v>37.071035834029999</v>
      </c>
      <c r="L95" s="42"/>
      <c r="M95" s="47">
        <f t="shared" si="26"/>
        <v>75.776489297530489</v>
      </c>
      <c r="N95" s="47">
        <f t="shared" si="27"/>
        <v>70.335114702012561</v>
      </c>
      <c r="O95" s="47">
        <f t="shared" si="28"/>
        <v>39.00451729157173</v>
      </c>
      <c r="P95" s="47">
        <f t="shared" si="29"/>
        <v>54.197124451600921</v>
      </c>
      <c r="Q95" s="47">
        <f t="shared" si="30"/>
        <v>49.103939795759707</v>
      </c>
      <c r="R95" s="47">
        <f t="shared" si="31"/>
        <v>28.628382392552275</v>
      </c>
      <c r="S95" s="47">
        <f t="shared" si="32"/>
        <v>33.556239829056395</v>
      </c>
      <c r="T95" s="47">
        <f t="shared" si="33"/>
        <v>14.372591950269475</v>
      </c>
    </row>
    <row r="96" spans="2:20" x14ac:dyDescent="0.2">
      <c r="B96" s="32"/>
      <c r="C96" s="77" t="s">
        <v>104</v>
      </c>
      <c r="D96" s="42">
        <f>+'C6 Ejec. Nac 19-26'!D96+'C7 Ejec. Prop 19-26'!D96</f>
        <v>760.1892711454575</v>
      </c>
      <c r="E96" s="42">
        <f>+'C6 Ejec. Nac 19-26'!E96+'C7 Ejec. Prop 19-26'!E96</f>
        <v>1180.6307176307917</v>
      </c>
      <c r="F96" s="42">
        <f>+'C6 Ejec. Nac 19-26'!F96+'C7 Ejec. Prop 19-26'!F96</f>
        <v>1206.5438048101337</v>
      </c>
      <c r="G96" s="42">
        <f>+'C6 Ejec. Nac 19-26'!G96+'C7 Ejec. Prop 19-26'!G96</f>
        <v>1599.8023503695204</v>
      </c>
      <c r="H96" s="42">
        <f>+'C6 Ejec. Nac 19-26'!H96+'C7 Ejec. Prop 19-26'!H96</f>
        <v>4685.093493421371</v>
      </c>
      <c r="I96" s="42">
        <f>+'C6 Ejec. Nac 19-26'!I96+'C7 Ejec. Prop 19-26'!I96</f>
        <v>1586.803314982081</v>
      </c>
      <c r="J96" s="42">
        <f>+'C6 Ejec. Nac 19-26'!J96+'C7 Ejec. Prop 19-26'!J96</f>
        <v>1467.2505481958101</v>
      </c>
      <c r="K96" s="42">
        <f>0*Deflactores!$AA$5</f>
        <v>0</v>
      </c>
      <c r="L96" s="42"/>
      <c r="M96" s="47">
        <f t="shared" si="26"/>
        <v>99.306648069156793</v>
      </c>
      <c r="N96" s="47">
        <f t="shared" si="27"/>
        <v>100</v>
      </c>
      <c r="O96" s="47">
        <f t="shared" si="28"/>
        <v>100</v>
      </c>
      <c r="P96" s="47">
        <f t="shared" si="29"/>
        <v>99.996556848400402</v>
      </c>
      <c r="Q96" s="47">
        <f t="shared" si="30"/>
        <v>99.798910385462335</v>
      </c>
      <c r="R96" s="47">
        <f t="shared" si="31"/>
        <v>100</v>
      </c>
      <c r="S96" s="47">
        <f t="shared" si="32"/>
        <v>72.718630119689493</v>
      </c>
      <c r="T96" s="47">
        <f t="shared" si="33"/>
        <v>0</v>
      </c>
    </row>
    <row r="97" spans="2:20" x14ac:dyDescent="0.2">
      <c r="B97" s="34" t="s">
        <v>45</v>
      </c>
      <c r="C97" s="76" t="s">
        <v>46</v>
      </c>
      <c r="D97" s="41">
        <f>+'C6 Ejec. Nac 19-26'!D97+'C7 Ejec. Prop 19-26'!D97</f>
        <v>50084.871794475272</v>
      </c>
      <c r="E97" s="41">
        <f>+'C6 Ejec. Nac 19-26'!E97+'C7 Ejec. Prop 19-26'!E97</f>
        <v>53960.970848328136</v>
      </c>
      <c r="F97" s="41">
        <f>+'C6 Ejec. Nac 19-26'!F97+'C7 Ejec. Prop 19-26'!F97</f>
        <v>66327.622496626514</v>
      </c>
      <c r="G97" s="41">
        <f>+'C6 Ejec. Nac 19-26'!G97+'C7 Ejec. Prop 19-26'!G97</f>
        <v>70167.009187187083</v>
      </c>
      <c r="H97" s="41">
        <f>+'C6 Ejec. Nac 19-26'!H97+'C7 Ejec. Prop 19-26'!H97</f>
        <v>69479.225823924382</v>
      </c>
      <c r="I97" s="41">
        <f>+'C6 Ejec. Nac 19-26'!I97+'C7 Ejec. Prop 19-26'!I97</f>
        <v>57390.687914737711</v>
      </c>
      <c r="J97" s="41">
        <f>+'C6 Ejec. Nac 19-26'!J97+'C7 Ejec. Prop 19-26'!J97</f>
        <v>53079.654784690174</v>
      </c>
      <c r="K97" s="41">
        <f>14917.6936908002*Deflactores!$AA$5</f>
        <v>14917.693690800201</v>
      </c>
      <c r="L97" s="71"/>
      <c r="M97" s="46">
        <f t="shared" si="26"/>
        <v>77.211463425633568</v>
      </c>
      <c r="N97" s="46">
        <f t="shared" si="27"/>
        <v>80.728665056895025</v>
      </c>
      <c r="O97" s="46">
        <f t="shared" si="28"/>
        <v>76.995510073232396</v>
      </c>
      <c r="P97" s="46">
        <f t="shared" si="29"/>
        <v>78.770144821133812</v>
      </c>
      <c r="Q97" s="46">
        <f t="shared" si="30"/>
        <v>71.268748001502985</v>
      </c>
      <c r="R97" s="46">
        <f t="shared" si="31"/>
        <v>56.96513648634086</v>
      </c>
      <c r="S97" s="46">
        <f t="shared" si="32"/>
        <v>64.221817950914442</v>
      </c>
      <c r="T97" s="46">
        <f t="shared" si="33"/>
        <v>16.675599151935678</v>
      </c>
    </row>
    <row r="98" spans="2:20" x14ac:dyDescent="0.2">
      <c r="B98" s="36" t="s">
        <v>47</v>
      </c>
      <c r="C98" s="78" t="s">
        <v>48</v>
      </c>
      <c r="D98" s="43">
        <f t="shared" ref="D98:K98" si="37">+D79+D97</f>
        <v>279374.82529958617</v>
      </c>
      <c r="E98" s="43">
        <f t="shared" si="37"/>
        <v>326938.90321733651</v>
      </c>
      <c r="F98" s="43">
        <f t="shared" si="37"/>
        <v>355299.95506781869</v>
      </c>
      <c r="G98" s="43">
        <f t="shared" si="37"/>
        <v>310632.7399656552</v>
      </c>
      <c r="H98" s="43">
        <f t="shared" si="37"/>
        <v>345745.9012531247</v>
      </c>
      <c r="I98" s="43">
        <f t="shared" si="37"/>
        <v>346880.67684323114</v>
      </c>
      <c r="J98" s="43">
        <f t="shared" si="37"/>
        <v>363921.60975844483</v>
      </c>
      <c r="K98" s="43">
        <f t="shared" si="37"/>
        <v>107678.86497678784</v>
      </c>
      <c r="L98" s="71"/>
      <c r="M98" s="48">
        <f t="shared" si="26"/>
        <v>90.700010536518477</v>
      </c>
      <c r="N98" s="48">
        <f t="shared" si="27"/>
        <v>83.745163461635585</v>
      </c>
      <c r="O98" s="48">
        <f t="shared" si="28"/>
        <v>89.850110681533081</v>
      </c>
      <c r="P98" s="48">
        <f t="shared" si="29"/>
        <v>86.477078757108956</v>
      </c>
      <c r="Q98" s="48">
        <f t="shared" si="30"/>
        <v>85.751027125211692</v>
      </c>
      <c r="R98" s="48">
        <f t="shared" si="31"/>
        <v>81.928021851708792</v>
      </c>
      <c r="S98" s="48">
        <f t="shared" si="32"/>
        <v>86.452370237832199</v>
      </c>
      <c r="T98" s="48">
        <f t="shared" si="33"/>
        <v>23.652717564569407</v>
      </c>
    </row>
    <row r="99" spans="2:20" x14ac:dyDescent="0.2">
      <c r="B99" s="38" t="s">
        <v>49</v>
      </c>
      <c r="C99" s="79" t="s">
        <v>63</v>
      </c>
      <c r="D99" s="44">
        <f t="shared" ref="D99:K99" si="38">+D79+D87+D97</f>
        <v>359385.39508056885</v>
      </c>
      <c r="E99" s="44">
        <f t="shared" si="38"/>
        <v>396095.91557125858</v>
      </c>
      <c r="F99" s="44">
        <f t="shared" si="38"/>
        <v>434245.68079490546</v>
      </c>
      <c r="G99" s="44">
        <f t="shared" si="38"/>
        <v>398564.02235939162</v>
      </c>
      <c r="H99" s="44">
        <f t="shared" si="38"/>
        <v>433596.09379245143</v>
      </c>
      <c r="I99" s="44">
        <f t="shared" si="38"/>
        <v>438934.42341366329</v>
      </c>
      <c r="J99" s="44">
        <f t="shared" si="38"/>
        <v>474439.44552577549</v>
      </c>
      <c r="K99" s="44">
        <f t="shared" si="38"/>
        <v>144507.35399798627</v>
      </c>
      <c r="L99" s="71"/>
      <c r="M99" s="45">
        <f t="shared" si="26"/>
        <v>92.477397213157701</v>
      </c>
      <c r="N99" s="45">
        <f t="shared" si="27"/>
        <v>83.868253705654766</v>
      </c>
      <c r="O99" s="45">
        <f t="shared" si="28"/>
        <v>87.300911957732922</v>
      </c>
      <c r="P99" s="45">
        <f t="shared" si="29"/>
        <v>88.408596963147318</v>
      </c>
      <c r="Q99" s="45">
        <f t="shared" si="30"/>
        <v>87.590984918753307</v>
      </c>
      <c r="R99" s="45">
        <f t="shared" si="31"/>
        <v>83.068078684738694</v>
      </c>
      <c r="S99" s="45">
        <f t="shared" si="32"/>
        <v>87.845052497805483</v>
      </c>
      <c r="T99" s="45">
        <f t="shared" si="33"/>
        <v>26.004602239442775</v>
      </c>
    </row>
    <row r="100" spans="2:20" s="5" customFormat="1" x14ac:dyDescent="0.2">
      <c r="B100" s="72" t="str">
        <f>+'C1 Aprop Resumen 2000-2026'!B20</f>
        <v>* Información con corte a 30 de abril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</row>
    <row r="102" spans="2:20" x14ac:dyDescent="0.2">
      <c r="H102" s="8"/>
    </row>
    <row r="103" spans="2:20" x14ac:dyDescent="0.2">
      <c r="H103" s="8"/>
    </row>
    <row r="107" spans="2:20" ht="18" customHeight="1" x14ac:dyDescent="0.2">
      <c r="C107" s="131"/>
      <c r="D107" s="155" t="s">
        <v>107</v>
      </c>
      <c r="E107" s="156"/>
      <c r="F107" s="156"/>
      <c r="G107" s="156"/>
      <c r="H107" s="156"/>
      <c r="I107" s="156"/>
      <c r="J107" s="156"/>
      <c r="K107" s="169"/>
      <c r="L107" s="169"/>
      <c r="M107" s="170"/>
      <c r="N107" s="170"/>
      <c r="O107" s="170"/>
      <c r="P107" s="170"/>
      <c r="Q107" s="170"/>
      <c r="R107" s="170"/>
      <c r="S107" s="170"/>
      <c r="T107" s="156"/>
    </row>
    <row r="108" spans="2:20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</row>
    <row r="109" spans="2:20" ht="12" customHeight="1" thickBot="1" x14ac:dyDescent="0.3">
      <c r="B109" s="19"/>
      <c r="C109" s="92"/>
      <c r="D109" s="167"/>
      <c r="E109" s="154"/>
      <c r="F109" s="154"/>
      <c r="G109" s="154"/>
      <c r="H109" s="154"/>
      <c r="I109" s="154"/>
      <c r="J109" s="154"/>
      <c r="K109" s="154"/>
      <c r="M109" s="167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71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68" t="s">
        <v>10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10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39">+SUM(D113:D119)</f>
        <v>228720.79517150615</v>
      </c>
      <c r="E112" s="41">
        <f t="shared" si="39"/>
        <v>272550.41236440075</v>
      </c>
      <c r="F112" s="41">
        <f t="shared" si="39"/>
        <v>288489.28365791676</v>
      </c>
      <c r="G112" s="41">
        <f t="shared" si="39"/>
        <v>240043.85488658005</v>
      </c>
      <c r="H112" s="41">
        <f t="shared" si="39"/>
        <v>275788.69656503946</v>
      </c>
      <c r="I112" s="41">
        <f t="shared" si="39"/>
        <v>288909.01841266704</v>
      </c>
      <c r="J112" s="41">
        <f t="shared" si="39"/>
        <v>310458.10251379188</v>
      </c>
      <c r="K112" s="41">
        <f t="shared" si="39"/>
        <v>91702.140606095199</v>
      </c>
      <c r="L112" s="71"/>
      <c r="M112" s="46">
        <f t="shared" ref="M112:M132" si="40">+D112/D14*100</f>
        <v>94.064335759928881</v>
      </c>
      <c r="N112" s="46">
        <f t="shared" ref="N112:N132" si="41">+E112/E14*100</f>
        <v>84.236202038952982</v>
      </c>
      <c r="O112" s="46">
        <f t="shared" ref="O112:O132" si="42">+F112/F14*100</f>
        <v>93.2742331690919</v>
      </c>
      <c r="P112" s="46">
        <f t="shared" ref="P112:P132" si="43">+G112/G14*100</f>
        <v>88.86234523275796</v>
      </c>
      <c r="Q112" s="46">
        <f t="shared" ref="Q112:Q132" si="44">+H112/H14*100</f>
        <v>90.213011281874685</v>
      </c>
      <c r="R112" s="46">
        <f t="shared" ref="R112:R132" si="45">+I112/I14*100</f>
        <v>89.542591915979003</v>
      </c>
      <c r="S112" s="46">
        <f t="shared" ref="S112:S132" si="46">+J112/J14*100</f>
        <v>91.770080926884461</v>
      </c>
      <c r="T112" s="46">
        <f t="shared" ref="T112:T132" si="47">+K112/K14*100</f>
        <v>25.069529857711615</v>
      </c>
    </row>
    <row r="113" spans="2:20" x14ac:dyDescent="0.2">
      <c r="B113" s="40"/>
      <c r="C113" s="77" t="s">
        <v>92</v>
      </c>
      <c r="D113" s="42">
        <f>+'C6 Ejec. Nac 19-26'!D113+'C7 Ejec. Prop 19-26'!D113</f>
        <v>47647.745069194832</v>
      </c>
      <c r="E113" s="42">
        <f>+'C6 Ejec. Nac 19-26'!E113+'C7 Ejec. Prop 19-26'!E113</f>
        <v>48634.369504408867</v>
      </c>
      <c r="F113" s="42">
        <f>+'C6 Ejec. Nac 19-26'!F113+'C7 Ejec. Prop 19-26'!F113</f>
        <v>48837.819719796971</v>
      </c>
      <c r="G113" s="42">
        <f>+'C6 Ejec. Nac 19-26'!G113+'C7 Ejec. Prop 19-26'!G113</f>
        <v>47752.470511846615</v>
      </c>
      <c r="H113" s="42">
        <f>+'C6 Ejec. Nac 19-26'!H113+'C7 Ejec. Prop 19-26'!H113</f>
        <v>50660.190411851581</v>
      </c>
      <c r="I113" s="42">
        <f>+'C6 Ejec. Nac 19-26'!I113+'C7 Ejec. Prop 19-26'!I113</f>
        <v>54969.141720581778</v>
      </c>
      <c r="J113" s="42">
        <f>+'C6 Ejec. Nac 19-26'!J113+'C7 Ejec. Prop 19-26'!J113</f>
        <v>58823.974295502398</v>
      </c>
      <c r="K113" s="42">
        <f>17534.6488028477*Deflactores!$AA$5</f>
        <v>17534.6488028477</v>
      </c>
      <c r="L113" s="42"/>
      <c r="M113" s="47">
        <f t="shared" si="40"/>
        <v>98.09800368683959</v>
      </c>
      <c r="N113" s="47">
        <f t="shared" si="41"/>
        <v>96.384608115084944</v>
      </c>
      <c r="O113" s="47">
        <f t="shared" si="42"/>
        <v>96.076631530916529</v>
      </c>
      <c r="P113" s="47">
        <f t="shared" si="43"/>
        <v>96.627784068461764</v>
      </c>
      <c r="Q113" s="47">
        <f t="shared" si="44"/>
        <v>95.377776223655289</v>
      </c>
      <c r="R113" s="47">
        <f t="shared" si="45"/>
        <v>96.75011780143366</v>
      </c>
      <c r="S113" s="47">
        <f t="shared" si="46"/>
        <v>96.828918617236098</v>
      </c>
      <c r="T113" s="47">
        <f t="shared" si="47"/>
        <v>26.289916887682018</v>
      </c>
    </row>
    <row r="114" spans="2:20" x14ac:dyDescent="0.2">
      <c r="B114" s="40"/>
      <c r="C114" s="77" t="s">
        <v>93</v>
      </c>
      <c r="D114" s="42">
        <f>+'C6 Ejec. Nac 19-26'!D114+'C7 Ejec. Prop 19-26'!D114</f>
        <v>13225.320705536375</v>
      </c>
      <c r="E114" s="42">
        <f>+'C6 Ejec. Nac 19-26'!E114+'C7 Ejec. Prop 19-26'!E114</f>
        <v>12822.784573827443</v>
      </c>
      <c r="F114" s="42">
        <f>+'C6 Ejec. Nac 19-26'!F114+'C7 Ejec. Prop 19-26'!F114</f>
        <v>13784.701848604314</v>
      </c>
      <c r="G114" s="42">
        <f>+'C6 Ejec. Nac 19-26'!G114+'C7 Ejec. Prop 19-26'!G114</f>
        <v>14871.654675263122</v>
      </c>
      <c r="H114" s="42">
        <f>+'C6 Ejec. Nac 19-26'!H114+'C7 Ejec. Prop 19-26'!H114</f>
        <v>14450.881066138225</v>
      </c>
      <c r="I114" s="42">
        <f>+'C6 Ejec. Nac 19-26'!I114+'C7 Ejec. Prop 19-26'!I114</f>
        <v>13430.727146376832</v>
      </c>
      <c r="J114" s="42">
        <f>+'C6 Ejec. Nac 19-26'!J114+'C7 Ejec. Prop 19-26'!J114</f>
        <v>16065.382407909714</v>
      </c>
      <c r="K114" s="42">
        <f>3660.53033034312*Deflactores!$AA$5</f>
        <v>3660.5303303431201</v>
      </c>
      <c r="L114" s="42"/>
      <c r="M114" s="47">
        <f t="shared" si="40"/>
        <v>87.738533758829746</v>
      </c>
      <c r="N114" s="47">
        <f t="shared" si="41"/>
        <v>85.665406047174244</v>
      </c>
      <c r="O114" s="47">
        <f t="shared" si="42"/>
        <v>87.219052112183192</v>
      </c>
      <c r="P114" s="47">
        <f t="shared" si="43"/>
        <v>86.21373094485935</v>
      </c>
      <c r="Q114" s="47">
        <f t="shared" si="44"/>
        <v>77.5050645431769</v>
      </c>
      <c r="R114" s="47">
        <f t="shared" si="45"/>
        <v>71.00941940503526</v>
      </c>
      <c r="S114" s="47">
        <f t="shared" si="46"/>
        <v>75.0188920294718</v>
      </c>
      <c r="T114" s="47">
        <f t="shared" si="47"/>
        <v>19.518011283730399</v>
      </c>
    </row>
    <row r="115" spans="2:20" x14ac:dyDescent="0.2">
      <c r="B115" s="40"/>
      <c r="C115" s="77" t="s">
        <v>58</v>
      </c>
      <c r="D115" s="42">
        <f>+'C6 Ejec. Nac 19-26'!D115+'C7 Ejec. Prop 19-26'!D115</f>
        <v>164354.71147979761</v>
      </c>
      <c r="E115" s="42">
        <f>+'C6 Ejec. Nac 19-26'!E115+'C7 Ejec. Prop 19-26'!E115</f>
        <v>207367.49836325558</v>
      </c>
      <c r="F115" s="42">
        <f>+'C6 Ejec. Nac 19-26'!F115+'C7 Ejec. Prop 19-26'!F115</f>
        <v>220647.29866386505</v>
      </c>
      <c r="G115" s="42">
        <f>+'C6 Ejec. Nac 19-26'!G115+'C7 Ejec. Prop 19-26'!G115</f>
        <v>172954.09385197581</v>
      </c>
      <c r="H115" s="42">
        <f>+'C6 Ejec. Nac 19-26'!H115+'C7 Ejec. Prop 19-26'!H115</f>
        <v>206546.56766646155</v>
      </c>
      <c r="I115" s="42">
        <f>+'C6 Ejec. Nac 19-26'!I115+'C7 Ejec. Prop 19-26'!I115</f>
        <v>216390.60750246263</v>
      </c>
      <c r="J115" s="42">
        <f>+'C6 Ejec. Nac 19-26'!J115+'C7 Ejec. Prop 19-26'!J115</f>
        <v>231516.30690104116</v>
      </c>
      <c r="K115" s="42">
        <f>69872.2352760676*Deflactores!$AA$5</f>
        <v>69872.2352760676</v>
      </c>
      <c r="L115" s="42"/>
      <c r="M115" s="47">
        <f t="shared" si="40"/>
        <v>93.671315828373451</v>
      </c>
      <c r="N115" s="47">
        <f t="shared" si="41"/>
        <v>81.678320412981464</v>
      </c>
      <c r="O115" s="47">
        <f t="shared" si="42"/>
        <v>93.36169728674875</v>
      </c>
      <c r="P115" s="47">
        <f t="shared" si="43"/>
        <v>87.204026814290685</v>
      </c>
      <c r="Q115" s="47">
        <f t="shared" si="44"/>
        <v>90.207689823541727</v>
      </c>
      <c r="R115" s="47">
        <f t="shared" si="45"/>
        <v>89.390773161104732</v>
      </c>
      <c r="S115" s="47">
        <f t="shared" si="46"/>
        <v>92.060955100807675</v>
      </c>
      <c r="T115" s="47">
        <f t="shared" si="47"/>
        <v>25.336911620139972</v>
      </c>
    </row>
    <row r="116" spans="2:20" x14ac:dyDescent="0.2">
      <c r="B116" s="40"/>
      <c r="C116" s="77" t="s">
        <v>94</v>
      </c>
      <c r="D116" s="42">
        <f>+'C6 Ejec. Nac 19-26'!D116+'C7 Ejec. Prop 19-26'!D116</f>
        <v>1793.6559136653482</v>
      </c>
      <c r="E116" s="42">
        <f>+'C6 Ejec. Nac 19-26'!E116+'C7 Ejec. Prop 19-26'!E116</f>
        <v>1667.3910302039628</v>
      </c>
      <c r="F116" s="42">
        <f>+'C6 Ejec. Nac 19-26'!F116+'C7 Ejec. Prop 19-26'!F116</f>
        <v>1890.8909818994339</v>
      </c>
      <c r="G116" s="42">
        <f>+'C6 Ejec. Nac 19-26'!G116+'C7 Ejec. Prop 19-26'!G116</f>
        <v>1954.4389195185825</v>
      </c>
      <c r="H116" s="42">
        <f>+'C6 Ejec. Nac 19-26'!H116+'C7 Ejec. Prop 19-26'!H116</f>
        <v>1716.52498818298</v>
      </c>
      <c r="I116" s="42">
        <f>+'C6 Ejec. Nac 19-26'!I116+'C7 Ejec. Prop 19-26'!I116</f>
        <v>1810.8653848855959</v>
      </c>
      <c r="J116" s="42">
        <f>+'C6 Ejec. Nac 19-26'!J116+'C7 Ejec. Prop 19-26'!J116</f>
        <v>1774.2578557346253</v>
      </c>
      <c r="K116" s="42">
        <f>303.76683181675*Deflactores!$AA$5</f>
        <v>303.76683181675003</v>
      </c>
      <c r="L116" s="42"/>
      <c r="M116" s="47">
        <f t="shared" si="40"/>
        <v>79.754710156893168</v>
      </c>
      <c r="N116" s="47">
        <f t="shared" si="41"/>
        <v>80.974042009677703</v>
      </c>
      <c r="O116" s="47">
        <f t="shared" si="42"/>
        <v>72.389954989845265</v>
      </c>
      <c r="P116" s="47">
        <f t="shared" si="43"/>
        <v>80.781433744028647</v>
      </c>
      <c r="Q116" s="47">
        <f t="shared" si="44"/>
        <v>78.295658942453358</v>
      </c>
      <c r="R116" s="47">
        <f t="shared" si="45"/>
        <v>78.082272198822608</v>
      </c>
      <c r="S116" s="47">
        <f t="shared" si="46"/>
        <v>82.763525936341537</v>
      </c>
      <c r="T116" s="47">
        <f t="shared" si="47"/>
        <v>14.417591040349503</v>
      </c>
    </row>
    <row r="117" spans="2:20" x14ac:dyDescent="0.2">
      <c r="B117" s="40"/>
      <c r="C117" s="77" t="s">
        <v>95</v>
      </c>
      <c r="D117" s="42">
        <f>+'C6 Ejec. Nac 19-26'!D117+'C7 Ejec. Prop 19-26'!D117</f>
        <v>563.5595754939701</v>
      </c>
      <c r="E117" s="42">
        <f>+'C6 Ejec. Nac 19-26'!E117+'C7 Ejec. Prop 19-26'!E117</f>
        <v>622.87649870633209</v>
      </c>
      <c r="F117" s="42">
        <f>+'C6 Ejec. Nac 19-26'!F117+'C7 Ejec. Prop 19-26'!F117</f>
        <v>704.32152181632239</v>
      </c>
      <c r="G117" s="42">
        <f>+'C6 Ejec. Nac 19-26'!G117+'C7 Ejec. Prop 19-26'!G117</f>
        <v>807.2533578120366</v>
      </c>
      <c r="H117" s="42">
        <f>+'C6 Ejec. Nac 19-26'!H117+'C7 Ejec. Prop 19-26'!H117</f>
        <v>777.52924725288312</v>
      </c>
      <c r="I117" s="42">
        <f>+'C6 Ejec. Nac 19-26'!I117+'C7 Ejec. Prop 19-26'!I117</f>
        <v>707.44693274116003</v>
      </c>
      <c r="J117" s="42">
        <f>+'C6 Ejec. Nac 19-26'!J117+'C7 Ejec. Prop 19-26'!J117</f>
        <v>715.08560595052677</v>
      </c>
      <c r="K117" s="42">
        <f>24.8052266973799*Deflactores!$AA$5</f>
        <v>24.805226697379901</v>
      </c>
      <c r="L117" s="42"/>
      <c r="M117" s="47">
        <f t="shared" si="40"/>
        <v>97.71292665117663</v>
      </c>
      <c r="N117" s="47">
        <f t="shared" si="41"/>
        <v>96.383148904937912</v>
      </c>
      <c r="O117" s="47">
        <f t="shared" si="42"/>
        <v>84.075881976589443</v>
      </c>
      <c r="P117" s="47">
        <f t="shared" si="43"/>
        <v>98.402191744673971</v>
      </c>
      <c r="Q117" s="47">
        <f t="shared" si="44"/>
        <v>87.169872246738748</v>
      </c>
      <c r="R117" s="47">
        <f t="shared" si="45"/>
        <v>98.503888916724833</v>
      </c>
      <c r="S117" s="47">
        <f t="shared" si="46"/>
        <v>95.153354717727595</v>
      </c>
      <c r="T117" s="47">
        <f t="shared" si="47"/>
        <v>3.2658085193955362</v>
      </c>
    </row>
    <row r="118" spans="2:20" x14ac:dyDescent="0.2">
      <c r="B118" s="40"/>
      <c r="C118" s="77" t="s">
        <v>96</v>
      </c>
      <c r="D118" s="42">
        <f>+'C6 Ejec. Nac 19-26'!D118+'C7 Ejec. Prop 19-26'!D118</f>
        <v>387.37523785668941</v>
      </c>
      <c r="E118" s="42">
        <f>+'C6 Ejec. Nac 19-26'!E118+'C7 Ejec. Prop 19-26'!E118</f>
        <v>356.04999301023031</v>
      </c>
      <c r="F118" s="42">
        <f>+'C6 Ejec. Nac 19-26'!F118+'C7 Ejec. Prop 19-26'!F118</f>
        <v>617.6901536964059</v>
      </c>
      <c r="G118" s="42">
        <f>+'C6 Ejec. Nac 19-26'!G118+'C7 Ejec. Prop 19-26'!G118</f>
        <v>453.93614377310331</v>
      </c>
      <c r="H118" s="42">
        <f>+'C6 Ejec. Nac 19-26'!H118+'C7 Ejec. Prop 19-26'!H118</f>
        <v>515.71938043359478</v>
      </c>
      <c r="I118" s="42">
        <f>+'C6 Ejec. Nac 19-26'!I118+'C7 Ejec. Prop 19-26'!I118</f>
        <v>371.6671128941046</v>
      </c>
      <c r="J118" s="42">
        <f>+'C6 Ejec. Nac 19-26'!J118+'C7 Ejec. Prop 19-26'!J118</f>
        <v>311.69357588970144</v>
      </c>
      <c r="K118" s="42">
        <f>101.89540507659*Deflactores!$AA$5</f>
        <v>101.89540507659</v>
      </c>
      <c r="L118" s="42"/>
      <c r="M118" s="47">
        <f t="shared" si="40"/>
        <v>91.487392046522515</v>
      </c>
      <c r="N118" s="47">
        <f t="shared" si="41"/>
        <v>81.838253935579033</v>
      </c>
      <c r="O118" s="47">
        <f t="shared" si="42"/>
        <v>90.915546488904255</v>
      </c>
      <c r="P118" s="47">
        <f t="shared" si="43"/>
        <v>85.228560218093676</v>
      </c>
      <c r="Q118" s="47">
        <f t="shared" si="44"/>
        <v>89.787849309982064</v>
      </c>
      <c r="R118" s="47">
        <f t="shared" si="45"/>
        <v>94.287297352532747</v>
      </c>
      <c r="S118" s="47">
        <f t="shared" si="46"/>
        <v>85.378367223627521</v>
      </c>
      <c r="T118" s="47">
        <f t="shared" si="47"/>
        <v>27.362792134801566</v>
      </c>
    </row>
    <row r="119" spans="2:20" x14ac:dyDescent="0.2">
      <c r="B119" s="40"/>
      <c r="C119" s="77" t="s">
        <v>97</v>
      </c>
      <c r="D119" s="42">
        <f>+'C6 Ejec. Nac 19-26'!D119+'C7 Ejec. Prop 19-26'!D119</f>
        <v>748.42718996132032</v>
      </c>
      <c r="E119" s="42">
        <f>+'C6 Ejec. Nac 19-26'!E119+'C7 Ejec. Prop 19-26'!E119</f>
        <v>1079.4424009882941</v>
      </c>
      <c r="F119" s="42">
        <f>+'C6 Ejec. Nac 19-26'!F119+'C7 Ejec. Prop 19-26'!F119</f>
        <v>2006.560768238292</v>
      </c>
      <c r="G119" s="42">
        <f>+'C6 Ejec. Nac 19-26'!G119+'C7 Ejec. Prop 19-26'!G119</f>
        <v>1250.007426390777</v>
      </c>
      <c r="H119" s="42">
        <f>+'C6 Ejec. Nac 19-26'!H119+'C7 Ejec. Prop 19-26'!H119</f>
        <v>1121.2838047185742</v>
      </c>
      <c r="I119" s="42">
        <f>+'C6 Ejec. Nac 19-26'!I119+'C7 Ejec. Prop 19-26'!I119</f>
        <v>1228.5626127249348</v>
      </c>
      <c r="J119" s="42">
        <f>+'C6 Ejec. Nac 19-26'!J119+'C7 Ejec. Prop 19-26'!J119</f>
        <v>1251.401871763823</v>
      </c>
      <c r="K119" s="42">
        <f>204.25873324606*Deflactores!$AA$5</f>
        <v>204.25873324605999</v>
      </c>
      <c r="L119" s="42"/>
      <c r="M119" s="47">
        <f t="shared" si="40"/>
        <v>93.512423729008702</v>
      </c>
      <c r="N119" s="47">
        <f t="shared" si="41"/>
        <v>97.755722022061576</v>
      </c>
      <c r="O119" s="47">
        <f t="shared" si="42"/>
        <v>91.646971400660888</v>
      </c>
      <c r="P119" s="47">
        <f t="shared" si="43"/>
        <v>92.170850023672273</v>
      </c>
      <c r="Q119" s="47">
        <f t="shared" si="44"/>
        <v>84.852852508256333</v>
      </c>
      <c r="R119" s="47">
        <f t="shared" si="45"/>
        <v>86.760355969800997</v>
      </c>
      <c r="S119" s="47">
        <f t="shared" si="46"/>
        <v>89.868086205315365</v>
      </c>
      <c r="T119" s="47">
        <f t="shared" si="47"/>
        <v>15.380832840390454</v>
      </c>
    </row>
    <row r="120" spans="2:20" x14ac:dyDescent="0.2">
      <c r="B120" s="34" t="s">
        <v>41</v>
      </c>
      <c r="C120" s="76" t="s">
        <v>42</v>
      </c>
      <c r="D120" s="41">
        <f t="shared" ref="D120:K120" si="48">+D121+D125</f>
        <v>80010.569780982682</v>
      </c>
      <c r="E120" s="41">
        <f t="shared" si="48"/>
        <v>69157.012353922051</v>
      </c>
      <c r="F120" s="41">
        <f t="shared" si="48"/>
        <v>78945.725727086741</v>
      </c>
      <c r="G120" s="41">
        <f t="shared" si="48"/>
        <v>87930.769382990227</v>
      </c>
      <c r="H120" s="41">
        <f t="shared" si="48"/>
        <v>87842.312243186316</v>
      </c>
      <c r="I120" s="41">
        <f t="shared" si="48"/>
        <v>92053.746570432151</v>
      </c>
      <c r="J120" s="41">
        <f t="shared" si="48"/>
        <v>110517.83576733066</v>
      </c>
      <c r="K120" s="41">
        <f t="shared" si="48"/>
        <v>36622.901551141884</v>
      </c>
      <c r="L120" s="71"/>
      <c r="M120" s="46">
        <f t="shared" si="40"/>
        <v>99.269937736835018</v>
      </c>
      <c r="N120" s="46">
        <f t="shared" si="41"/>
        <v>84.455094271737067</v>
      </c>
      <c r="O120" s="46">
        <f t="shared" si="42"/>
        <v>77.41580765591803</v>
      </c>
      <c r="P120" s="46">
        <f t="shared" si="43"/>
        <v>95.981446489614669</v>
      </c>
      <c r="Q120" s="46">
        <f t="shared" si="44"/>
        <v>95.661422481031721</v>
      </c>
      <c r="R120" s="46">
        <f t="shared" si="45"/>
        <v>87.664908838561445</v>
      </c>
      <c r="S120" s="46">
        <f t="shared" si="46"/>
        <v>92.765888849015838</v>
      </c>
      <c r="T120" s="46">
        <f t="shared" si="47"/>
        <v>36.458942598812541</v>
      </c>
    </row>
    <row r="121" spans="2:20" x14ac:dyDescent="0.2">
      <c r="B121" s="34"/>
      <c r="C121" s="76" t="s">
        <v>43</v>
      </c>
      <c r="D121" s="41">
        <f t="shared" ref="D121:K121" si="49">+SUM(D122:D124)</f>
        <v>21877.847078664723</v>
      </c>
      <c r="E121" s="41">
        <f t="shared" si="49"/>
        <v>22678.565384870246</v>
      </c>
      <c r="F121" s="41">
        <f t="shared" si="49"/>
        <v>29366.206946301561</v>
      </c>
      <c r="G121" s="41">
        <f t="shared" si="49"/>
        <v>19395.357103044596</v>
      </c>
      <c r="H121" s="41">
        <f t="shared" si="49"/>
        <v>29165.225816013233</v>
      </c>
      <c r="I121" s="41">
        <f t="shared" si="49"/>
        <v>35517.500851202385</v>
      </c>
      <c r="J121" s="41">
        <f t="shared" si="49"/>
        <v>50656.703181042772</v>
      </c>
      <c r="K121" s="41">
        <f t="shared" si="49"/>
        <v>10865.22812627279</v>
      </c>
      <c r="L121" s="71"/>
      <c r="M121" s="46">
        <f t="shared" si="40"/>
        <v>97.913486747181338</v>
      </c>
      <c r="N121" s="46">
        <f t="shared" si="41"/>
        <v>99.032710760723859</v>
      </c>
      <c r="O121" s="46">
        <f t="shared" si="42"/>
        <v>80.563045668736251</v>
      </c>
      <c r="P121" s="46">
        <f t="shared" si="43"/>
        <v>90.384198779224619</v>
      </c>
      <c r="Q121" s="46">
        <f t="shared" si="44"/>
        <v>93.925312356068375</v>
      </c>
      <c r="R121" s="46">
        <f t="shared" si="45"/>
        <v>85.72526681590476</v>
      </c>
      <c r="S121" s="46">
        <f t="shared" si="46"/>
        <v>88.965244172566955</v>
      </c>
      <c r="T121" s="46">
        <f t="shared" si="47"/>
        <v>28.290411383273717</v>
      </c>
    </row>
    <row r="122" spans="2:20" x14ac:dyDescent="0.2">
      <c r="B122" s="32"/>
      <c r="C122" s="77" t="s">
        <v>98</v>
      </c>
      <c r="D122" s="42">
        <f>+'C6 Ejec. Nac 19-26'!D122+'C7 Ejec. Prop 19-26'!D122</f>
        <v>12276.474407173177</v>
      </c>
      <c r="E122" s="42">
        <f>+'C6 Ejec. Nac 19-26'!E122+'C7 Ejec. Prop 19-26'!E122</f>
        <v>9758.0260679765033</v>
      </c>
      <c r="F122" s="42">
        <f>+'C6 Ejec. Nac 19-26'!F122+'C7 Ejec. Prop 19-26'!F122</f>
        <v>15686.191745536167</v>
      </c>
      <c r="G122" s="42">
        <f>+'C6 Ejec. Nac 19-26'!G122+'C7 Ejec. Prop 19-26'!G122</f>
        <v>5365.131055764924</v>
      </c>
      <c r="H122" s="42">
        <f>+'C6 Ejec. Nac 19-26'!H122+'C7 Ejec. Prop 19-26'!H122</f>
        <v>14704.303099272707</v>
      </c>
      <c r="I122" s="42">
        <f>+'C6 Ejec. Nac 19-26'!I122+'C7 Ejec. Prop 19-26'!I122</f>
        <v>18873.87707881509</v>
      </c>
      <c r="J122" s="42">
        <f>+'C6 Ejec. Nac 19-26'!J122+'C7 Ejec. Prop 19-26'!J122</f>
        <v>33804.532688269457</v>
      </c>
      <c r="K122" s="42">
        <f>6252.94822180437*Deflactores!$AA$5</f>
        <v>6252.9482218043704</v>
      </c>
      <c r="L122" s="42"/>
      <c r="M122" s="47">
        <f t="shared" si="40"/>
        <v>99.388399633902523</v>
      </c>
      <c r="N122" s="47">
        <f t="shared" si="41"/>
        <v>98.433201721859916</v>
      </c>
      <c r="O122" s="47">
        <f t="shared" si="42"/>
        <v>75.917390481882109</v>
      </c>
      <c r="P122" s="47">
        <f t="shared" si="43"/>
        <v>96.760553481122784</v>
      </c>
      <c r="Q122" s="47">
        <f t="shared" si="44"/>
        <v>95.285042047852386</v>
      </c>
      <c r="R122" s="47">
        <f t="shared" si="45"/>
        <v>87.000273850086657</v>
      </c>
      <c r="S122" s="47">
        <f t="shared" si="46"/>
        <v>92.71485698767107</v>
      </c>
      <c r="T122" s="47">
        <f t="shared" si="47"/>
        <v>36.200613278735084</v>
      </c>
    </row>
    <row r="123" spans="2:20" x14ac:dyDescent="0.2">
      <c r="B123" s="32"/>
      <c r="C123" s="77" t="s">
        <v>61</v>
      </c>
      <c r="D123" s="42">
        <f>+'C6 Ejec. Nac 19-26'!D123+'C7 Ejec. Prop 19-26'!D123</f>
        <v>9482.8762203824153</v>
      </c>
      <c r="E123" s="42">
        <f>+'C6 Ejec. Nac 19-26'!E123+'C7 Ejec. Prop 19-26'!E123</f>
        <v>12550.932508825306</v>
      </c>
      <c r="F123" s="42">
        <f>+'C6 Ejec. Nac 19-26'!F123+'C7 Ejec. Prop 19-26'!F123</f>
        <v>13495.274809597171</v>
      </c>
      <c r="G123" s="42">
        <f>+'C6 Ejec. Nac 19-26'!G123+'C7 Ejec. Prop 19-26'!G123</f>
        <v>13907.907431707454</v>
      </c>
      <c r="H123" s="42">
        <f>+'C6 Ejec. Nac 19-26'!H123+'C7 Ejec. Prop 19-26'!H123</f>
        <v>14366.688239834544</v>
      </c>
      <c r="I123" s="42">
        <f>+'C6 Ejec. Nac 19-26'!I123+'C7 Ejec. Prop 19-26'!I123</f>
        <v>16535.629432179197</v>
      </c>
      <c r="J123" s="42">
        <f>+'C6 Ejec. Nac 19-26'!J123+'C7 Ejec. Prop 19-26'!J123</f>
        <v>16622.889058942066</v>
      </c>
      <c r="K123" s="42">
        <f>4563.27709624212*Deflactores!$AA$5</f>
        <v>4563.27709624212</v>
      </c>
      <c r="L123" s="42"/>
      <c r="M123" s="47">
        <f t="shared" si="40"/>
        <v>96.817670243193461</v>
      </c>
      <c r="N123" s="47">
        <f t="shared" si="41"/>
        <v>99.773939366644953</v>
      </c>
      <c r="O123" s="47">
        <f t="shared" si="42"/>
        <v>86.762291864065872</v>
      </c>
      <c r="P123" s="47">
        <f t="shared" si="43"/>
        <v>88.430494290039277</v>
      </c>
      <c r="Q123" s="47">
        <f t="shared" si="44"/>
        <v>93.025474680170845</v>
      </c>
      <c r="R123" s="47">
        <f t="shared" si="45"/>
        <v>84.873182322204229</v>
      </c>
      <c r="S123" s="47">
        <f t="shared" si="46"/>
        <v>83.663837569783212</v>
      </c>
      <c r="T123" s="47">
        <f t="shared" si="47"/>
        <v>22.831154505346866</v>
      </c>
    </row>
    <row r="124" spans="2:20" x14ac:dyDescent="0.2">
      <c r="B124" s="32"/>
      <c r="C124" s="77" t="s">
        <v>103</v>
      </c>
      <c r="D124" s="42">
        <f>+'C6 Ejec. Nac 19-26'!D124+'C7 Ejec. Prop 19-26'!D124</f>
        <v>118.4964511091306</v>
      </c>
      <c r="E124" s="42">
        <f>+'C6 Ejec. Nac 19-26'!E124+'C7 Ejec. Prop 19-26'!E124</f>
        <v>369.60680806843675</v>
      </c>
      <c r="F124" s="42">
        <f>+'C6 Ejec. Nac 19-26'!F124+'C7 Ejec. Prop 19-26'!F124</f>
        <v>184.74039116822485</v>
      </c>
      <c r="G124" s="42">
        <f>+'C6 Ejec. Nac 19-26'!G124+'C7 Ejec. Prop 19-26'!G124</f>
        <v>122.31861557221619</v>
      </c>
      <c r="H124" s="42">
        <f>+'C6 Ejec. Nac 19-26'!H124+'C7 Ejec. Prop 19-26'!H124</f>
        <v>94.234476905983016</v>
      </c>
      <c r="I124" s="42">
        <f>+'C6 Ejec. Nac 19-26'!I124+'C7 Ejec. Prop 19-26'!I124</f>
        <v>107.99434020809623</v>
      </c>
      <c r="J124" s="42">
        <f>+'C6 Ejec. Nac 19-26'!J124+'C7 Ejec. Prop 19-26'!J124</f>
        <v>229.28143383124626</v>
      </c>
      <c r="K124" s="42">
        <f>49.0028082263*Deflactores!$AA$5</f>
        <v>49.002808226299997</v>
      </c>
      <c r="L124" s="42"/>
      <c r="M124" s="47">
        <f t="shared" si="40"/>
        <v>60.008037986718321</v>
      </c>
      <c r="N124" s="47">
        <f t="shared" si="41"/>
        <v>90.732763379105549</v>
      </c>
      <c r="O124" s="47">
        <f t="shared" si="42"/>
        <v>78.707196030640446</v>
      </c>
      <c r="P124" s="47">
        <f t="shared" si="43"/>
        <v>65.572336683188809</v>
      </c>
      <c r="Q124" s="47">
        <f t="shared" si="44"/>
        <v>53.610783607904452</v>
      </c>
      <c r="R124" s="47">
        <f t="shared" si="45"/>
        <v>42.353433910073846</v>
      </c>
      <c r="S124" s="47">
        <f t="shared" si="46"/>
        <v>37.558633518332343</v>
      </c>
      <c r="T124" s="47">
        <f t="shared" si="47"/>
        <v>4.2762195773958416</v>
      </c>
    </row>
    <row r="125" spans="2:20" x14ac:dyDescent="0.2">
      <c r="B125" s="34"/>
      <c r="C125" s="76" t="s">
        <v>44</v>
      </c>
      <c r="D125" s="41">
        <f t="shared" ref="D125:K125" si="50">+SUM(D126:D129)</f>
        <v>58132.722702317958</v>
      </c>
      <c r="E125" s="41">
        <f t="shared" si="50"/>
        <v>46478.446969051809</v>
      </c>
      <c r="F125" s="41">
        <f t="shared" si="50"/>
        <v>49579.518780785183</v>
      </c>
      <c r="G125" s="41">
        <f t="shared" si="50"/>
        <v>68535.412279945624</v>
      </c>
      <c r="H125" s="41">
        <f t="shared" si="50"/>
        <v>58677.086427173075</v>
      </c>
      <c r="I125" s="41">
        <f t="shared" si="50"/>
        <v>56536.245719229773</v>
      </c>
      <c r="J125" s="41">
        <f t="shared" si="50"/>
        <v>59861.132586287895</v>
      </c>
      <c r="K125" s="41">
        <f t="shared" si="50"/>
        <v>25757.673424869092</v>
      </c>
      <c r="L125" s="71"/>
      <c r="M125" s="46">
        <f t="shared" si="40"/>
        <v>99.790213338245565</v>
      </c>
      <c r="N125" s="46">
        <f t="shared" si="41"/>
        <v>78.795646615185049</v>
      </c>
      <c r="O125" s="46">
        <f t="shared" si="42"/>
        <v>75.665016316369829</v>
      </c>
      <c r="P125" s="46">
        <f t="shared" si="43"/>
        <v>97.693552563826742</v>
      </c>
      <c r="Q125" s="46">
        <f t="shared" si="44"/>
        <v>96.54844925087319</v>
      </c>
      <c r="R125" s="46">
        <f t="shared" si="45"/>
        <v>88.928979883116767</v>
      </c>
      <c r="S125" s="46">
        <f t="shared" si="46"/>
        <v>96.245322159843838</v>
      </c>
      <c r="T125" s="46">
        <f t="shared" si="47"/>
        <v>41.515397358214464</v>
      </c>
    </row>
    <row r="126" spans="2:20" x14ac:dyDescent="0.2">
      <c r="B126" s="32"/>
      <c r="C126" s="77" t="s">
        <v>98</v>
      </c>
      <c r="D126" s="42">
        <f>+'C6 Ejec. Nac 19-26'!D126+'C7 Ejec. Prop 19-26'!D126</f>
        <v>27800.649899694308</v>
      </c>
      <c r="E126" s="42">
        <f>+'C6 Ejec. Nac 19-26'!E126+'C7 Ejec. Prop 19-26'!E126</f>
        <v>13168.819295882715</v>
      </c>
      <c r="F126" s="42">
        <f>+'C6 Ejec. Nac 19-26'!F126+'C7 Ejec. Prop 19-26'!F126</f>
        <v>14976.729731237987</v>
      </c>
      <c r="G126" s="42">
        <f>+'C6 Ejec. Nac 19-26'!G126+'C7 Ejec. Prop 19-26'!G126</f>
        <v>32547.095654277753</v>
      </c>
      <c r="H126" s="42">
        <f>+'C6 Ejec. Nac 19-26'!H126+'C7 Ejec. Prop 19-26'!H126</f>
        <v>19946.255500744384</v>
      </c>
      <c r="I126" s="42">
        <f>+'C6 Ejec. Nac 19-26'!I126+'C7 Ejec. Prop 19-26'!I126</f>
        <v>9611.6760371112741</v>
      </c>
      <c r="J126" s="42">
        <f>+'C6 Ejec. Nac 19-26'!J126+'C7 Ejec. Prop 19-26'!J126</f>
        <v>10842.17136396334</v>
      </c>
      <c r="K126" s="42">
        <f>549.53889310426*Deflactores!$AA$5</f>
        <v>549.53889310425996</v>
      </c>
      <c r="L126" s="42"/>
      <c r="M126" s="47">
        <f t="shared" si="40"/>
        <v>99.85547548197809</v>
      </c>
      <c r="N126" s="47">
        <f t="shared" si="41"/>
        <v>52.862386155422399</v>
      </c>
      <c r="O126" s="47">
        <f t="shared" si="42"/>
        <v>51.647195918409793</v>
      </c>
      <c r="P126" s="47">
        <f t="shared" si="43"/>
        <v>95.963292243790107</v>
      </c>
      <c r="Q126" s="47">
        <f t="shared" si="44"/>
        <v>97.46958516518967</v>
      </c>
      <c r="R126" s="47">
        <f t="shared" si="45"/>
        <v>62.08735476138628</v>
      </c>
      <c r="S126" s="47">
        <f t="shared" si="46"/>
        <v>98.681925705495004</v>
      </c>
      <c r="T126" s="47">
        <f t="shared" si="47"/>
        <v>5.3132124662505973</v>
      </c>
    </row>
    <row r="127" spans="2:20" x14ac:dyDescent="0.2">
      <c r="B127" s="32"/>
      <c r="C127" s="77" t="s">
        <v>61</v>
      </c>
      <c r="D127" s="42">
        <f>+'C6 Ejec. Nac 19-26'!D127+'C7 Ejec. Prop 19-26'!D127</f>
        <v>29381.533093049136</v>
      </c>
      <c r="E127" s="42">
        <f>+'C6 Ejec. Nac 19-26'!E127+'C7 Ejec. Prop 19-26'!E127</f>
        <v>31961.028466523414</v>
      </c>
      <c r="F127" s="42">
        <f>+'C6 Ejec. Nac 19-26'!F127+'C7 Ejec. Prop 19-26'!F127</f>
        <v>33234.799031280985</v>
      </c>
      <c r="G127" s="42">
        <f>+'C6 Ejec. Nac 19-26'!G127+'C7 Ejec. Prop 19-26'!G127</f>
        <v>34225.188348786476</v>
      </c>
      <c r="H127" s="42">
        <f>+'C6 Ejec. Nac 19-26'!H127+'C7 Ejec. Prop 19-26'!H127</f>
        <v>33884.061122527892</v>
      </c>
      <c r="I127" s="42">
        <f>+'C6 Ejec. Nac 19-26'!I127+'C7 Ejec. Prop 19-26'!I127</f>
        <v>45243.784830764744</v>
      </c>
      <c r="J127" s="42">
        <f>+'C6 Ejec. Nac 19-26'!J127+'C7 Ejec. Prop 19-26'!J127</f>
        <v>47447.045802078828</v>
      </c>
      <c r="K127" s="42">
        <f>25171.0634959308*Deflactores!$AA$5</f>
        <v>25171.063495930801</v>
      </c>
      <c r="L127" s="42"/>
      <c r="M127" s="47">
        <f t="shared" si="40"/>
        <v>99.946195286388956</v>
      </c>
      <c r="N127" s="47">
        <f t="shared" si="41"/>
        <v>97.874521406723204</v>
      </c>
      <c r="O127" s="47">
        <f t="shared" si="42"/>
        <v>95.211150041984567</v>
      </c>
      <c r="P127" s="47">
        <f t="shared" si="43"/>
        <v>99.679241197332871</v>
      </c>
      <c r="Q127" s="47">
        <f t="shared" si="44"/>
        <v>96.068196647084832</v>
      </c>
      <c r="R127" s="47">
        <f t="shared" si="45"/>
        <v>97.975595653713626</v>
      </c>
      <c r="S127" s="47">
        <f t="shared" si="46"/>
        <v>97.068819139431966</v>
      </c>
      <c r="T127" s="47">
        <f t="shared" si="47"/>
        <v>51.603806801480964</v>
      </c>
    </row>
    <row r="128" spans="2:20" x14ac:dyDescent="0.2">
      <c r="B128" s="32"/>
      <c r="C128" s="77" t="s">
        <v>103</v>
      </c>
      <c r="D128" s="42">
        <f>+'C6 Ejec. Nac 19-26'!D128+'C7 Ejec. Prop 19-26'!D128</f>
        <v>190.35043842905864</v>
      </c>
      <c r="E128" s="42">
        <f>+'C6 Ejec. Nac 19-26'!E128+'C7 Ejec. Prop 19-26'!E128</f>
        <v>167.96848901489034</v>
      </c>
      <c r="F128" s="42">
        <f>+'C6 Ejec. Nac 19-26'!F128+'C7 Ejec. Prop 19-26'!F128</f>
        <v>161.44621345607135</v>
      </c>
      <c r="G128" s="42">
        <f>+'C6 Ejec. Nac 19-26'!G128+'C7 Ejec. Prop 19-26'!G128</f>
        <v>163.72542992372317</v>
      </c>
      <c r="H128" s="42">
        <f>+'C6 Ejec. Nac 19-26'!H128+'C7 Ejec. Prop 19-26'!H128</f>
        <v>169.5566066197934</v>
      </c>
      <c r="I128" s="42">
        <f>+'C6 Ejec. Nac 19-26'!I128+'C7 Ejec. Prop 19-26'!I128</f>
        <v>93.981536371671737</v>
      </c>
      <c r="J128" s="42">
        <f>+'C6 Ejec. Nac 19-26'!J128+'C7 Ejec. Prop 19-26'!J128</f>
        <v>104.66487204992076</v>
      </c>
      <c r="K128" s="42">
        <f>37.07103583403*Deflactores!$AA$5</f>
        <v>37.071035834029999</v>
      </c>
      <c r="L128" s="42"/>
      <c r="M128" s="47">
        <f t="shared" si="40"/>
        <v>75.776489297530489</v>
      </c>
      <c r="N128" s="47">
        <f t="shared" si="41"/>
        <v>70.335114702012561</v>
      </c>
      <c r="O128" s="47">
        <f t="shared" si="42"/>
        <v>39.00451729157173</v>
      </c>
      <c r="P128" s="47">
        <f t="shared" si="43"/>
        <v>54.197124451600921</v>
      </c>
      <c r="Q128" s="47">
        <f t="shared" si="44"/>
        <v>49.103939795759707</v>
      </c>
      <c r="R128" s="47">
        <f t="shared" si="45"/>
        <v>28.628382392552275</v>
      </c>
      <c r="S128" s="47">
        <f t="shared" si="46"/>
        <v>33.556239829056395</v>
      </c>
      <c r="T128" s="47">
        <f t="shared" si="47"/>
        <v>14.372591950269475</v>
      </c>
    </row>
    <row r="129" spans="2:20" x14ac:dyDescent="0.2">
      <c r="B129" s="32"/>
      <c r="C129" s="77" t="s">
        <v>104</v>
      </c>
      <c r="D129" s="42">
        <f>+'C6 Ejec. Nac 19-26'!D129+'C7 Ejec. Prop 19-26'!D129</f>
        <v>760.1892711454575</v>
      </c>
      <c r="E129" s="42">
        <f>+'C6 Ejec. Nac 19-26'!E129+'C7 Ejec. Prop 19-26'!E129</f>
        <v>1180.6307176307917</v>
      </c>
      <c r="F129" s="42">
        <f>+'C6 Ejec. Nac 19-26'!F129+'C7 Ejec. Prop 19-26'!F129</f>
        <v>1206.5438048101337</v>
      </c>
      <c r="G129" s="42">
        <f>+'C6 Ejec. Nac 19-26'!G129+'C7 Ejec. Prop 19-26'!G129</f>
        <v>1599.4028469576792</v>
      </c>
      <c r="H129" s="42">
        <f>+'C6 Ejec. Nac 19-26'!H129+'C7 Ejec. Prop 19-26'!H129</f>
        <v>4677.2131972810066</v>
      </c>
      <c r="I129" s="42">
        <f>+'C6 Ejec. Nac 19-26'!I129+'C7 Ejec. Prop 19-26'!I129</f>
        <v>1586.803314982081</v>
      </c>
      <c r="J129" s="42">
        <f>+'C6 Ejec. Nac 19-26'!J129+'C7 Ejec. Prop 19-26'!J129</f>
        <v>1467.2505481958101</v>
      </c>
      <c r="K129" s="42">
        <f>0*Deflactores!$AA$5</f>
        <v>0</v>
      </c>
      <c r="L129" s="42"/>
      <c r="M129" s="47">
        <f t="shared" si="40"/>
        <v>99.306648069156793</v>
      </c>
      <c r="N129" s="47">
        <f t="shared" si="41"/>
        <v>100</v>
      </c>
      <c r="O129" s="47">
        <f t="shared" si="42"/>
        <v>100</v>
      </c>
      <c r="P129" s="47">
        <f t="shared" si="43"/>
        <v>99.971585660163257</v>
      </c>
      <c r="Q129" s="47">
        <f t="shared" si="44"/>
        <v>99.631049280998269</v>
      </c>
      <c r="R129" s="47">
        <f t="shared" si="45"/>
        <v>100</v>
      </c>
      <c r="S129" s="47">
        <f t="shared" si="46"/>
        <v>72.718630119689493</v>
      </c>
      <c r="T129" s="47">
        <f t="shared" si="47"/>
        <v>0</v>
      </c>
    </row>
    <row r="130" spans="2:20" x14ac:dyDescent="0.2">
      <c r="B130" s="34" t="s">
        <v>45</v>
      </c>
      <c r="C130" s="76" t="s">
        <v>46</v>
      </c>
      <c r="D130" s="41">
        <f>+'C6 Ejec. Nac 19-26'!D130+'C7 Ejec. Prop 19-26'!D130</f>
        <v>48792.920446466786</v>
      </c>
      <c r="E130" s="41">
        <f>+'C6 Ejec. Nac 19-26'!E130+'C7 Ejec. Prop 19-26'!E130</f>
        <v>52987.415736155017</v>
      </c>
      <c r="F130" s="41">
        <f>+'C6 Ejec. Nac 19-26'!F130+'C7 Ejec. Prop 19-26'!F130</f>
        <v>65487.941497493812</v>
      </c>
      <c r="G130" s="41">
        <f>+'C6 Ejec. Nac 19-26'!G130+'C7 Ejec. Prop 19-26'!G130</f>
        <v>69525.067848332372</v>
      </c>
      <c r="H130" s="41">
        <f>+'C6 Ejec. Nac 19-26'!H130+'C7 Ejec. Prop 19-26'!H130</f>
        <v>68748.674233617639</v>
      </c>
      <c r="I130" s="41">
        <f>+'C6 Ejec. Nac 19-26'!I130+'C7 Ejec. Prop 19-26'!I130</f>
        <v>56087.025852895116</v>
      </c>
      <c r="J130" s="41">
        <f>+'C6 Ejec. Nac 19-26'!J130+'C7 Ejec. Prop 19-26'!J130</f>
        <v>52549.319436105201</v>
      </c>
      <c r="K130" s="41">
        <f>14764.5346588272*Deflactores!$AA$5</f>
        <v>14764.5346588272</v>
      </c>
      <c r="L130" s="71"/>
      <c r="M130" s="46">
        <f t="shared" si="40"/>
        <v>75.219775103782681</v>
      </c>
      <c r="N130" s="46">
        <f t="shared" si="41"/>
        <v>79.272171533345187</v>
      </c>
      <c r="O130" s="46">
        <f t="shared" si="42"/>
        <v>76.020777911977675</v>
      </c>
      <c r="P130" s="46">
        <f t="shared" si="43"/>
        <v>78.049495433137778</v>
      </c>
      <c r="Q130" s="46">
        <f t="shared" si="44"/>
        <v>70.519380164221474</v>
      </c>
      <c r="R130" s="46">
        <f t="shared" si="45"/>
        <v>55.671141066818151</v>
      </c>
      <c r="S130" s="46">
        <f t="shared" si="46"/>
        <v>63.58015778285354</v>
      </c>
      <c r="T130" s="46">
        <f t="shared" si="47"/>
        <v>16.504391814084567</v>
      </c>
    </row>
    <row r="131" spans="2:20" x14ac:dyDescent="0.2">
      <c r="B131" s="36" t="s">
        <v>47</v>
      </c>
      <c r="C131" s="78" t="s">
        <v>48</v>
      </c>
      <c r="D131" s="43">
        <f t="shared" ref="D131:K131" si="51">+D112+D130</f>
        <v>277513.71561797295</v>
      </c>
      <c r="E131" s="43">
        <f t="shared" si="51"/>
        <v>325537.82810055575</v>
      </c>
      <c r="F131" s="43">
        <f t="shared" si="51"/>
        <v>353977.22515541059</v>
      </c>
      <c r="G131" s="43">
        <f t="shared" si="51"/>
        <v>309568.92273491243</v>
      </c>
      <c r="H131" s="43">
        <f t="shared" si="51"/>
        <v>344537.37079865707</v>
      </c>
      <c r="I131" s="43">
        <f t="shared" si="51"/>
        <v>344996.04426556214</v>
      </c>
      <c r="J131" s="43">
        <f t="shared" si="51"/>
        <v>363007.42194989708</v>
      </c>
      <c r="K131" s="43">
        <f t="shared" si="51"/>
        <v>106466.67526492241</v>
      </c>
      <c r="L131" s="71"/>
      <c r="M131" s="48">
        <f t="shared" si="40"/>
        <v>90.095794793203297</v>
      </c>
      <c r="N131" s="48">
        <f t="shared" si="41"/>
        <v>83.386279084395127</v>
      </c>
      <c r="O131" s="48">
        <f t="shared" si="42"/>
        <v>89.515611824056563</v>
      </c>
      <c r="P131" s="48">
        <f t="shared" si="43"/>
        <v>86.180922574549811</v>
      </c>
      <c r="Q131" s="48">
        <f t="shared" si="44"/>
        <v>85.451290447474989</v>
      </c>
      <c r="R131" s="48">
        <f t="shared" si="45"/>
        <v>81.48289985641388</v>
      </c>
      <c r="S131" s="48">
        <f t="shared" si="46"/>
        <v>86.235197910682018</v>
      </c>
      <c r="T131" s="48">
        <f t="shared" si="47"/>
        <v>23.386448219181986</v>
      </c>
    </row>
    <row r="132" spans="2:20" x14ac:dyDescent="0.2">
      <c r="B132" s="38" t="s">
        <v>49</v>
      </c>
      <c r="C132" s="79" t="s">
        <v>63</v>
      </c>
      <c r="D132" s="44">
        <f t="shared" ref="D132:K132" si="52">+D112+D120+D130</f>
        <v>357524.28539895557</v>
      </c>
      <c r="E132" s="44">
        <f t="shared" si="52"/>
        <v>394694.84045447782</v>
      </c>
      <c r="F132" s="44">
        <f t="shared" si="52"/>
        <v>432922.9508824973</v>
      </c>
      <c r="G132" s="44">
        <f t="shared" si="52"/>
        <v>397499.69211790268</v>
      </c>
      <c r="H132" s="44">
        <f t="shared" si="52"/>
        <v>432379.68304184335</v>
      </c>
      <c r="I132" s="44">
        <f t="shared" si="52"/>
        <v>437049.7908359943</v>
      </c>
      <c r="J132" s="44">
        <f t="shared" si="52"/>
        <v>473525.25771722774</v>
      </c>
      <c r="K132" s="44">
        <f t="shared" si="52"/>
        <v>143089.57681606428</v>
      </c>
      <c r="L132" s="71"/>
      <c r="M132" s="45">
        <f t="shared" si="40"/>
        <v>91.998494671096353</v>
      </c>
      <c r="N132" s="45">
        <f t="shared" si="41"/>
        <v>83.57159393529237</v>
      </c>
      <c r="O132" s="45">
        <f t="shared" si="42"/>
        <v>87.034989847890358</v>
      </c>
      <c r="P132" s="45">
        <f t="shared" si="43"/>
        <v>88.172509564193291</v>
      </c>
      <c r="Q132" s="45">
        <f t="shared" si="44"/>
        <v>87.345257115304676</v>
      </c>
      <c r="R132" s="45">
        <f t="shared" si="45"/>
        <v>82.711413089827971</v>
      </c>
      <c r="S132" s="45">
        <f t="shared" si="46"/>
        <v>87.67578563605511</v>
      </c>
      <c r="T132" s="45">
        <f t="shared" si="47"/>
        <v>25.749468291861444</v>
      </c>
    </row>
    <row r="133" spans="2:20" s="5" customFormat="1" x14ac:dyDescent="0.2">
      <c r="B133" s="72" t="str">
        <f>+'C1 Aprop Resumen 2000-2026'!B20</f>
        <v>* Información con corte a 30 de abril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</row>
  </sheetData>
  <mergeCells count="107">
    <mergeCell ref="M76:T76"/>
    <mergeCell ref="O6:O7"/>
    <mergeCell ref="V6:V7"/>
    <mergeCell ref="I12:I13"/>
    <mergeCell ref="K12:K13"/>
    <mergeCell ref="M6:M7"/>
    <mergeCell ref="J110:J111"/>
    <mergeCell ref="C77:C78"/>
    <mergeCell ref="D110:D111"/>
    <mergeCell ref="N110:N111"/>
    <mergeCell ref="P110:P111"/>
    <mergeCell ref="H6:H7"/>
    <mergeCell ref="S77:S78"/>
    <mergeCell ref="J6:J7"/>
    <mergeCell ref="C110:C111"/>
    <mergeCell ref="E110:E111"/>
    <mergeCell ref="G110:G111"/>
    <mergeCell ref="U6:U7"/>
    <mergeCell ref="M11:T11"/>
    <mergeCell ref="M109:T109"/>
    <mergeCell ref="H45:H46"/>
    <mergeCell ref="D2:T2"/>
    <mergeCell ref="E6:E7"/>
    <mergeCell ref="M77:M78"/>
    <mergeCell ref="D76:K76"/>
    <mergeCell ref="E77:E78"/>
    <mergeCell ref="F77:F78"/>
    <mergeCell ref="E45:E46"/>
    <mergeCell ref="G45:G46"/>
    <mergeCell ref="H77:H78"/>
    <mergeCell ref="Q45:Q46"/>
    <mergeCell ref="S45:S46"/>
    <mergeCell ref="S6:S7"/>
    <mergeCell ref="M45:M46"/>
    <mergeCell ref="P12:P13"/>
    <mergeCell ref="R77:R78"/>
    <mergeCell ref="T6:T7"/>
    <mergeCell ref="T77:T78"/>
    <mergeCell ref="D4:K4"/>
    <mergeCell ref="D6:D7"/>
    <mergeCell ref="N45:N46"/>
    <mergeCell ref="F6:F7"/>
    <mergeCell ref="P45:P46"/>
    <mergeCell ref="D10:K10"/>
    <mergeCell ref="F12:F13"/>
    <mergeCell ref="M4:T4"/>
    <mergeCell ref="I45:I46"/>
    <mergeCell ref="D109:K109"/>
    <mergeCell ref="J77:J78"/>
    <mergeCell ref="D77:D78"/>
    <mergeCell ref="C45:C46"/>
    <mergeCell ref="O45:O46"/>
    <mergeCell ref="F110:F111"/>
    <mergeCell ref="D12:D13"/>
    <mergeCell ref="H110:H111"/>
    <mergeCell ref="R45:R46"/>
    <mergeCell ref="R110:R111"/>
    <mergeCell ref="T110:T111"/>
    <mergeCell ref="H12:H13"/>
    <mergeCell ref="J12:J13"/>
    <mergeCell ref="L6:L7"/>
    <mergeCell ref="N6:N7"/>
    <mergeCell ref="M75:S75"/>
    <mergeCell ref="O77:O78"/>
    <mergeCell ref="D42:T42"/>
    <mergeCell ref="Q77:Q78"/>
    <mergeCell ref="G77:G78"/>
    <mergeCell ref="I77:I78"/>
    <mergeCell ref="T12:T13"/>
    <mergeCell ref="I110:I111"/>
    <mergeCell ref="B12:B13"/>
    <mergeCell ref="N12:N13"/>
    <mergeCell ref="N77:N78"/>
    <mergeCell ref="P6:P7"/>
    <mergeCell ref="P77:P78"/>
    <mergeCell ref="K77:K78"/>
    <mergeCell ref="J45:J46"/>
    <mergeCell ref="D107:T107"/>
    <mergeCell ref="O110:O111"/>
    <mergeCell ref="Q110:Q111"/>
    <mergeCell ref="D74:T74"/>
    <mergeCell ref="E12:E13"/>
    <mergeCell ref="G12:G13"/>
    <mergeCell ref="Q12:Q13"/>
    <mergeCell ref="S12:S13"/>
    <mergeCell ref="T45:T46"/>
    <mergeCell ref="D44:K44"/>
    <mergeCell ref="M44:T44"/>
    <mergeCell ref="K45:K46"/>
    <mergeCell ref="K110:K111"/>
    <mergeCell ref="M110:M111"/>
    <mergeCell ref="S110:S111"/>
    <mergeCell ref="D9:T9"/>
    <mergeCell ref="R6:R7"/>
    <mergeCell ref="D45:D46"/>
    <mergeCell ref="F45:F46"/>
    <mergeCell ref="R12:R13"/>
    <mergeCell ref="I6:I7"/>
    <mergeCell ref="K6:K7"/>
    <mergeCell ref="A7:C7"/>
    <mergeCell ref="C12:C13"/>
    <mergeCell ref="G6:G7"/>
    <mergeCell ref="Q6:Q7"/>
    <mergeCell ref="D11:K11"/>
    <mergeCell ref="M12:M13"/>
    <mergeCell ref="O12:O13"/>
    <mergeCell ref="A5:C6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U138"/>
  <sheetViews>
    <sheetView showGridLines="0" zoomScaleNormal="100" workbookViewId="0">
      <pane xSplit="3" ySplit="7" topLeftCell="D61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21" sqref="L121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1" ht="16.5" customHeight="1" x14ac:dyDescent="0.2">
      <c r="I1" s="4"/>
      <c r="N1" s="11"/>
    </row>
    <row r="2" spans="1:21" ht="16.5" customHeight="1" x14ac:dyDescent="0.2">
      <c r="D2" s="163"/>
      <c r="E2" s="156"/>
      <c r="F2" s="156"/>
      <c r="G2" s="156"/>
      <c r="H2" s="156"/>
      <c r="I2" s="156"/>
      <c r="J2" s="156"/>
      <c r="K2" s="169"/>
      <c r="L2" s="169"/>
      <c r="M2" s="156"/>
      <c r="N2" s="156"/>
      <c r="O2" s="156"/>
      <c r="P2" s="156"/>
      <c r="Q2" s="156"/>
      <c r="R2" s="156"/>
      <c r="S2" s="156"/>
      <c r="T2" s="156"/>
    </row>
    <row r="3" spans="1:21" s="98" customFormat="1" ht="16.5" customHeight="1" x14ac:dyDescent="0.25">
      <c r="A3" s="120"/>
    </row>
    <row r="4" spans="1:21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33"/>
      <c r="M4" s="161"/>
      <c r="N4" s="152"/>
      <c r="O4" s="152"/>
      <c r="P4" s="152"/>
      <c r="Q4" s="152"/>
      <c r="R4" s="152"/>
      <c r="S4" s="152"/>
      <c r="T4" s="152"/>
      <c r="U4" s="98">
        <v>1000000000</v>
      </c>
    </row>
    <row r="5" spans="1:21" s="98" customFormat="1" ht="16.5" customHeight="1" x14ac:dyDescent="0.25">
      <c r="A5" s="165" t="s">
        <v>17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1" s="98" customFormat="1" ht="16.5" customHeight="1" x14ac:dyDescent="0.25">
      <c r="A6" s="152"/>
      <c r="B6" s="152"/>
      <c r="C6" s="152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10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10</v>
      </c>
    </row>
    <row r="7" spans="1:21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1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1" ht="16.5" customHeight="1" x14ac:dyDescent="0.2">
      <c r="C9" s="131"/>
      <c r="D9" s="155" t="s">
        <v>109</v>
      </c>
      <c r="E9" s="156"/>
      <c r="F9" s="156"/>
      <c r="G9" s="156"/>
      <c r="H9" s="156"/>
      <c r="I9" s="156"/>
      <c r="J9" s="156"/>
      <c r="K9" s="169"/>
      <c r="L9" s="169"/>
      <c r="M9" s="156"/>
      <c r="N9" s="156"/>
      <c r="O9" s="156"/>
      <c r="P9" s="156"/>
      <c r="Q9" s="156"/>
      <c r="R9" s="156"/>
      <c r="S9" s="156"/>
      <c r="T9" s="156"/>
    </row>
    <row r="10" spans="1:21" ht="15.75" customHeight="1" x14ac:dyDescent="0.2">
      <c r="C10" s="2"/>
      <c r="D10" s="157"/>
      <c r="E10" s="156"/>
      <c r="F10" s="156"/>
      <c r="G10" s="156"/>
      <c r="H10" s="156"/>
      <c r="I10" s="156"/>
      <c r="J10" s="156"/>
      <c r="K10" s="169"/>
    </row>
    <row r="11" spans="1:21" ht="15.75" customHeight="1" thickBot="1" x14ac:dyDescent="0.3">
      <c r="B11" s="19"/>
      <c r="C11" s="92"/>
      <c r="D11" s="167"/>
      <c r="E11" s="154"/>
      <c r="F11" s="154"/>
      <c r="G11" s="154"/>
      <c r="H11" s="154"/>
      <c r="I11" s="154"/>
      <c r="J11" s="154"/>
      <c r="K11" s="154"/>
      <c r="M11" s="167" t="s">
        <v>91</v>
      </c>
      <c r="N11" s="154"/>
      <c r="O11" s="154"/>
      <c r="P11" s="154"/>
      <c r="Q11" s="154"/>
      <c r="R11" s="154"/>
      <c r="S11" s="154"/>
      <c r="T11" s="154"/>
    </row>
    <row r="12" spans="1:21" x14ac:dyDescent="0.2">
      <c r="B12" s="158"/>
      <c r="C12" s="171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10</v>
      </c>
      <c r="L12" s="114"/>
      <c r="M12" s="153">
        <v>2019</v>
      </c>
      <c r="N12" s="153">
        <v>2020</v>
      </c>
      <c r="O12" s="153">
        <v>2021</v>
      </c>
      <c r="P12" s="153">
        <v>2022</v>
      </c>
      <c r="Q12" s="153">
        <v>2023</v>
      </c>
      <c r="R12" s="153">
        <v>2024</v>
      </c>
      <c r="S12" s="153">
        <v>2025</v>
      </c>
      <c r="T12" s="153" t="s">
        <v>10</v>
      </c>
    </row>
    <row r="13" spans="1:21" ht="12" customHeight="1" thickBot="1" x14ac:dyDescent="0.25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14"/>
      <c r="M13" s="154"/>
      <c r="N13" s="154"/>
      <c r="O13" s="154"/>
      <c r="P13" s="154"/>
      <c r="Q13" s="154"/>
      <c r="R13" s="154"/>
      <c r="S13" s="154"/>
      <c r="T13" s="154"/>
    </row>
    <row r="14" spans="1:21" x14ac:dyDescent="0.2">
      <c r="B14" s="34" t="s">
        <v>39</v>
      </c>
      <c r="C14" s="76" t="s">
        <v>40</v>
      </c>
      <c r="D14" s="41">
        <f t="shared" ref="D14:K14" si="0">+SUM(D15:D21)</f>
        <v>233027.36184918307</v>
      </c>
      <c r="E14" s="41">
        <f t="shared" si="0"/>
        <v>313358.08718845557</v>
      </c>
      <c r="F14" s="41">
        <f t="shared" si="0"/>
        <v>296940.39206019964</v>
      </c>
      <c r="G14" s="41">
        <f t="shared" si="0"/>
        <v>259278.63991210036</v>
      </c>
      <c r="H14" s="41">
        <f t="shared" si="0"/>
        <v>293611.0461686466</v>
      </c>
      <c r="I14" s="41">
        <f t="shared" si="0"/>
        <v>307673.82847978181</v>
      </c>
      <c r="J14" s="41">
        <f t="shared" si="0"/>
        <v>325028.55187994224</v>
      </c>
      <c r="K14" s="41">
        <f t="shared" si="0"/>
        <v>352135.70035247307</v>
      </c>
      <c r="L14" s="71"/>
      <c r="M14" s="119">
        <f t="shared" ref="M14:M34" si="1">+(D14/D$34)*100</f>
        <v>63.744252919654713</v>
      </c>
      <c r="N14" s="119">
        <f t="shared" ref="N14:N34" si="2">+(E14/E$34)*100</f>
        <v>69.686831821106693</v>
      </c>
      <c r="O14" s="119">
        <f t="shared" ref="O14:O34" si="3">+(F14/F$34)*100</f>
        <v>63.136097373330522</v>
      </c>
      <c r="P14" s="119">
        <f t="shared" ref="P14:P34" si="4">+(G14/G$34)*100</f>
        <v>60.768851900330134</v>
      </c>
      <c r="Q14" s="119">
        <f t="shared" ref="Q14:Q34" si="5">+(H14/H$34)*100</f>
        <v>62.530649757764081</v>
      </c>
      <c r="R14" s="119">
        <f t="shared" ref="R14:R34" si="6">+(I14/I$34)*100</f>
        <v>61.732671585358837</v>
      </c>
      <c r="S14" s="119">
        <f t="shared" ref="S14:S34" si="7">+(J14/J$34)*100</f>
        <v>63.453374213350457</v>
      </c>
      <c r="T14" s="119">
        <f t="shared" ref="T14:T34" si="8">+(K14/K$34)*100</f>
        <v>66.940641529761891</v>
      </c>
    </row>
    <row r="15" spans="1:21" x14ac:dyDescent="0.2">
      <c r="B15" s="40"/>
      <c r="C15" s="77" t="s">
        <v>92</v>
      </c>
      <c r="D15" s="42">
        <f>29434.3990317757*Deflactores!$T$5</f>
        <v>45680.011976600603</v>
      </c>
      <c r="E15" s="42">
        <f>31082.96460892*Deflactores!$U$5</f>
        <v>47474.130416975058</v>
      </c>
      <c r="F15" s="42">
        <f>32934.54654911*Deflactores!$V$5</f>
        <v>47625.561585248564</v>
      </c>
      <c r="G15" s="42">
        <f>36169.642668424*Deflactores!$W$5</f>
        <v>46237.382770604381</v>
      </c>
      <c r="H15" s="42">
        <f>42584.280461041*Deflactores!$X$5</f>
        <v>49814.715242044447</v>
      </c>
      <c r="I15" s="42">
        <f>47817.061649576*Deflactores!$Y$5</f>
        <v>53171.08029298576</v>
      </c>
      <c r="J15" s="42">
        <f>53931.398635097*Deflactores!$Z$5</f>
        <v>57059.419755932628</v>
      </c>
      <c r="K15" s="42">
        <f>62441.924817658*Deflactores!$AA$5</f>
        <v>62441.924817658</v>
      </c>
      <c r="L15" s="42"/>
      <c r="M15" s="109">
        <f t="shared" si="1"/>
        <v>12.495692410120691</v>
      </c>
      <c r="N15" s="109">
        <f t="shared" si="2"/>
        <v>10.557639574278422</v>
      </c>
      <c r="O15" s="109">
        <f t="shared" si="3"/>
        <v>10.126248143082556</v>
      </c>
      <c r="P15" s="109">
        <f t="shared" si="4"/>
        <v>10.836961605469311</v>
      </c>
      <c r="Q15" s="109">
        <f t="shared" si="5"/>
        <v>10.609091695391617</v>
      </c>
      <c r="R15" s="109">
        <f t="shared" si="6"/>
        <v>10.668417439936174</v>
      </c>
      <c r="S15" s="109">
        <f t="shared" si="7"/>
        <v>11.139368197742833</v>
      </c>
      <c r="T15" s="109">
        <f t="shared" si="8"/>
        <v>11.87014693898767</v>
      </c>
    </row>
    <row r="16" spans="1:21" x14ac:dyDescent="0.2">
      <c r="B16" s="40"/>
      <c r="C16" s="77" t="s">
        <v>93</v>
      </c>
      <c r="D16" s="42">
        <f>8922.00873358814*Deflactores!$T$5</f>
        <v>13846.298182125802</v>
      </c>
      <c r="E16" s="42">
        <f>8983.14219531101*Deflactores!$U$5</f>
        <v>13720.276347515501</v>
      </c>
      <c r="F16" s="42">
        <f>10010.518802558*Deflactores!$V$5</f>
        <v>14475.881094054361</v>
      </c>
      <c r="G16" s="42">
        <f>12527.72767363*Deflactores!$W$5</f>
        <v>16014.792985422731</v>
      </c>
      <c r="H16" s="42">
        <f>14809.885732395*Deflactores!$X$5</f>
        <v>17324.473550784023</v>
      </c>
      <c r="I16" s="42">
        <f>15704.734638638*Deflactores!$Y$5</f>
        <v>17463.17480924636</v>
      </c>
      <c r="J16" s="42">
        <f>18641.5635166892*Deflactores!$Z$5</f>
        <v>19722.774200657172</v>
      </c>
      <c r="K16" s="42">
        <f>17286.288586131*Deflactores!$AA$5</f>
        <v>17286.288586130999</v>
      </c>
      <c r="L16" s="42"/>
      <c r="M16" s="109">
        <f t="shared" si="1"/>
        <v>3.7876321746869426</v>
      </c>
      <c r="N16" s="109">
        <f t="shared" si="2"/>
        <v>3.051214024654811</v>
      </c>
      <c r="O16" s="109">
        <f t="shared" si="3"/>
        <v>3.0778926099541302</v>
      </c>
      <c r="P16" s="109">
        <f t="shared" si="4"/>
        <v>3.7534930894250702</v>
      </c>
      <c r="Q16" s="109">
        <f t="shared" si="5"/>
        <v>3.6896111436471055</v>
      </c>
      <c r="R16" s="109">
        <f t="shared" si="6"/>
        <v>3.5038678481805254</v>
      </c>
      <c r="S16" s="109">
        <f t="shared" si="7"/>
        <v>3.8503588827543336</v>
      </c>
      <c r="T16" s="109">
        <f t="shared" si="8"/>
        <v>3.2861060280623229</v>
      </c>
    </row>
    <row r="17" spans="2:20" x14ac:dyDescent="0.2">
      <c r="B17" s="40"/>
      <c r="C17" s="77" t="s">
        <v>58</v>
      </c>
      <c r="D17" s="42">
        <f>110742.344183956*Deflactores!$T$5</f>
        <v>171863.9338679495</v>
      </c>
      <c r="E17" s="42">
        <f>163800.82264649*Deflactores!$U$5</f>
        <v>250178.89106033574</v>
      </c>
      <c r="F17" s="42">
        <f>159976.730579027*Deflactores!$V$5</f>
        <v>231337.07406711078</v>
      </c>
      <c r="G17" s="42">
        <f>152233.85387946*Deflactores!$W$5</f>
        <v>194607.81067139996</v>
      </c>
      <c r="H17" s="42">
        <f>191431.146183159*Deflactores!$X$5</f>
        <v>223934.46436875954</v>
      </c>
      <c r="I17" s="42">
        <f>211052.575297511*Deflactores!$Y$5</f>
        <v>234683.87726172394</v>
      </c>
      <c r="J17" s="42">
        <f>232463.835668997*Deflactores!$Z$5</f>
        <v>245946.73813779882</v>
      </c>
      <c r="K17" s="42">
        <f>270110.275974836*Deflactores!$AA$5</f>
        <v>270110.27597483603</v>
      </c>
      <c r="L17" s="42"/>
      <c r="M17" s="109">
        <f t="shared" si="1"/>
        <v>47.013097437612302</v>
      </c>
      <c r="N17" s="109">
        <f t="shared" si="2"/>
        <v>55.636586446315526</v>
      </c>
      <c r="O17" s="109">
        <f t="shared" si="3"/>
        <v>49.187380447054231</v>
      </c>
      <c r="P17" s="109">
        <f t="shared" si="4"/>
        <v>45.611521370780977</v>
      </c>
      <c r="Q17" s="109">
        <f t="shared" si="5"/>
        <v>47.691555691989819</v>
      </c>
      <c r="R17" s="109">
        <f t="shared" si="6"/>
        <v>47.087731813135662</v>
      </c>
      <c r="S17" s="109">
        <f t="shared" si="7"/>
        <v>48.014706158415272</v>
      </c>
      <c r="T17" s="109">
        <f t="shared" si="8"/>
        <v>51.347691073179682</v>
      </c>
    </row>
    <row r="18" spans="2:20" x14ac:dyDescent="0.2">
      <c r="B18" s="40"/>
      <c r="C18" s="77" t="s">
        <v>94</v>
      </c>
      <c r="D18" s="42">
        <f>71.30791418*Deflactores!$T$5</f>
        <v>110.66461286511615</v>
      </c>
      <c r="E18" s="42">
        <f>69.165109197*Deflactores!$U$5</f>
        <v>105.63836029271175</v>
      </c>
      <c r="F18" s="42">
        <f>88.726645505*Deflactores!$V$5</f>
        <v>128.30467586519987</v>
      </c>
      <c r="G18" s="42">
        <f>86.353914385*Deflactores!$W$5</f>
        <v>110.39033561271341</v>
      </c>
      <c r="H18" s="42">
        <f>100.767412376*Deflactores!$X$5</f>
        <v>117.87682916893402</v>
      </c>
      <c r="I18" s="42">
        <f>105.542896864*Deflactores!$Y$5</f>
        <v>117.36040755987817</v>
      </c>
      <c r="J18" s="42">
        <f>116.33820661*Deflactores!$Z$5</f>
        <v>123.08582259338</v>
      </c>
      <c r="K18" s="42">
        <f>124.267597004*Deflactores!$AA$5</f>
        <v>124.267597004</v>
      </c>
      <c r="L18" s="42"/>
      <c r="M18" s="109">
        <f t="shared" si="1"/>
        <v>3.0272123478337222E-2</v>
      </c>
      <c r="N18" s="109">
        <f t="shared" si="2"/>
        <v>2.3492620578668404E-2</v>
      </c>
      <c r="O18" s="109">
        <f t="shared" si="3"/>
        <v>2.7280412922862304E-2</v>
      </c>
      <c r="P18" s="109">
        <f t="shared" si="4"/>
        <v>2.5872914013861461E-2</v>
      </c>
      <c r="Q18" s="109">
        <f t="shared" si="5"/>
        <v>2.5104350859758318E-2</v>
      </c>
      <c r="R18" s="109">
        <f t="shared" si="6"/>
        <v>2.3547571572191468E-2</v>
      </c>
      <c r="S18" s="109">
        <f t="shared" si="7"/>
        <v>2.4029306706140424E-2</v>
      </c>
      <c r="T18" s="109">
        <f t="shared" si="8"/>
        <v>2.3623144874215123E-2</v>
      </c>
    </row>
    <row r="19" spans="2:20" x14ac:dyDescent="0.2">
      <c r="B19" s="40"/>
      <c r="C19" s="77" t="s">
        <v>95</v>
      </c>
      <c r="D19" s="42">
        <f>290.862*Deflactores!$T$5</f>
        <v>451.39632812596477</v>
      </c>
      <c r="E19" s="42">
        <f>320.008*Deflactores!$U$5</f>
        <v>488.75973439533556</v>
      </c>
      <c r="F19" s="42">
        <f>473.966*Deflactores!$V$5</f>
        <v>685.38660122903423</v>
      </c>
      <c r="G19" s="42">
        <f>471.622709865*Deflactores!$W$5</f>
        <v>602.89784887410019</v>
      </c>
      <c r="H19" s="42">
        <f>572.789123943*Deflactores!$X$5</f>
        <v>670.04365916350002</v>
      </c>
      <c r="I19" s="42">
        <f>517.901845638*Deflactores!$Y$5</f>
        <v>575.89068981506102</v>
      </c>
      <c r="J19" s="42">
        <f>547.832171184*Deflactores!$Z$5</f>
        <v>579.60643711267198</v>
      </c>
      <c r="K19" s="42">
        <f>626.619*Deflactores!$AA$5</f>
        <v>626.61900000000003</v>
      </c>
      <c r="L19" s="42"/>
      <c r="M19" s="109">
        <f t="shared" si="1"/>
        <v>0.12347872575447867</v>
      </c>
      <c r="N19" s="109">
        <f t="shared" si="2"/>
        <v>0.10869391537756147</v>
      </c>
      <c r="O19" s="109">
        <f t="shared" si="3"/>
        <v>0.14572835609646387</v>
      </c>
      <c r="P19" s="109">
        <f t="shared" si="4"/>
        <v>0.1413051615114862</v>
      </c>
      <c r="Q19" s="109">
        <f t="shared" si="5"/>
        <v>0.14269989470865349</v>
      </c>
      <c r="R19" s="109">
        <f t="shared" si="6"/>
        <v>0.11554856972748691</v>
      </c>
      <c r="S19" s="109">
        <f t="shared" si="7"/>
        <v>0.11315308743756781</v>
      </c>
      <c r="T19" s="109">
        <f t="shared" si="8"/>
        <v>0.11911963999319411</v>
      </c>
    </row>
    <row r="20" spans="2:20" x14ac:dyDescent="0.2">
      <c r="B20" s="40"/>
      <c r="C20" s="77" t="s">
        <v>96</v>
      </c>
      <c r="D20" s="42">
        <f>264.477428919*Deflactores!$T$5</f>
        <v>410.44942373439096</v>
      </c>
      <c r="E20" s="42">
        <f>277.706355412*Deflactores!$U$5</f>
        <v>424.15091032432241</v>
      </c>
      <c r="F20" s="42">
        <f>449.983634082*Deflactores!$V$5</f>
        <v>650.7064928120401</v>
      </c>
      <c r="G20" s="42">
        <f>398.735639812*Deflactores!$W$5</f>
        <v>509.72282395159766</v>
      </c>
      <c r="H20" s="42">
        <f>479.886707779*Deflactores!$X$5</f>
        <v>561.36723311136802</v>
      </c>
      <c r="I20" s="42">
        <f>342.640448517*Deflactores!$Y$5</f>
        <v>381.00548572464629</v>
      </c>
      <c r="J20" s="42">
        <f>334.281513066*Deflactores!$Z$5</f>
        <v>353.669840823828</v>
      </c>
      <c r="K20" s="42">
        <f>353.630723455*Deflactores!$AA$5</f>
        <v>353.63072345500001</v>
      </c>
      <c r="L20" s="42"/>
      <c r="M20" s="109">
        <f t="shared" si="1"/>
        <v>0.11227776716703737</v>
      </c>
      <c r="N20" s="109">
        <f t="shared" si="2"/>
        <v>9.4325739028283478E-2</v>
      </c>
      <c r="O20" s="109">
        <f t="shared" si="3"/>
        <v>0.13835459772448358</v>
      </c>
      <c r="P20" s="109">
        <f t="shared" si="4"/>
        <v>0.11946711387190942</v>
      </c>
      <c r="Q20" s="109">
        <f t="shared" si="5"/>
        <v>0.11955496326595805</v>
      </c>
      <c r="R20" s="109">
        <f t="shared" si="6"/>
        <v>7.6446172359457984E-2</v>
      </c>
      <c r="S20" s="109">
        <f t="shared" si="7"/>
        <v>6.9044841223855971E-2</v>
      </c>
      <c r="T20" s="109">
        <f t="shared" si="8"/>
        <v>6.7224843913913215E-2</v>
      </c>
    </row>
    <row r="21" spans="2:20" x14ac:dyDescent="0.2">
      <c r="B21" s="40"/>
      <c r="C21" s="77" t="s">
        <v>97</v>
      </c>
      <c r="D21" s="42">
        <f>428.246847261359*Deflactores!$T$5</f>
        <v>664.60745778169132</v>
      </c>
      <c r="E21" s="42">
        <f>632.63117421653*Deflactores!$U$5</f>
        <v>966.24035861691095</v>
      </c>
      <c r="F21" s="42">
        <f>1408.978640421*Deflactores!$V$5</f>
        <v>2037.4775438796341</v>
      </c>
      <c r="G21" s="42">
        <f>935.302963387*Deflactores!$W$5</f>
        <v>1195.6424762348813</v>
      </c>
      <c r="H21" s="42">
        <f>1015.655885094*Deflactores!$X$5</f>
        <v>1188.1052856147614</v>
      </c>
      <c r="I21" s="42">
        <f>1152.406022201*Deflactores!$Y$5</f>
        <v>1281.4395327261402</v>
      </c>
      <c r="J21" s="42">
        <f>1175.101781686*Deflactores!$Z$5</f>
        <v>1243.2576850237881</v>
      </c>
      <c r="K21" s="42">
        <f>1192.693653389*Deflactores!$AA$5</f>
        <v>1192.693653389</v>
      </c>
      <c r="L21" s="42"/>
      <c r="M21" s="109">
        <f t="shared" si="1"/>
        <v>0.18180228083491642</v>
      </c>
      <c r="N21" s="109">
        <f t="shared" si="2"/>
        <v>0.21487950087341209</v>
      </c>
      <c r="O21" s="109">
        <f t="shared" si="3"/>
        <v>0.43321280649578864</v>
      </c>
      <c r="P21" s="109">
        <f t="shared" si="4"/>
        <v>0.28023064525752556</v>
      </c>
      <c r="Q21" s="109">
        <f t="shared" si="5"/>
        <v>0.25303201790116547</v>
      </c>
      <c r="R21" s="109">
        <f t="shared" si="6"/>
        <v>0.25711217044733736</v>
      </c>
      <c r="S21" s="109">
        <f t="shared" si="7"/>
        <v>0.2427137390704614</v>
      </c>
      <c r="T21" s="109">
        <f t="shared" si="8"/>
        <v>0.22672986075089507</v>
      </c>
    </row>
    <row r="22" spans="2:20" x14ac:dyDescent="0.2">
      <c r="B22" s="34" t="s">
        <v>41</v>
      </c>
      <c r="C22" s="76" t="s">
        <v>42</v>
      </c>
      <c r="D22" s="41">
        <f t="shared" ref="D22:K22" si="9">+D23+D27</f>
        <v>80596.950275780953</v>
      </c>
      <c r="E22" s="41">
        <f t="shared" si="9"/>
        <v>81884.355469087241</v>
      </c>
      <c r="F22" s="41">
        <f t="shared" si="9"/>
        <v>101974.37797188904</v>
      </c>
      <c r="G22" s="41">
        <f t="shared" si="9"/>
        <v>91590.245108422474</v>
      </c>
      <c r="H22" s="41">
        <f t="shared" si="9"/>
        <v>91764.723406816353</v>
      </c>
      <c r="I22" s="41">
        <f t="shared" si="9"/>
        <v>105006.37916586775</v>
      </c>
      <c r="J22" s="41">
        <f t="shared" si="9"/>
        <v>119136.28720488798</v>
      </c>
      <c r="K22" s="41">
        <f t="shared" si="9"/>
        <v>100449.70846832701</v>
      </c>
      <c r="L22" s="71"/>
      <c r="M22" s="119">
        <f t="shared" si="1"/>
        <v>22.047163655645299</v>
      </c>
      <c r="N22" s="119">
        <f t="shared" si="2"/>
        <v>18.210033637722002</v>
      </c>
      <c r="O22" s="119">
        <f t="shared" si="3"/>
        <v>21.682009013825066</v>
      </c>
      <c r="P22" s="119">
        <f t="shared" si="4"/>
        <v>21.466612299399479</v>
      </c>
      <c r="Q22" s="119">
        <f t="shared" si="5"/>
        <v>19.543228547926734</v>
      </c>
      <c r="R22" s="119">
        <f t="shared" si="6"/>
        <v>21.06881937746666</v>
      </c>
      <c r="S22" s="119">
        <f t="shared" si="7"/>
        <v>23.258262607013329</v>
      </c>
      <c r="T22" s="119">
        <f t="shared" si="8"/>
        <v>19.095388282462572</v>
      </c>
    </row>
    <row r="23" spans="2:20" x14ac:dyDescent="0.2">
      <c r="B23" s="34"/>
      <c r="C23" s="76" t="s">
        <v>43</v>
      </c>
      <c r="D23" s="41">
        <f t="shared" ref="D23:K23" si="10">+SUM(D24:D26)</f>
        <v>22344.058827314231</v>
      </c>
      <c r="E23" s="41">
        <f t="shared" si="10"/>
        <v>22900.075349512208</v>
      </c>
      <c r="F23" s="41">
        <f t="shared" si="10"/>
        <v>36451.212466632918</v>
      </c>
      <c r="G23" s="41">
        <f t="shared" si="10"/>
        <v>21458.791874031354</v>
      </c>
      <c r="H23" s="41">
        <f t="shared" si="10"/>
        <v>31051.50793158785</v>
      </c>
      <c r="I23" s="41">
        <f t="shared" si="10"/>
        <v>41431.776383357683</v>
      </c>
      <c r="J23" s="41">
        <f t="shared" si="10"/>
        <v>56939.879896000006</v>
      </c>
      <c r="K23" s="41">
        <f t="shared" si="10"/>
        <v>38406.044999037003</v>
      </c>
      <c r="L23" s="71"/>
      <c r="M23" s="119">
        <f t="shared" si="1"/>
        <v>6.1121806719924248</v>
      </c>
      <c r="N23" s="119">
        <f t="shared" si="2"/>
        <v>5.0926839447178001</v>
      </c>
      <c r="O23" s="119">
        <f t="shared" si="3"/>
        <v>7.7503342798938846</v>
      </c>
      <c r="P23" s="119">
        <f t="shared" si="4"/>
        <v>5.029439161649047</v>
      </c>
      <c r="Q23" s="119">
        <f t="shared" si="5"/>
        <v>6.6130719271552243</v>
      </c>
      <c r="R23" s="119">
        <f t="shared" si="6"/>
        <v>8.3130055530216165</v>
      </c>
      <c r="S23" s="119">
        <f t="shared" si="7"/>
        <v>11.11603114805337</v>
      </c>
      <c r="T23" s="119">
        <f t="shared" si="8"/>
        <v>7.3009504241775325</v>
      </c>
    </row>
    <row r="24" spans="2:20" x14ac:dyDescent="0.2">
      <c r="B24" s="32"/>
      <c r="C24" s="83" t="s">
        <v>98</v>
      </c>
      <c r="D24" s="42">
        <f>7959.154392171*Deflactores!$T$5</f>
        <v>12352.019403062739</v>
      </c>
      <c r="E24" s="42">
        <f>6490.613934677*Deflactores!$U$5</f>
        <v>9913.3482374671694</v>
      </c>
      <c r="F24" s="42">
        <f>14288.539061341*Deflactores!$V$5</f>
        <v>20662.185101422474</v>
      </c>
      <c r="G24" s="42">
        <f>4337.434866224*Deflactores!$W$5</f>
        <v>5544.7502755465512</v>
      </c>
      <c r="H24" s="42">
        <f>13192.02232615*Deflactores!$X$5</f>
        <v>15431.911224731548</v>
      </c>
      <c r="I24" s="42">
        <f>19509.579269688*Deflactores!$Y$5</f>
        <v>21694.043298458295</v>
      </c>
      <c r="J24" s="42">
        <f>34461.957*Deflactores!$Z$5</f>
        <v>36460.750506000004</v>
      </c>
      <c r="K24" s="42">
        <f>17273.044999703*Deflactores!$AA$5</f>
        <v>17273.044999703001</v>
      </c>
      <c r="L24" s="42"/>
      <c r="M24" s="109">
        <f t="shared" si="1"/>
        <v>3.3788746636839373</v>
      </c>
      <c r="N24" s="109">
        <f t="shared" si="2"/>
        <v>2.2046018904658728</v>
      </c>
      <c r="O24" s="109">
        <f t="shared" si="3"/>
        <v>4.3932377183792397</v>
      </c>
      <c r="P24" s="109">
        <f t="shared" si="4"/>
        <v>1.2995598420033132</v>
      </c>
      <c r="Q24" s="109">
        <f t="shared" si="5"/>
        <v>3.2865501774491519</v>
      </c>
      <c r="R24" s="109">
        <f t="shared" si="6"/>
        <v>4.3527629792869611</v>
      </c>
      <c r="S24" s="109">
        <f t="shared" si="7"/>
        <v>7.1180135793467088</v>
      </c>
      <c r="T24" s="109">
        <f t="shared" si="8"/>
        <v>3.283588435637705</v>
      </c>
    </row>
    <row r="25" spans="2:20" x14ac:dyDescent="0.2">
      <c r="B25" s="32"/>
      <c r="C25" s="83" t="s">
        <v>61</v>
      </c>
      <c r="D25" s="42">
        <f>6311.235965773*Deflactores!$T$5</f>
        <v>9794.5717931062136</v>
      </c>
      <c r="E25" s="42">
        <f>8236.150802244*Deflactores!$U$5</f>
        <v>12579.369511214429</v>
      </c>
      <c r="F25" s="42">
        <f>10756.284872722*Deflactores!$V$5</f>
        <v>15554.308812797137</v>
      </c>
      <c r="G25" s="42">
        <f>12302.991215574*Deflactores!$W$5</f>
        <v>15727.501630932336</v>
      </c>
      <c r="H25" s="42">
        <f>13202.203848146*Deflactores!$X$5</f>
        <v>15443.821479254351</v>
      </c>
      <c r="I25" s="42">
        <f>17520.949823402*Deflactores!$Y$5</f>
        <v>19482.749414773862</v>
      </c>
      <c r="J25" s="42">
        <f>18779.458155401*Deflactores!$Z$5</f>
        <v>19868.66672841426</v>
      </c>
      <c r="K25" s="42">
        <f>19987.062393947*Deflactores!$AA$5</f>
        <v>19987.062393946999</v>
      </c>
      <c r="L25" s="42"/>
      <c r="M25" s="109">
        <f t="shared" si="1"/>
        <v>2.6792890614431819</v>
      </c>
      <c r="N25" s="109">
        <f t="shared" si="2"/>
        <v>2.7974909325265132</v>
      </c>
      <c r="O25" s="109">
        <f t="shared" si="3"/>
        <v>3.3071902039535312</v>
      </c>
      <c r="P25" s="109">
        <f t="shared" si="4"/>
        <v>3.6861587120957586</v>
      </c>
      <c r="Q25" s="109">
        <f t="shared" si="5"/>
        <v>3.2890867167374709</v>
      </c>
      <c r="R25" s="109">
        <f t="shared" si="6"/>
        <v>3.9090818258567332</v>
      </c>
      <c r="S25" s="109">
        <f t="shared" si="7"/>
        <v>3.8788406056834672</v>
      </c>
      <c r="T25" s="109">
        <f t="shared" si="8"/>
        <v>3.7995204053635065</v>
      </c>
    </row>
    <row r="26" spans="2:20" x14ac:dyDescent="0.2">
      <c r="B26" s="32"/>
      <c r="C26" s="83" t="s">
        <v>99</v>
      </c>
      <c r="D26" s="42">
        <f>127.240357423*Deflactores!$T$5</f>
        <v>197.46763114527695</v>
      </c>
      <c r="E26" s="42">
        <f>266.711191518*Deflactores!$U$5</f>
        <v>407.35760083060785</v>
      </c>
      <c r="F26" s="42">
        <f>162.315127278*Deflactores!$V$5</f>
        <v>234.71855241330925</v>
      </c>
      <c r="G26" s="42">
        <f>145.922705081*Deflactores!$W$5</f>
        <v>186.53996755246908</v>
      </c>
      <c r="H26" s="42">
        <f>150.262057184*Deflactores!$X$5</f>
        <v>175.77522760195012</v>
      </c>
      <c r="I26" s="42">
        <f>229.308297045*Deflactores!$Y$5</f>
        <v>254.98367012552805</v>
      </c>
      <c r="J26" s="42">
        <f>576.996844599*Deflactores!$Z$5</f>
        <v>610.46266158574213</v>
      </c>
      <c r="K26" s="42">
        <f>1145.937605387*Deflactores!$AA$5</f>
        <v>1145.9376053870001</v>
      </c>
      <c r="L26" s="42"/>
      <c r="M26" s="109">
        <f t="shared" si="1"/>
        <v>5.4016946865305414E-2</v>
      </c>
      <c r="N26" s="109">
        <f t="shared" si="2"/>
        <v>9.0591121725413393E-2</v>
      </c>
      <c r="O26" s="109">
        <f t="shared" si="3"/>
        <v>4.9906357561114598E-2</v>
      </c>
      <c r="P26" s="109">
        <f t="shared" si="4"/>
        <v>4.3720607549975615E-2</v>
      </c>
      <c r="Q26" s="109">
        <f t="shared" si="5"/>
        <v>3.7435032968601317E-2</v>
      </c>
      <c r="R26" s="109">
        <f t="shared" si="6"/>
        <v>5.1160747877920583E-2</v>
      </c>
      <c r="S26" s="109">
        <f t="shared" si="7"/>
        <v>0.11917696302319353</v>
      </c>
      <c r="T26" s="109">
        <f t="shared" si="8"/>
        <v>0.21784158317631985</v>
      </c>
    </row>
    <row r="27" spans="2:20" x14ac:dyDescent="0.2">
      <c r="B27" s="34"/>
      <c r="C27" s="76" t="s">
        <v>44</v>
      </c>
      <c r="D27" s="41">
        <f t="shared" ref="D27:K27" si="11">+SUM(D28:D31)</f>
        <v>58252.891448466718</v>
      </c>
      <c r="E27" s="41">
        <f t="shared" si="11"/>
        <v>58984.280119575036</v>
      </c>
      <c r="F27" s="41">
        <f t="shared" si="11"/>
        <v>65523.165505256133</v>
      </c>
      <c r="G27" s="41">
        <f t="shared" si="11"/>
        <v>70131.453234391127</v>
      </c>
      <c r="H27" s="41">
        <f t="shared" si="11"/>
        <v>60713.215475228506</v>
      </c>
      <c r="I27" s="41">
        <f t="shared" si="11"/>
        <v>63574.602782510068</v>
      </c>
      <c r="J27" s="41">
        <f t="shared" si="11"/>
        <v>62196.407308887981</v>
      </c>
      <c r="K27" s="41">
        <f t="shared" si="11"/>
        <v>62043.663469289997</v>
      </c>
      <c r="L27" s="71"/>
      <c r="M27" s="119">
        <f t="shared" si="1"/>
        <v>15.934982983652873</v>
      </c>
      <c r="N27" s="119">
        <f t="shared" si="2"/>
        <v>13.117349693004204</v>
      </c>
      <c r="O27" s="119">
        <f t="shared" si="3"/>
        <v>13.931674733931182</v>
      </c>
      <c r="P27" s="119">
        <f t="shared" si="4"/>
        <v>16.437173137750431</v>
      </c>
      <c r="Q27" s="119">
        <f t="shared" si="5"/>
        <v>12.930156620771513</v>
      </c>
      <c r="R27" s="119">
        <f t="shared" si="6"/>
        <v>12.755813824445045</v>
      </c>
      <c r="S27" s="119">
        <f t="shared" si="7"/>
        <v>12.14223145895996</v>
      </c>
      <c r="T27" s="119">
        <f t="shared" si="8"/>
        <v>11.79443785828504</v>
      </c>
    </row>
    <row r="28" spans="2:20" x14ac:dyDescent="0.2">
      <c r="B28" s="32"/>
      <c r="C28" s="83" t="s">
        <v>98</v>
      </c>
      <c r="D28" s="42">
        <f>17938.362983046*Deflactores!$T$5</f>
        <v>27839.013632367558</v>
      </c>
      <c r="E28" s="42">
        <f>16309.334008813*Deflactores!$U$5</f>
        <v>24909.832748907076</v>
      </c>
      <c r="F28" s="42">
        <f>20051.830051171*Deflactores!$V$5</f>
        <v>28996.290128815788</v>
      </c>
      <c r="G28" s="42">
        <f>26529.863258776*Deflactores!$W$5</f>
        <v>33914.392066104112</v>
      </c>
      <c r="H28" s="42">
        <f>17493.790509566*Deflactores!$X$5</f>
        <v>20464.081658847565</v>
      </c>
      <c r="I28" s="42">
        <f>13922.055749775*Deflactores!$Y$5</f>
        <v>15480.89151816953</v>
      </c>
      <c r="J28" s="42">
        <f>10384.67677591*Deflactores!$Z$5</f>
        <v>10986.988028912781</v>
      </c>
      <c r="K28" s="42">
        <f>10342.874420982*Deflactores!$AA$5</f>
        <v>10342.874420982</v>
      </c>
      <c r="L28" s="42"/>
      <c r="M28" s="109">
        <f t="shared" si="1"/>
        <v>7.6153165531001958</v>
      </c>
      <c r="N28" s="109">
        <f t="shared" si="2"/>
        <v>5.5396282924748945</v>
      </c>
      <c r="O28" s="109">
        <f t="shared" si="3"/>
        <v>6.1652528453155346</v>
      </c>
      <c r="P28" s="109">
        <f t="shared" si="4"/>
        <v>7.9487406654613109</v>
      </c>
      <c r="Q28" s="109">
        <f t="shared" si="5"/>
        <v>4.358256746541735</v>
      </c>
      <c r="R28" s="109">
        <f t="shared" si="6"/>
        <v>3.1061361203899969</v>
      </c>
      <c r="S28" s="109">
        <f t="shared" si="7"/>
        <v>2.1449237577556546</v>
      </c>
      <c r="T28" s="109">
        <f t="shared" si="8"/>
        <v>1.966169997274567</v>
      </c>
    </row>
    <row r="29" spans="2:20" x14ac:dyDescent="0.2">
      <c r="B29" s="32"/>
      <c r="C29" s="83" t="s">
        <v>61</v>
      </c>
      <c r="D29" s="42">
        <f>18942.384672543*Deflactores!$T$5</f>
        <v>29397.181093217627</v>
      </c>
      <c r="E29" s="42">
        <f>21380.367667267*Deflactores!$U$5</f>
        <v>32655.004944651508</v>
      </c>
      <c r="F29" s="42">
        <f>24138.863815227*Deflactores!$V$5</f>
        <v>34906.414864882609</v>
      </c>
      <c r="G29" s="42">
        <f>26859.139730674*Deflactores!$W$5</f>
        <v>34335.321916256966</v>
      </c>
      <c r="H29" s="42">
        <f>30151.399806413*Deflactores!$X$5</f>
        <v>35270.841241044669</v>
      </c>
      <c r="I29" s="42">
        <f>41528.707714218*Deflactores!$Y$5</f>
        <v>46178.626962039649</v>
      </c>
      <c r="J29" s="42">
        <f>46200.190150207*Deflactores!$Z$5</f>
        <v>48879.801178919013</v>
      </c>
      <c r="K29" s="42">
        <f>48777.532232774*Deflactores!$AA$5</f>
        <v>48777.532232774</v>
      </c>
      <c r="L29" s="42"/>
      <c r="M29" s="109">
        <f t="shared" si="1"/>
        <v>8.0415507082973274</v>
      </c>
      <c r="N29" s="109">
        <f t="shared" si="2"/>
        <v>7.2620555547582271</v>
      </c>
      <c r="O29" s="109">
        <f t="shared" si="3"/>
        <v>7.4218761299954972</v>
      </c>
      <c r="P29" s="109">
        <f t="shared" si="4"/>
        <v>8.0473967820355057</v>
      </c>
      <c r="Q29" s="109">
        <f t="shared" si="5"/>
        <v>7.5116677287360902</v>
      </c>
      <c r="R29" s="109">
        <f t="shared" si="6"/>
        <v>9.2654289986114975</v>
      </c>
      <c r="S29" s="109">
        <f t="shared" si="7"/>
        <v>9.5425103356020529</v>
      </c>
      <c r="T29" s="109">
        <f t="shared" si="8"/>
        <v>9.2725596883025574</v>
      </c>
    </row>
    <row r="30" spans="2:20" x14ac:dyDescent="0.2">
      <c r="B30" s="32"/>
      <c r="C30" s="83" t="s">
        <v>99</v>
      </c>
      <c r="D30" s="42">
        <f>161.863290488*Deflactores!$T$5</f>
        <v>251.19986448786568</v>
      </c>
      <c r="E30" s="42">
        <f>156.358332733*Deflactores!$U$5</f>
        <v>238.81170838566092</v>
      </c>
      <c r="F30" s="42">
        <f>286.236184773*Deflactores!$V$5</f>
        <v>413.9167067475986</v>
      </c>
      <c r="G30" s="42">
        <f>236.314771824*Deflactores!$W$5</f>
        <v>302.09246630775243</v>
      </c>
      <c r="H30" s="42">
        <f>295.182114259*Deflactores!$X$5</f>
        <v>345.30143064902342</v>
      </c>
      <c r="I30" s="42">
        <f>295.225000555*Deflactores!$Y$5</f>
        <v>328.28098731879868</v>
      </c>
      <c r="J30" s="42">
        <f>294.809849793*Deflactores!$Z$5</f>
        <v>311.90882108099402</v>
      </c>
      <c r="K30" s="42">
        <f>257.928673981*Deflactores!$AA$5</f>
        <v>257.92867398099997</v>
      </c>
      <c r="L30" s="42"/>
      <c r="M30" s="109">
        <f t="shared" si="1"/>
        <v>6.8715311233111462E-2</v>
      </c>
      <c r="N30" s="109">
        <f t="shared" si="2"/>
        <v>5.3108670366544909E-2</v>
      </c>
      <c r="O30" s="109">
        <f t="shared" si="3"/>
        <v>8.8007850061592965E-2</v>
      </c>
      <c r="P30" s="109">
        <f t="shared" si="4"/>
        <v>7.0803411925814158E-2</v>
      </c>
      <c r="Q30" s="109">
        <f t="shared" si="5"/>
        <v>7.3539204680898862E-2</v>
      </c>
      <c r="R30" s="109">
        <f t="shared" si="6"/>
        <v>6.5867358553054395E-2</v>
      </c>
      <c r="S30" s="109">
        <f t="shared" si="7"/>
        <v>6.0892087879737565E-2</v>
      </c>
      <c r="T30" s="109">
        <f t="shared" si="8"/>
        <v>4.9031980818549467E-2</v>
      </c>
    </row>
    <row r="31" spans="2:20" x14ac:dyDescent="0.2">
      <c r="B31" s="32"/>
      <c r="C31" s="83" t="s">
        <v>100</v>
      </c>
      <c r="D31" s="42">
        <f>493.256*Deflactores!$T$5</f>
        <v>765.49685839367419</v>
      </c>
      <c r="E31" s="42">
        <f>773*Deflactores!$U$5</f>
        <v>1180.6307176307917</v>
      </c>
      <c r="F31" s="42">
        <f>834.3623*Deflactores!$V$5</f>
        <v>1206.5438048101337</v>
      </c>
      <c r="G31" s="42">
        <f>1235.694071729*Deflactores!$W$5</f>
        <v>1579.6467857223086</v>
      </c>
      <c r="H31" s="42">
        <f>3960.528396484*Deflactores!$X$5</f>
        <v>4632.9911446872529</v>
      </c>
      <c r="I31" s="42">
        <f>1427.021447*Deflactores!$Y$5</f>
        <v>1586.803314982081</v>
      </c>
      <c r="J31" s="42">
        <f>1907.097618124*Deflactores!$Z$5</f>
        <v>2017.7092799751922</v>
      </c>
      <c r="K31" s="42">
        <f>2665.328141553*Deflactores!$AA$5</f>
        <v>2665.328141553</v>
      </c>
      <c r="L31" s="42"/>
      <c r="M31" s="109">
        <f t="shared" si="1"/>
        <v>0.20940041102224125</v>
      </c>
      <c r="N31" s="109">
        <f t="shared" si="2"/>
        <v>0.26255717540453682</v>
      </c>
      <c r="O31" s="109">
        <f t="shared" si="3"/>
        <v>0.25653790855855613</v>
      </c>
      <c r="P31" s="109">
        <f t="shared" si="4"/>
        <v>0.37023227832780514</v>
      </c>
      <c r="Q31" s="109">
        <f t="shared" si="5"/>
        <v>0.98669294081278769</v>
      </c>
      <c r="R31" s="109">
        <f t="shared" si="6"/>
        <v>0.31838134689049319</v>
      </c>
      <c r="S31" s="109">
        <f t="shared" si="7"/>
        <v>0.39390527772251577</v>
      </c>
      <c r="T31" s="109">
        <f t="shared" si="8"/>
        <v>0.50667619188936575</v>
      </c>
    </row>
    <row r="32" spans="2:20" x14ac:dyDescent="0.2">
      <c r="B32" s="34" t="s">
        <v>45</v>
      </c>
      <c r="C32" s="76" t="s">
        <v>46</v>
      </c>
      <c r="D32" s="41">
        <f>33469.222870768*Deflactores!$T$5</f>
        <v>51941.76038497375</v>
      </c>
      <c r="E32" s="41">
        <f>35633.088244153*Deflactores!$U$5</f>
        <v>54423.697988480832</v>
      </c>
      <c r="F32" s="41">
        <f>49377.4964657*Deflactores!$V$5</f>
        <v>71403.169172102585</v>
      </c>
      <c r="G32" s="41">
        <f>59291.241905104*Deflactores!$W$5</f>
        <v>75794.828056294005</v>
      </c>
      <c r="H32" s="41">
        <f>71954.415677339*Deflactores!$X$5</f>
        <v>84171.640064544088</v>
      </c>
      <c r="I32" s="41">
        <f>77085.675691022*Deflactores!$Y$5</f>
        <v>85716.86570044054</v>
      </c>
      <c r="J32" s="41">
        <f>64335.7862965803*Deflactores!$Z$5</f>
        <v>68067.261901781967</v>
      </c>
      <c r="K32" s="41">
        <f>73456.308595238*Deflactores!$AA$5</f>
        <v>73456.308595238006</v>
      </c>
      <c r="L32" s="71"/>
      <c r="M32" s="113">
        <f t="shared" si="1"/>
        <v>14.208583424699986</v>
      </c>
      <c r="N32" s="113">
        <f t="shared" si="2"/>
        <v>12.103134541171306</v>
      </c>
      <c r="O32" s="113">
        <f t="shared" si="3"/>
        <v>15.181893612844414</v>
      </c>
      <c r="P32" s="113">
        <f t="shared" si="4"/>
        <v>17.764535800270377</v>
      </c>
      <c r="Q32" s="113">
        <f t="shared" si="5"/>
        <v>17.926121694309177</v>
      </c>
      <c r="R32" s="113">
        <f t="shared" si="6"/>
        <v>17.198509037174503</v>
      </c>
      <c r="S32" s="113">
        <f t="shared" si="7"/>
        <v>13.288363179636214</v>
      </c>
      <c r="T32" s="113">
        <f t="shared" si="8"/>
        <v>13.963970187775541</v>
      </c>
    </row>
    <row r="33" spans="1:20" x14ac:dyDescent="0.2">
      <c r="B33" s="36" t="s">
        <v>47</v>
      </c>
      <c r="C33" s="78" t="s">
        <v>48</v>
      </c>
      <c r="D33" s="43">
        <f>+D34-D22</f>
        <v>284969.12223415682</v>
      </c>
      <c r="E33" s="43">
        <f>+E34-E22</f>
        <v>367781.78517693642</v>
      </c>
      <c r="F33" s="43">
        <f t="shared" ref="F33:K33" si="12">(+F34-F22)</f>
        <v>368343.56123230222</v>
      </c>
      <c r="G33" s="43">
        <f t="shared" si="12"/>
        <v>335073.4679683944</v>
      </c>
      <c r="H33" s="43">
        <f t="shared" si="12"/>
        <v>377782.6862331907</v>
      </c>
      <c r="I33" s="43">
        <f t="shared" si="12"/>
        <v>393390.69418022234</v>
      </c>
      <c r="J33" s="43">
        <f t="shared" si="12"/>
        <v>393095.81378172419</v>
      </c>
      <c r="K33" s="43">
        <f t="shared" si="12"/>
        <v>425592.00894771103</v>
      </c>
      <c r="L33" s="71"/>
      <c r="M33" s="112">
        <f t="shared" si="1"/>
        <v>77.952836344354694</v>
      </c>
      <c r="N33" s="112">
        <f t="shared" si="2"/>
        <v>81.789966362277994</v>
      </c>
      <c r="O33" s="112">
        <f t="shared" si="3"/>
        <v>78.317990986174934</v>
      </c>
      <c r="P33" s="112">
        <f t="shared" si="4"/>
        <v>78.533387700600514</v>
      </c>
      <c r="Q33" s="112">
        <f t="shared" si="5"/>
        <v>80.456771452073255</v>
      </c>
      <c r="R33" s="112">
        <f t="shared" si="6"/>
        <v>78.931180622533333</v>
      </c>
      <c r="S33" s="112">
        <f t="shared" si="7"/>
        <v>76.741737392986664</v>
      </c>
      <c r="T33" s="112">
        <f t="shared" si="8"/>
        <v>80.904611717537421</v>
      </c>
    </row>
    <row r="34" spans="1:20" x14ac:dyDescent="0.2">
      <c r="B34" s="38" t="s">
        <v>49</v>
      </c>
      <c r="C34" s="79" t="s">
        <v>50</v>
      </c>
      <c r="D34" s="44">
        <f t="shared" ref="D34:K34" si="13">+D14+D22+D32</f>
        <v>365566.0725099378</v>
      </c>
      <c r="E34" s="44">
        <f t="shared" si="13"/>
        <v>449666.14064602368</v>
      </c>
      <c r="F34" s="44">
        <f t="shared" si="13"/>
        <v>470317.93920419127</v>
      </c>
      <c r="G34" s="44">
        <f t="shared" si="13"/>
        <v>426663.71307681687</v>
      </c>
      <c r="H34" s="44">
        <f t="shared" si="13"/>
        <v>469547.40964000707</v>
      </c>
      <c r="I34" s="44">
        <f t="shared" si="13"/>
        <v>498397.0733460901</v>
      </c>
      <c r="J34" s="44">
        <f t="shared" si="13"/>
        <v>512232.1009866122</v>
      </c>
      <c r="K34" s="44">
        <f t="shared" si="13"/>
        <v>526041.71741603804</v>
      </c>
      <c r="L34" s="71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30 de abril</v>
      </c>
      <c r="C35" s="68"/>
      <c r="D35" s="71"/>
      <c r="E35" s="71"/>
      <c r="F35" s="71"/>
      <c r="G35" s="71"/>
      <c r="H35" s="71"/>
      <c r="I35" s="71"/>
    </row>
    <row r="36" spans="1:20" ht="10.5" customHeight="1" x14ac:dyDescent="0.2">
      <c r="B36" s="1" t="s">
        <v>52</v>
      </c>
    </row>
    <row r="42" spans="1:20" ht="18" customHeight="1" x14ac:dyDescent="0.2">
      <c r="A42" s="16"/>
      <c r="C42" s="131"/>
      <c r="D42" s="155" t="s">
        <v>110</v>
      </c>
      <c r="E42" s="156"/>
      <c r="F42" s="156"/>
      <c r="G42" s="156"/>
      <c r="H42" s="156"/>
      <c r="I42" s="156"/>
      <c r="J42" s="156"/>
      <c r="K42" s="169"/>
      <c r="L42" s="169"/>
      <c r="M42" s="156"/>
      <c r="N42" s="156"/>
      <c r="O42" s="156"/>
      <c r="P42" s="156"/>
      <c r="Q42" s="156"/>
      <c r="R42" s="156"/>
      <c r="S42" s="156"/>
      <c r="T42" s="156"/>
    </row>
    <row r="43" spans="1:20" ht="15.75" customHeight="1" x14ac:dyDescent="0.2">
      <c r="A43" s="16"/>
      <c r="B43" s="2"/>
      <c r="C43" s="2"/>
      <c r="D43" s="157"/>
      <c r="E43" s="156"/>
      <c r="F43" s="156"/>
      <c r="G43" s="156"/>
      <c r="H43" s="156"/>
      <c r="I43" s="156"/>
      <c r="J43" s="156"/>
      <c r="K43" s="169"/>
    </row>
    <row r="44" spans="1:20" ht="15.75" customHeight="1" thickBot="1" x14ac:dyDescent="0.3">
      <c r="A44" s="16"/>
      <c r="B44" s="19"/>
      <c r="C44" s="92"/>
      <c r="D44" s="167"/>
      <c r="E44" s="154"/>
      <c r="F44" s="154"/>
      <c r="G44" s="154"/>
      <c r="H44" s="154"/>
      <c r="I44" s="154"/>
      <c r="J44" s="154"/>
      <c r="K44" s="154"/>
      <c r="M44" s="167" t="s">
        <v>111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16"/>
      <c r="B45" s="49"/>
      <c r="C45" s="171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53">
        <v>2025</v>
      </c>
      <c r="K45" s="153" t="s">
        <v>10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53">
        <v>2025</v>
      </c>
      <c r="T45" s="153" t="s">
        <v>10</v>
      </c>
    </row>
    <row r="46" spans="1:20" ht="12" customHeight="1" thickBot="1" x14ac:dyDescent="0.25">
      <c r="A46" s="16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16"/>
      <c r="B47" s="34" t="s">
        <v>39</v>
      </c>
      <c r="C47" s="76" t="s">
        <v>40</v>
      </c>
      <c r="D47" s="41">
        <f t="shared" ref="D47:K47" si="14">+SUM(D48:D54)</f>
        <v>231707.88360964943</v>
      </c>
      <c r="E47" s="41">
        <f t="shared" si="14"/>
        <v>281252.55501396034</v>
      </c>
      <c r="F47" s="41">
        <f t="shared" si="14"/>
        <v>290430.67160162609</v>
      </c>
      <c r="G47" s="41">
        <f t="shared" si="14"/>
        <v>250234.79206304549</v>
      </c>
      <c r="H47" s="41">
        <f t="shared" si="14"/>
        <v>287907.47813149984</v>
      </c>
      <c r="I47" s="41">
        <f t="shared" si="14"/>
        <v>296011.58173000114</v>
      </c>
      <c r="J47" s="41">
        <f t="shared" si="14"/>
        <v>320937.28283548116</v>
      </c>
      <c r="K47" s="41">
        <f t="shared" si="14"/>
        <v>120951.52346227202</v>
      </c>
      <c r="L47" s="71"/>
      <c r="M47" s="46">
        <f t="shared" ref="M47:M67" si="15">+D47/D14*100</f>
        <v>99.433766820744594</v>
      </c>
      <c r="N47" s="46">
        <f t="shared" ref="N47:N67" si="16">+E47/E14*100</f>
        <v>89.754362983717499</v>
      </c>
      <c r="O47" s="46">
        <f t="shared" ref="O47:O67" si="17">+F47/F14*100</f>
        <v>97.807734941882273</v>
      </c>
      <c r="P47" s="46">
        <f t="shared" ref="P47:P67" si="18">+G47/G14*100</f>
        <v>96.511919434581699</v>
      </c>
      <c r="Q47" s="46">
        <f t="shared" ref="Q47:Q67" si="19">+H47/H14*100</f>
        <v>98.057440920029052</v>
      </c>
      <c r="R47" s="46">
        <f t="shared" ref="R47:R67" si="20">+I47/I14*100</f>
        <v>96.209542161124361</v>
      </c>
      <c r="S47" s="46">
        <f t="shared" ref="S47:S67" si="21">+J47/J14*100</f>
        <v>98.741258569194173</v>
      </c>
      <c r="T47" s="46">
        <f t="shared" ref="T47:T67" si="22">+K47/K14*100</f>
        <v>34.347986682748896</v>
      </c>
    </row>
    <row r="48" spans="1:20" x14ac:dyDescent="0.2">
      <c r="A48" s="16"/>
      <c r="B48" s="40"/>
      <c r="C48" s="77" t="s">
        <v>92</v>
      </c>
      <c r="D48" s="42">
        <f>29218.3482636029*Deflactores!$T$5</f>
        <v>45344.71715141891</v>
      </c>
      <c r="E48" s="42">
        <f>30324.6347869917*Deflactores!$U$5</f>
        <v>46315.905990242798</v>
      </c>
      <c r="F48" s="42">
        <f>32120.731944945*Deflactores!$V$5</f>
        <v>46448.731125723622</v>
      </c>
      <c r="G48" s="42">
        <f>35485.0145934827*Deflactores!$W$5</f>
        <v>45362.189984024873</v>
      </c>
      <c r="H48" s="42">
        <f>41214.7453562563*Deflactores!$X$5</f>
        <v>48212.645170172538</v>
      </c>
      <c r="I48" s="42">
        <f>46948.8272773322*Deflactores!$Y$5</f>
        <v>52205.630766663511</v>
      </c>
      <c r="J48" s="42">
        <f>53079.6116600337*Deflactores!$Z$5</f>
        <v>56158.229136315655</v>
      </c>
      <c r="K48" s="42">
        <f>17931.1428988044*Deflactores!$AA$5</f>
        <v>17931.142898804399</v>
      </c>
      <c r="L48" s="42"/>
      <c r="M48" s="47">
        <f t="shared" si="15"/>
        <v>99.26599225640868</v>
      </c>
      <c r="N48" s="47">
        <f t="shared" si="16"/>
        <v>97.560304071797972</v>
      </c>
      <c r="O48" s="47">
        <f t="shared" si="17"/>
        <v>97.528994052031393</v>
      </c>
      <c r="P48" s="47">
        <f t="shared" si="18"/>
        <v>98.107174900185058</v>
      </c>
      <c r="Q48" s="47">
        <f t="shared" si="19"/>
        <v>96.783942126161676</v>
      </c>
      <c r="R48" s="47">
        <f t="shared" si="20"/>
        <v>98.184258207652761</v>
      </c>
      <c r="S48" s="47">
        <f t="shared" si="21"/>
        <v>98.420610262999958</v>
      </c>
      <c r="T48" s="47">
        <f t="shared" si="22"/>
        <v>28.716512104914543</v>
      </c>
    </row>
    <row r="49" spans="1:20" x14ac:dyDescent="0.2">
      <c r="A49" s="16"/>
      <c r="B49" s="40"/>
      <c r="C49" s="77" t="s">
        <v>93</v>
      </c>
      <c r="D49" s="42">
        <f>8816.44588525923*Deflactores!$T$5</f>
        <v>13682.472443039267</v>
      </c>
      <c r="E49" s="42">
        <f>8806.097989881*Deflactores!$U$5</f>
        <v>13449.870361345766</v>
      </c>
      <c r="F49" s="42">
        <f>9806.07508939667*Deflactores!$V$5</f>
        <v>14180.241782993469</v>
      </c>
      <c r="G49" s="42">
        <f>12164.9411523703*Deflactores!$W$5</f>
        <v>15551.025637725248</v>
      </c>
      <c r="H49" s="42">
        <f>14357.8818208702*Deflactores!$X$5</f>
        <v>16795.723366511269</v>
      </c>
      <c r="I49" s="42">
        <f>15246.2116269886*Deflactores!$Y$5</f>
        <v>16953.311529748757</v>
      </c>
      <c r="J49" s="42">
        <f>18320.4207063131*Deflactores!$Z$5</f>
        <v>19383.005107279259</v>
      </c>
      <c r="K49" s="42">
        <f>10357.6694652964*Deflactores!$AA$5</f>
        <v>10357.6694652964</v>
      </c>
      <c r="L49" s="42"/>
      <c r="M49" s="47">
        <f t="shared" si="15"/>
        <v>98.816826440311559</v>
      </c>
      <c r="N49" s="47">
        <f t="shared" si="16"/>
        <v>98.02915058472054</v>
      </c>
      <c r="O49" s="47">
        <f t="shared" si="17"/>
        <v>97.957711111744899</v>
      </c>
      <c r="P49" s="47">
        <f t="shared" si="18"/>
        <v>97.104131485685627</v>
      </c>
      <c r="Q49" s="47">
        <f t="shared" si="19"/>
        <v>96.947958143011931</v>
      </c>
      <c r="R49" s="47">
        <f t="shared" si="20"/>
        <v>97.080351739778479</v>
      </c>
      <c r="S49" s="47">
        <f t="shared" si="21"/>
        <v>98.277275347163936</v>
      </c>
      <c r="T49" s="47">
        <f t="shared" si="22"/>
        <v>59.918411136595772</v>
      </c>
    </row>
    <row r="50" spans="1:20" x14ac:dyDescent="0.2">
      <c r="A50" s="16"/>
      <c r="B50" s="40"/>
      <c r="C50" s="77" t="s">
        <v>58</v>
      </c>
      <c r="D50" s="42">
        <f>110240.300687913*Deflactores!$T$5</f>
        <v>171084.79946512845</v>
      </c>
      <c r="E50" s="42">
        <f>143730.817652154*Deflactores!$U$5</f>
        <v>219525.25018153043</v>
      </c>
      <c r="F50" s="42">
        <f>156574.960627817*Deflactores!$V$5</f>
        <v>226417.88673084008</v>
      </c>
      <c r="G50" s="42">
        <f>146297.965598623*Deflactores!$W$5</f>
        <v>187019.68100585017</v>
      </c>
      <c r="H50" s="42">
        <f>188531.468705643*Deflactores!$X$5</f>
        <v>220542.44726121725</v>
      </c>
      <c r="I50" s="42">
        <f>202057.829249259*Deflactores!$Y$5</f>
        <v>224682.00036155971</v>
      </c>
      <c r="J50" s="42">
        <f>229919.767105565*Deflactores!$Z$5</f>
        <v>243255.11359768777</v>
      </c>
      <c r="K50" s="42">
        <f>91716.5972984998*Deflactores!$AA$5</f>
        <v>91716.597298499793</v>
      </c>
      <c r="L50" s="42"/>
      <c r="M50" s="47">
        <f t="shared" si="15"/>
        <v>99.546656249926357</v>
      </c>
      <c r="N50" s="47">
        <f t="shared" si="16"/>
        <v>87.747311234418831</v>
      </c>
      <c r="O50" s="47">
        <f t="shared" si="17"/>
        <v>97.873584527638812</v>
      </c>
      <c r="P50" s="47">
        <f t="shared" si="18"/>
        <v>96.100809294667769</v>
      </c>
      <c r="Q50" s="47">
        <f t="shared" si="19"/>
        <v>98.485263482285362</v>
      </c>
      <c r="R50" s="47">
        <f t="shared" si="20"/>
        <v>95.738149114943269</v>
      </c>
      <c r="S50" s="47">
        <f t="shared" si="21"/>
        <v>98.905606734006369</v>
      </c>
      <c r="T50" s="47">
        <f t="shared" si="22"/>
        <v>33.955241786893097</v>
      </c>
    </row>
    <row r="51" spans="1:20" x14ac:dyDescent="0.2">
      <c r="A51" s="16"/>
      <c r="B51" s="40"/>
      <c r="C51" s="77" t="s">
        <v>94</v>
      </c>
      <c r="D51" s="42">
        <f>69.68915286289*Deflactores!$T$5</f>
        <v>108.15241493394672</v>
      </c>
      <c r="E51" s="42">
        <f>66.97757497037*Deflactores!$U$5</f>
        <v>102.2972605464917</v>
      </c>
      <c r="F51" s="42">
        <f>78.83629589932*Deflactores!$V$5</f>
        <v>114.00256748357771</v>
      </c>
      <c r="G51" s="42">
        <f>69.6588334699*Deflactores!$W$5</f>
        <v>89.048215820869601</v>
      </c>
      <c r="H51" s="42">
        <f>86.63391302372*Deflactores!$X$5</f>
        <v>101.343586432766</v>
      </c>
      <c r="I51" s="42">
        <f>97.4078530489*Deflactores!$Y$5</f>
        <v>108.31449271363468</v>
      </c>
      <c r="J51" s="42">
        <f>106.10175653268*Deflactores!$Z$5</f>
        <v>112.25565841157544</v>
      </c>
      <c r="K51" s="42">
        <f>80.85488970291*Deflactores!$AA$5</f>
        <v>80.85488970291</v>
      </c>
      <c r="L51" s="42"/>
      <c r="M51" s="47">
        <f t="shared" si="15"/>
        <v>97.729899498919821</v>
      </c>
      <c r="N51" s="47">
        <f t="shared" si="16"/>
        <v>96.837228695180187</v>
      </c>
      <c r="O51" s="47">
        <f t="shared" si="17"/>
        <v>88.853010784542008</v>
      </c>
      <c r="P51" s="47">
        <f t="shared" si="18"/>
        <v>80.666677319725551</v>
      </c>
      <c r="Q51" s="47">
        <f t="shared" si="19"/>
        <v>85.97413685731776</v>
      </c>
      <c r="R51" s="47">
        <f t="shared" si="20"/>
        <v>92.292192031091744</v>
      </c>
      <c r="S51" s="47">
        <f t="shared" si="21"/>
        <v>91.20112783615825</v>
      </c>
      <c r="T51" s="47">
        <f t="shared" si="22"/>
        <v>65.065143007720181</v>
      </c>
    </row>
    <row r="52" spans="1:20" x14ac:dyDescent="0.2">
      <c r="A52" s="16"/>
      <c r="B52" s="40"/>
      <c r="C52" s="77" t="s">
        <v>95</v>
      </c>
      <c r="D52" s="42">
        <f>289.96309008*Deflactores!$T$5</f>
        <v>450.00128636319056</v>
      </c>
      <c r="E52" s="42">
        <f>319.153394823*Deflactores!$U$5</f>
        <v>487.45446515418092</v>
      </c>
      <c r="F52" s="42">
        <f>472.70552016873*Deflactores!$V$5</f>
        <v>683.5638629155859</v>
      </c>
      <c r="G52" s="42">
        <f>468.54035323696*Deflactores!$W$5</f>
        <v>598.95752509062493</v>
      </c>
      <c r="H52" s="42">
        <f>571.1550256005*Deflactores!$X$5</f>
        <v>668.13210535237931</v>
      </c>
      <c r="I52" s="42">
        <f>517.03746243204*Deflactores!$Y$5</f>
        <v>574.92952266546013</v>
      </c>
      <c r="J52" s="42">
        <f>527.529445986*Deflactores!$Z$5</f>
        <v>558.12615385318804</v>
      </c>
      <c r="K52" s="42">
        <f>581.378201656*Deflactores!$AA$5</f>
        <v>581.37820165599999</v>
      </c>
      <c r="L52" s="42"/>
      <c r="M52" s="47">
        <f t="shared" si="15"/>
        <v>99.690949687480639</v>
      </c>
      <c r="N52" s="47">
        <f t="shared" si="16"/>
        <v>99.732942558623535</v>
      </c>
      <c r="O52" s="47">
        <f t="shared" si="17"/>
        <v>99.734056908877449</v>
      </c>
      <c r="P52" s="47">
        <f t="shared" si="18"/>
        <v>99.346435919313066</v>
      </c>
      <c r="Q52" s="47">
        <f t="shared" si="19"/>
        <v>99.714712051225561</v>
      </c>
      <c r="R52" s="47">
        <f t="shared" si="20"/>
        <v>99.833099029624947</v>
      </c>
      <c r="S52" s="47">
        <f t="shared" si="21"/>
        <v>96.293988147114334</v>
      </c>
      <c r="T52" s="47">
        <f t="shared" si="22"/>
        <v>92.780174500932773</v>
      </c>
    </row>
    <row r="53" spans="1:20" x14ac:dyDescent="0.2">
      <c r="A53" s="16"/>
      <c r="B53" s="40"/>
      <c r="C53" s="77" t="s">
        <v>96</v>
      </c>
      <c r="D53" s="42">
        <f>260.72706983127*Deflactores!$T$5</f>
        <v>404.6291435968854</v>
      </c>
      <c r="E53" s="42">
        <f>273.635071239899*Deflactores!$U$5</f>
        <v>417.93269149665559</v>
      </c>
      <c r="F53" s="42">
        <f>446.545780390919*Deflactores!$V$5</f>
        <v>645.73512596958153</v>
      </c>
      <c r="G53" s="42">
        <f>380.62165083201*Deflactores!$W$5</f>
        <v>486.56684617077542</v>
      </c>
      <c r="H53" s="42">
        <f>477.80061136585*Deflactores!$X$5</f>
        <v>558.92693594857838</v>
      </c>
      <c r="I53" s="42">
        <f>335.18199477818*Deflactores!$Y$5</f>
        <v>372.71191792839437</v>
      </c>
      <c r="J53" s="42">
        <f>320.51030625561*Deflactores!$Z$5</f>
        <v>339.09990401843538</v>
      </c>
      <c r="K53" s="42">
        <f>100.67586199111*Deflactores!$AA$5</f>
        <v>100.67586199111</v>
      </c>
      <c r="L53" s="42"/>
      <c r="M53" s="47">
        <f t="shared" si="15"/>
        <v>98.581973855743072</v>
      </c>
      <c r="N53" s="47">
        <f t="shared" si="16"/>
        <v>98.533960749273859</v>
      </c>
      <c r="O53" s="47">
        <f t="shared" si="17"/>
        <v>99.236004727573146</v>
      </c>
      <c r="P53" s="47">
        <f t="shared" si="18"/>
        <v>95.457143236924964</v>
      </c>
      <c r="Q53" s="47">
        <f t="shared" si="19"/>
        <v>99.565293978904975</v>
      </c>
      <c r="R53" s="47">
        <f t="shared" si="20"/>
        <v>97.823241893623106</v>
      </c>
      <c r="S53" s="47">
        <f t="shared" si="21"/>
        <v>95.880356444458528</v>
      </c>
      <c r="T53" s="47">
        <f t="shared" si="22"/>
        <v>28.469206806325793</v>
      </c>
    </row>
    <row r="54" spans="1:20" x14ac:dyDescent="0.2">
      <c r="A54" s="16"/>
      <c r="B54" s="40"/>
      <c r="C54" s="77" t="s">
        <v>97</v>
      </c>
      <c r="D54" s="42">
        <f>407.95222582628*Deflactores!$T$5</f>
        <v>633.1117051687645</v>
      </c>
      <c r="E54" s="42">
        <f>624.51488868289*Deflactores!$U$5</f>
        <v>953.84406364397728</v>
      </c>
      <c r="F54" s="42">
        <f>1341.92286995228*Deflactores!$V$5</f>
        <v>1940.5104057002075</v>
      </c>
      <c r="G54" s="42">
        <f>881.859269576979*Deflactores!$W$5</f>
        <v>1127.3228483629096</v>
      </c>
      <c r="H54" s="42">
        <f>879.01134210214*Deflactores!$X$5</f>
        <v>1028.2597058650642</v>
      </c>
      <c r="I54" s="42">
        <f>1002.44102753403*Deflactores!$Y$5</f>
        <v>1114.68313872163</v>
      </c>
      <c r="J54" s="42">
        <f>1069.42653867228*Deflactores!$Z$5</f>
        <v>1131.4532779152723</v>
      </c>
      <c r="K54" s="42">
        <f>183.2048463214*Deflactores!$AA$5</f>
        <v>183.2048463214</v>
      </c>
      <c r="L54" s="42"/>
      <c r="M54" s="47">
        <f t="shared" si="15"/>
        <v>95.260999219290667</v>
      </c>
      <c r="N54" s="47">
        <f t="shared" si="16"/>
        <v>98.717058870250682</v>
      </c>
      <c r="O54" s="47">
        <f t="shared" si="17"/>
        <v>95.24082420094858</v>
      </c>
      <c r="P54" s="47">
        <f t="shared" si="18"/>
        <v>94.285948414352703</v>
      </c>
      <c r="Q54" s="47">
        <f t="shared" si="19"/>
        <v>86.546177204574221</v>
      </c>
      <c r="R54" s="47">
        <f t="shared" si="20"/>
        <v>86.986791827020355</v>
      </c>
      <c r="S54" s="47">
        <f t="shared" si="21"/>
        <v>91.00714128251083</v>
      </c>
      <c r="T54" s="47">
        <f t="shared" si="22"/>
        <v>15.360595388499757</v>
      </c>
    </row>
    <row r="55" spans="1:20" x14ac:dyDescent="0.2">
      <c r="A55" s="16"/>
      <c r="B55" s="34" t="s">
        <v>41</v>
      </c>
      <c r="C55" s="76" t="s">
        <v>42</v>
      </c>
      <c r="D55" s="41">
        <f t="shared" ref="D55:K55" si="23">+D56+D60</f>
        <v>80076.059076034464</v>
      </c>
      <c r="E55" s="41">
        <f t="shared" si="23"/>
        <v>81303.068885655259</v>
      </c>
      <c r="F55" s="41">
        <f t="shared" si="23"/>
        <v>86256.306495768804</v>
      </c>
      <c r="G55" s="41">
        <f t="shared" si="23"/>
        <v>90509.825492381075</v>
      </c>
      <c r="H55" s="41">
        <f t="shared" si="23"/>
        <v>87977.035469880895</v>
      </c>
      <c r="I55" s="41">
        <f t="shared" si="23"/>
        <v>100720.41937606671</v>
      </c>
      <c r="J55" s="41">
        <f t="shared" si="23"/>
        <v>111142.85630331932</v>
      </c>
      <c r="K55" s="41">
        <f t="shared" si="23"/>
        <v>44669.84224470082</v>
      </c>
      <c r="L55" s="71"/>
      <c r="M55" s="46">
        <f t="shared" si="15"/>
        <v>99.353708548568974</v>
      </c>
      <c r="N55" s="46">
        <f t="shared" si="16"/>
        <v>99.29011276928054</v>
      </c>
      <c r="O55" s="46">
        <f t="shared" si="17"/>
        <v>84.586254127038472</v>
      </c>
      <c r="P55" s="46">
        <f t="shared" si="18"/>
        <v>98.820376979270634</v>
      </c>
      <c r="Q55" s="46">
        <f t="shared" si="19"/>
        <v>95.872392139031831</v>
      </c>
      <c r="R55" s="46">
        <f t="shared" si="20"/>
        <v>95.918381508012047</v>
      </c>
      <c r="S55" s="46">
        <f t="shared" si="21"/>
        <v>93.290515350858854</v>
      </c>
      <c r="T55" s="46">
        <f t="shared" si="22"/>
        <v>44.469857529537535</v>
      </c>
    </row>
    <row r="56" spans="1:20" x14ac:dyDescent="0.2">
      <c r="A56" s="16"/>
      <c r="B56" s="34"/>
      <c r="C56" s="76" t="s">
        <v>43</v>
      </c>
      <c r="D56" s="41">
        <f t="shared" ref="D56:K56" si="24">+SUM(D57:D59)</f>
        <v>21879.399871978407</v>
      </c>
      <c r="E56" s="41">
        <f t="shared" si="24"/>
        <v>22679.984684745818</v>
      </c>
      <c r="F56" s="41">
        <f t="shared" si="24"/>
        <v>29367.369728792393</v>
      </c>
      <c r="G56" s="41">
        <f t="shared" si="24"/>
        <v>21094.574307405488</v>
      </c>
      <c r="H56" s="41">
        <f t="shared" si="24"/>
        <v>29175.777703800282</v>
      </c>
      <c r="I56" s="41">
        <f t="shared" si="24"/>
        <v>40019.625488658763</v>
      </c>
      <c r="J56" s="41">
        <f t="shared" si="24"/>
        <v>50669.216337314712</v>
      </c>
      <c r="K56" s="41">
        <f t="shared" si="24"/>
        <v>18699.018030586598</v>
      </c>
      <c r="L56" s="71"/>
      <c r="M56" s="46">
        <f t="shared" si="15"/>
        <v>97.920436215609101</v>
      </c>
      <c r="N56" s="46">
        <f t="shared" si="16"/>
        <v>99.03890855638133</v>
      </c>
      <c r="O56" s="46">
        <f t="shared" si="17"/>
        <v>80.566235638046322</v>
      </c>
      <c r="P56" s="46">
        <f t="shared" si="18"/>
        <v>98.302711686827863</v>
      </c>
      <c r="Q56" s="46">
        <f t="shared" si="19"/>
        <v>93.959294241296931</v>
      </c>
      <c r="R56" s="46">
        <f t="shared" si="20"/>
        <v>96.591623584678956</v>
      </c>
      <c r="S56" s="46">
        <f t="shared" si="21"/>
        <v>88.987220257333561</v>
      </c>
      <c r="T56" s="46">
        <f t="shared" si="22"/>
        <v>48.687694947645504</v>
      </c>
    </row>
    <row r="57" spans="1:20" x14ac:dyDescent="0.2">
      <c r="A57" s="16"/>
      <c r="B57" s="32"/>
      <c r="C57" s="77" t="s">
        <v>98</v>
      </c>
      <c r="D57" s="42">
        <f>7910.47617477022*Deflactores!$T$5</f>
        <v>12276.474407173177</v>
      </c>
      <c r="E57" s="42">
        <f>6388.91910730776*Deflactores!$U$5</f>
        <v>9758.0260679765033</v>
      </c>
      <c r="F57" s="42">
        <f>10847.4859933545*Deflactores!$V$5</f>
        <v>15686.191745536167</v>
      </c>
      <c r="G57" s="42">
        <f>4261.28086287754*Deflactores!$W$5</f>
        <v>5447.398973668247</v>
      </c>
      <c r="H57" s="42">
        <f>12570.0240204341*Deflactores!$X$5</f>
        <v>14704.303099272707</v>
      </c>
      <c r="I57" s="42">
        <f>18751.3539091923*Deflactores!$Y$5</f>
        <v>20850.920360069784</v>
      </c>
      <c r="J57" s="42">
        <f>31951.3541477027*Deflactores!$Z$5</f>
        <v>33804.532688269457</v>
      </c>
      <c r="K57" s="42">
        <f>8850.2767414239*Deflactores!$AA$5</f>
        <v>8850.2767414239006</v>
      </c>
      <c r="L57" s="42"/>
      <c r="M57" s="47">
        <f t="shared" si="15"/>
        <v>99.388399633902523</v>
      </c>
      <c r="N57" s="47">
        <f t="shared" si="16"/>
        <v>98.433201721859916</v>
      </c>
      <c r="O57" s="47">
        <f t="shared" si="17"/>
        <v>75.917390481882109</v>
      </c>
      <c r="P57" s="47">
        <f t="shared" si="18"/>
        <v>98.244261742361189</v>
      </c>
      <c r="Q57" s="47">
        <f t="shared" si="19"/>
        <v>95.285042047852386</v>
      </c>
      <c r="R57" s="47">
        <f t="shared" si="20"/>
        <v>96.113574003752319</v>
      </c>
      <c r="S57" s="47">
        <f t="shared" si="21"/>
        <v>92.71485698767107</v>
      </c>
      <c r="T57" s="47">
        <f t="shared" si="22"/>
        <v>51.237501792973248</v>
      </c>
    </row>
    <row r="58" spans="1:20" x14ac:dyDescent="0.2">
      <c r="A58" s="16"/>
      <c r="B58" s="32"/>
      <c r="C58" s="77" t="s">
        <v>61</v>
      </c>
      <c r="D58" s="42">
        <f>6110.39162561193*Deflactores!$T$5</f>
        <v>9482.8762203824153</v>
      </c>
      <c r="E58" s="42">
        <f>8217.53210757637*Deflactores!$U$5</f>
        <v>12550.932508825306</v>
      </c>
      <c r="F58" s="42">
        <f>9332.39927500143*Deflactores!$V$5</f>
        <v>13495.274809597171</v>
      </c>
      <c r="G58" s="42">
        <f>12138.6429293382*Deflactores!$W$5</f>
        <v>15517.407362430993</v>
      </c>
      <c r="H58" s="42">
        <f>12281.4127979816*Deflactores!$X$5</f>
        <v>14366.688239834544</v>
      </c>
      <c r="I58" s="42">
        <f>17125.0432933579*Deflactores!$Y$5</f>
        <v>19042.513708703893</v>
      </c>
      <c r="J58" s="42">
        <f>15711.6153676201*Deflactores!$Z$5</f>
        <v>16622.889058942066</v>
      </c>
      <c r="K58" s="42">
        <f>9743.19692204091*Deflactores!$AA$5</f>
        <v>9743.1969220409101</v>
      </c>
      <c r="L58" s="42"/>
      <c r="M58" s="47">
        <f t="shared" si="15"/>
        <v>96.817670243193461</v>
      </c>
      <c r="N58" s="47">
        <f t="shared" si="16"/>
        <v>99.773939366644953</v>
      </c>
      <c r="O58" s="47">
        <f t="shared" si="17"/>
        <v>86.762291864065872</v>
      </c>
      <c r="P58" s="47">
        <f t="shared" si="18"/>
        <v>98.664159931872859</v>
      </c>
      <c r="Q58" s="47">
        <f t="shared" si="19"/>
        <v>93.025474680170845</v>
      </c>
      <c r="R58" s="47">
        <f t="shared" si="20"/>
        <v>97.740382033882057</v>
      </c>
      <c r="S58" s="47">
        <f t="shared" si="21"/>
        <v>83.663837569783212</v>
      </c>
      <c r="T58" s="47">
        <f t="shared" si="22"/>
        <v>48.747518419673305</v>
      </c>
    </row>
    <row r="59" spans="1:20" x14ac:dyDescent="0.2">
      <c r="A59" s="16"/>
      <c r="B59" s="32"/>
      <c r="C59" s="77" t="s">
        <v>103</v>
      </c>
      <c r="D59" s="42">
        <f>77.35500081774*Deflactores!$T$5</f>
        <v>120.04924442281508</v>
      </c>
      <c r="E59" s="42">
        <f>242.92369930562*Deflactores!$U$5</f>
        <v>371.02610794401136</v>
      </c>
      <c r="F59" s="42">
        <f>128.557785414079*Deflactores!$V$5</f>
        <v>185.90317365905386</v>
      </c>
      <c r="G59" s="42">
        <f>101.51225849525*Deflactores!$W$5</f>
        <v>129.76797130625135</v>
      </c>
      <c r="H59" s="42">
        <f>89.57698384703*Deflactores!$X$5</f>
        <v>104.78636469303234</v>
      </c>
      <c r="I59" s="42">
        <f>113.48467759247*Deflactores!$Y$5</f>
        <v>126.19141988508886</v>
      </c>
      <c r="J59" s="42">
        <f>228.53931011643*Deflactores!$Z$5</f>
        <v>241.79459010318294</v>
      </c>
      <c r="K59" s="42">
        <f>105.544367121789*Deflactores!$AA$5</f>
        <v>105.54436712178899</v>
      </c>
      <c r="L59" s="42"/>
      <c r="M59" s="47">
        <f t="shared" si="15"/>
        <v>60.794391327100506</v>
      </c>
      <c r="N59" s="47">
        <f t="shared" si="16"/>
        <v>91.081179579682299</v>
      </c>
      <c r="O59" s="47">
        <f t="shared" si="17"/>
        <v>79.202590399289036</v>
      </c>
      <c r="P59" s="47">
        <f t="shared" si="18"/>
        <v>69.565773495565139</v>
      </c>
      <c r="Q59" s="47">
        <f t="shared" si="19"/>
        <v>59.613840996027697</v>
      </c>
      <c r="R59" s="47">
        <f t="shared" si="20"/>
        <v>49.490000603946534</v>
      </c>
      <c r="S59" s="47">
        <f t="shared" si="21"/>
        <v>39.608415930811489</v>
      </c>
      <c r="T59" s="47">
        <f t="shared" si="22"/>
        <v>9.2103066192809955</v>
      </c>
    </row>
    <row r="60" spans="1:20" x14ac:dyDescent="0.2">
      <c r="A60" s="16"/>
      <c r="B60" s="34"/>
      <c r="C60" s="76" t="s">
        <v>44</v>
      </c>
      <c r="D60" s="41">
        <f t="shared" ref="D60:K60" si="25">+SUM(D61:D64)</f>
        <v>58196.659204056057</v>
      </c>
      <c r="E60" s="41">
        <f t="shared" si="25"/>
        <v>58623.084200909441</v>
      </c>
      <c r="F60" s="41">
        <f t="shared" si="25"/>
        <v>56888.936766976411</v>
      </c>
      <c r="G60" s="41">
        <f t="shared" si="25"/>
        <v>69415.251184975583</v>
      </c>
      <c r="H60" s="41">
        <f t="shared" si="25"/>
        <v>58801.257766080613</v>
      </c>
      <c r="I60" s="41">
        <f t="shared" si="25"/>
        <v>60700.793887407948</v>
      </c>
      <c r="J60" s="41">
        <f t="shared" si="25"/>
        <v>60473.639966004608</v>
      </c>
      <c r="K60" s="41">
        <f t="shared" si="25"/>
        <v>25970.824214114222</v>
      </c>
      <c r="L60" s="71"/>
      <c r="M60" s="46">
        <f t="shared" si="15"/>
        <v>99.903468749769431</v>
      </c>
      <c r="N60" s="46">
        <f t="shared" si="16"/>
        <v>99.387640371411905</v>
      </c>
      <c r="O60" s="46">
        <f t="shared" si="17"/>
        <v>86.822631855924143</v>
      </c>
      <c r="P60" s="46">
        <f t="shared" si="18"/>
        <v>98.978771982633987</v>
      </c>
      <c r="Q60" s="46">
        <f t="shared" si="19"/>
        <v>96.850837673178432</v>
      </c>
      <c r="R60" s="46">
        <f t="shared" si="20"/>
        <v>95.479627446618153</v>
      </c>
      <c r="S60" s="46">
        <f t="shared" si="21"/>
        <v>97.230117594529958</v>
      </c>
      <c r="T60" s="46">
        <f t="shared" si="22"/>
        <v>41.858947009099658</v>
      </c>
    </row>
    <row r="61" spans="1:20" x14ac:dyDescent="0.2">
      <c r="A61" s="16"/>
      <c r="B61" s="32"/>
      <c r="C61" s="77" t="s">
        <v>98</v>
      </c>
      <c r="D61" s="42">
        <f>17918.8522039321*Deflactores!$T$5</f>
        <v>27808.734345107991</v>
      </c>
      <c r="E61" s="42">
        <f>16086.0440212844*Deflactores!$U$5</f>
        <v>24568.79391551036</v>
      </c>
      <c r="F61" s="42">
        <f>15362.3871017508*Deflactores!$V$5</f>
        <v>22215.041337213504</v>
      </c>
      <c r="G61" s="42">
        <f>26110.6612382114*Deflactores!$W$5</f>
        <v>33378.50608954794</v>
      </c>
      <c r="H61" s="42">
        <f>17136.6081003664*Deflactores!$X$5</f>
        <v>20046.252830671787</v>
      </c>
      <c r="I61" s="42">
        <f>12104.2272690948*Deflactores!$Y$5</f>
        <v>13459.522977930497</v>
      </c>
      <c r="J61" s="42">
        <f>10249.4764859938*Deflactores!$Z$5</f>
        <v>10843.946122181442</v>
      </c>
      <c r="K61" s="42">
        <f>549.53889310426*Deflactores!$AA$5</f>
        <v>549.53889310425996</v>
      </c>
      <c r="L61" s="42"/>
      <c r="M61" s="47">
        <f t="shared" si="15"/>
        <v>99.891234338761336</v>
      </c>
      <c r="N61" s="47">
        <f t="shared" si="16"/>
        <v>98.630906771496967</v>
      </c>
      <c r="O61" s="47">
        <f t="shared" si="17"/>
        <v>76.613391708123217</v>
      </c>
      <c r="P61" s="47">
        <f t="shared" si="18"/>
        <v>98.41988623734828</v>
      </c>
      <c r="Q61" s="47">
        <f t="shared" si="19"/>
        <v>97.958233185630732</v>
      </c>
      <c r="R61" s="47">
        <f t="shared" si="20"/>
        <v>86.942815677852892</v>
      </c>
      <c r="S61" s="47">
        <f t="shared" si="21"/>
        <v>98.698078978925636</v>
      </c>
      <c r="T61" s="47">
        <f t="shared" si="22"/>
        <v>5.3132124662505973</v>
      </c>
    </row>
    <row r="62" spans="1:20" x14ac:dyDescent="0.2">
      <c r="A62" s="16"/>
      <c r="B62" s="32"/>
      <c r="C62" s="77" t="s">
        <v>61</v>
      </c>
      <c r="D62" s="42">
        <f>18932.4838042307*Deflactores!$T$5</f>
        <v>29381.815677311006</v>
      </c>
      <c r="E62" s="42">
        <f>21370.5318677129*Deflactores!$U$5</f>
        <v>32639.982374035684</v>
      </c>
      <c r="F62" s="42">
        <f>22982.9098455461*Deflactores!$V$5</f>
        <v>33234.827952621388</v>
      </c>
      <c r="G62" s="42">
        <f>26773.0090416804*Deflactores!$W$5</f>
        <v>34225.216940330021</v>
      </c>
      <c r="H62" s="42">
        <f>28965.9260578736*Deflactores!$X$5</f>
        <v>33884.084518351279</v>
      </c>
      <c r="I62" s="42">
        <f>40909.4565866324*Deflactores!$Y$5</f>
        <v>45490.0390335786</v>
      </c>
      <c r="J62" s="42">
        <f>44846.001080691*Deflactores!$Z$5</f>
        <v>47447.069143371082</v>
      </c>
      <c r="K62" s="42">
        <f>25171.0634959308*Deflactores!$AA$5</f>
        <v>25171.063495930801</v>
      </c>
      <c r="L62" s="42"/>
      <c r="M62" s="47">
        <f t="shared" si="15"/>
        <v>99.947731669040323</v>
      </c>
      <c r="N62" s="47">
        <f t="shared" si="16"/>
        <v>99.953996115936022</v>
      </c>
      <c r="O62" s="47">
        <f t="shared" si="17"/>
        <v>95.211232895925647</v>
      </c>
      <c r="P62" s="47">
        <f t="shared" si="18"/>
        <v>99.679324468850211</v>
      </c>
      <c r="Q62" s="47">
        <f t="shared" si="19"/>
        <v>96.06826297899687</v>
      </c>
      <c r="R62" s="47">
        <f t="shared" si="20"/>
        <v>98.508860107453842</v>
      </c>
      <c r="S62" s="47">
        <f t="shared" si="21"/>
        <v>97.068866891860765</v>
      </c>
      <c r="T62" s="47">
        <f t="shared" si="22"/>
        <v>51.603806801480964</v>
      </c>
    </row>
    <row r="63" spans="1:20" x14ac:dyDescent="0.2">
      <c r="A63" s="16"/>
      <c r="B63" s="32"/>
      <c r="C63" s="77" t="s">
        <v>103</v>
      </c>
      <c r="D63" s="42">
        <f>158.461096266269*Deflactores!$T$5</f>
        <v>245.91991049160376</v>
      </c>
      <c r="E63" s="42">
        <f>152.99658738152*Deflactores!$U$5</f>
        <v>233.67719373260812</v>
      </c>
      <c r="F63" s="42">
        <f>160.79729992181*Deflactores!$V$5</f>
        <v>232.52367233138034</v>
      </c>
      <c r="G63" s="42">
        <f>181.39145927126*Deflactores!$W$5</f>
        <v>231.88137108596953</v>
      </c>
      <c r="H63" s="42">
        <f>203.39465589288*Deflactores!$X$5</f>
        <v>237.92927238319595</v>
      </c>
      <c r="I63" s="42">
        <f>147.8715608369*Deflactores!$Y$5</f>
        <v>164.42856091676342</v>
      </c>
      <c r="J63" s="42">
        <f>155.87468854149*Deflactores!$Z$5</f>
        <v>164.91542047689643</v>
      </c>
      <c r="K63" s="42">
        <f>44.78317164316*Deflactores!$AA$5</f>
        <v>44.783171643160003</v>
      </c>
      <c r="L63" s="42"/>
      <c r="M63" s="47">
        <f t="shared" si="15"/>
        <v>97.898106351678791</v>
      </c>
      <c r="N63" s="47">
        <f t="shared" si="16"/>
        <v>97.849973651726913</v>
      </c>
      <c r="O63" s="47">
        <f t="shared" si="17"/>
        <v>56.176440462735535</v>
      </c>
      <c r="P63" s="47">
        <f t="shared" si="18"/>
        <v>76.758409079206785</v>
      </c>
      <c r="Q63" s="47">
        <f t="shared" si="19"/>
        <v>68.904803532376818</v>
      </c>
      <c r="R63" s="47">
        <f t="shared" si="20"/>
        <v>50.087750210487926</v>
      </c>
      <c r="S63" s="47">
        <f t="shared" si="21"/>
        <v>52.872958163011518</v>
      </c>
      <c r="T63" s="47">
        <f t="shared" si="22"/>
        <v>17.362618491365915</v>
      </c>
    </row>
    <row r="64" spans="1:20" x14ac:dyDescent="0.2">
      <c r="A64" s="16"/>
      <c r="B64" s="32"/>
      <c r="C64" s="77" t="s">
        <v>104</v>
      </c>
      <c r="D64" s="42">
        <f>489.836*Deflactores!$T$5</f>
        <v>760.1892711454575</v>
      </c>
      <c r="E64" s="42">
        <f>773*Deflactores!$U$5</f>
        <v>1180.6307176307917</v>
      </c>
      <c r="F64" s="42">
        <f>834.3623*Deflactores!$V$5</f>
        <v>1206.5438048101337</v>
      </c>
      <c r="G64" s="42">
        <f>1235.69407039082*Deflactores!$W$5</f>
        <v>1579.6467840116491</v>
      </c>
      <c r="H64" s="42">
        <f>3960.52839647297*Deflactores!$X$5</f>
        <v>4632.9911446743499</v>
      </c>
      <c r="I64" s="42">
        <f>1427.021447*Deflactores!$Y$5</f>
        <v>1586.803314982081</v>
      </c>
      <c r="J64" s="42">
        <f>1907.097618124*Deflactores!$Z$5</f>
        <v>2017.7092799751922</v>
      </c>
      <c r="K64" s="42">
        <f>205.438653436*Deflactores!$AA$5</f>
        <v>205.43865343600001</v>
      </c>
      <c r="L64" s="42"/>
      <c r="M64" s="47">
        <f t="shared" si="15"/>
        <v>99.306648069156793</v>
      </c>
      <c r="N64" s="47">
        <f t="shared" si="16"/>
        <v>100</v>
      </c>
      <c r="O64" s="47">
        <f t="shared" si="17"/>
        <v>100</v>
      </c>
      <c r="P64" s="47">
        <f t="shared" si="18"/>
        <v>99.99999989170621</v>
      </c>
      <c r="Q64" s="47">
        <f t="shared" si="19"/>
        <v>99.999999999721496</v>
      </c>
      <c r="R64" s="47">
        <f t="shared" si="20"/>
        <v>100</v>
      </c>
      <c r="S64" s="47">
        <f t="shared" si="21"/>
        <v>100</v>
      </c>
      <c r="T64" s="47">
        <f t="shared" si="22"/>
        <v>7.707818419547305</v>
      </c>
    </row>
    <row r="65" spans="1:20" x14ac:dyDescent="0.2">
      <c r="A65" s="16"/>
      <c r="B65" s="34" t="s">
        <v>45</v>
      </c>
      <c r="C65" s="76" t="s">
        <v>46</v>
      </c>
      <c r="D65" s="41">
        <f>32396.2356068252*Deflactores!$T$5</f>
        <v>50276.563449417699</v>
      </c>
      <c r="E65" s="41">
        <f>34195.4435213849*Deflactores!$U$5</f>
        <v>52227.931467472008</v>
      </c>
      <c r="F65" s="41">
        <f>47539.6524494709*Deflactores!$V$5</f>
        <v>68745.523552221872</v>
      </c>
      <c r="G65" s="41">
        <f>56709.4881041401*Deflactores!$W$5</f>
        <v>72494.448790483802</v>
      </c>
      <c r="H65" s="41">
        <f>65247.8056745666*Deflactores!$X$5</f>
        <v>76326.306906145415</v>
      </c>
      <c r="I65" s="41">
        <f>74908.7800024841*Deflactores!$Y$5</f>
        <v>83296.225630731657</v>
      </c>
      <c r="J65" s="41">
        <f>62911.6282977905*Deflactores!$Z$5</f>
        <v>66560.502739062358</v>
      </c>
      <c r="K65" s="41">
        <f>41824.8639854441*Deflactores!$AA$5</f>
        <v>41824.863985444099</v>
      </c>
      <c r="L65" s="71"/>
      <c r="M65" s="46">
        <f t="shared" si="15"/>
        <v>96.794107625128206</v>
      </c>
      <c r="N65" s="46">
        <f t="shared" si="16"/>
        <v>95.965422045606729</v>
      </c>
      <c r="O65" s="46">
        <f t="shared" si="17"/>
        <v>96.277972461593393</v>
      </c>
      <c r="P65" s="46">
        <f t="shared" si="18"/>
        <v>95.645640539801789</v>
      </c>
      <c r="Q65" s="46">
        <f t="shared" si="19"/>
        <v>90.679362844322924</v>
      </c>
      <c r="R65" s="46">
        <f t="shared" si="20"/>
        <v>97.176004920468714</v>
      </c>
      <c r="S65" s="46">
        <f t="shared" si="21"/>
        <v>97.786367306953238</v>
      </c>
      <c r="T65" s="46">
        <f t="shared" si="22"/>
        <v>56.938423377506211</v>
      </c>
    </row>
    <row r="66" spans="1:20" x14ac:dyDescent="0.2">
      <c r="A66" s="16"/>
      <c r="B66" s="36" t="s">
        <v>47</v>
      </c>
      <c r="C66" s="78" t="s">
        <v>48</v>
      </c>
      <c r="D66" s="43">
        <f t="shared" ref="D66:K66" si="26">+D47+D65</f>
        <v>281984.44705906714</v>
      </c>
      <c r="E66" s="43">
        <f t="shared" si="26"/>
        <v>333480.48648143234</v>
      </c>
      <c r="F66" s="43">
        <f t="shared" si="26"/>
        <v>359176.19515384798</v>
      </c>
      <c r="G66" s="43">
        <f t="shared" si="26"/>
        <v>322729.24085352931</v>
      </c>
      <c r="H66" s="43">
        <f t="shared" si="26"/>
        <v>364233.78503764526</v>
      </c>
      <c r="I66" s="43">
        <f t="shared" si="26"/>
        <v>379307.80736073281</v>
      </c>
      <c r="J66" s="43">
        <f t="shared" si="26"/>
        <v>387497.78557454352</v>
      </c>
      <c r="K66" s="43">
        <f t="shared" si="26"/>
        <v>162776.38744771612</v>
      </c>
      <c r="L66" s="71"/>
      <c r="M66" s="48">
        <f t="shared" si="15"/>
        <v>98.952632077577434</v>
      </c>
      <c r="N66" s="48">
        <f t="shared" si="16"/>
        <v>90.673464516737269</v>
      </c>
      <c r="O66" s="48">
        <f t="shared" si="17"/>
        <v>97.511191441005622</v>
      </c>
      <c r="P66" s="48">
        <f t="shared" si="18"/>
        <v>96.315964021350254</v>
      </c>
      <c r="Q66" s="48">
        <f t="shared" si="19"/>
        <v>96.413572752462713</v>
      </c>
      <c r="R66" s="48">
        <f t="shared" si="20"/>
        <v>96.420127108284419</v>
      </c>
      <c r="S66" s="48">
        <f t="shared" si="21"/>
        <v>98.575912535591357</v>
      </c>
      <c r="T66" s="48">
        <f t="shared" si="22"/>
        <v>38.247049762561474</v>
      </c>
    </row>
    <row r="67" spans="1:20" x14ac:dyDescent="0.2">
      <c r="A67" s="16"/>
      <c r="B67" s="38" t="s">
        <v>49</v>
      </c>
      <c r="C67" s="79" t="s">
        <v>63</v>
      </c>
      <c r="D67" s="44">
        <f t="shared" ref="D67:K67" si="27">+D47+D55+D65</f>
        <v>362060.5061351016</v>
      </c>
      <c r="E67" s="44">
        <f t="shared" si="27"/>
        <v>414783.5553670876</v>
      </c>
      <c r="F67" s="44">
        <f t="shared" si="27"/>
        <v>445432.50164961681</v>
      </c>
      <c r="G67" s="44">
        <f t="shared" si="27"/>
        <v>413239.06634591037</v>
      </c>
      <c r="H67" s="44">
        <f t="shared" si="27"/>
        <v>452210.82050752616</v>
      </c>
      <c r="I67" s="44">
        <f t="shared" si="27"/>
        <v>480028.22673679952</v>
      </c>
      <c r="J67" s="44">
        <f t="shared" si="27"/>
        <v>498640.64187786286</v>
      </c>
      <c r="K67" s="44">
        <f t="shared" si="27"/>
        <v>207446.22969241693</v>
      </c>
      <c r="L67" s="71"/>
      <c r="M67" s="45">
        <f t="shared" si="15"/>
        <v>99.04105806352122</v>
      </c>
      <c r="N67" s="45">
        <f t="shared" si="16"/>
        <v>92.242559061969587</v>
      </c>
      <c r="O67" s="45">
        <f t="shared" si="17"/>
        <v>94.708805367560032</v>
      </c>
      <c r="P67" s="45">
        <f t="shared" si="18"/>
        <v>96.853576641402938</v>
      </c>
      <c r="Q67" s="45">
        <f t="shared" si="19"/>
        <v>96.307808588322843</v>
      </c>
      <c r="R67" s="45">
        <f t="shared" si="20"/>
        <v>96.314415234028644</v>
      </c>
      <c r="S67" s="45">
        <f t="shared" si="21"/>
        <v>97.346620978542589</v>
      </c>
      <c r="T67" s="45">
        <f t="shared" si="22"/>
        <v>39.435319067736792</v>
      </c>
    </row>
    <row r="68" spans="1:20" s="5" customFormat="1" x14ac:dyDescent="0.2">
      <c r="A68" s="70"/>
      <c r="B68" s="72" t="str">
        <f>+'C1 Aprop Resumen 2000-2026'!B20</f>
        <v>* Información con corte a 30 de abril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8" customHeight="1" x14ac:dyDescent="0.2">
      <c r="C74" s="131"/>
      <c r="D74" s="155" t="s">
        <v>112</v>
      </c>
      <c r="E74" s="156"/>
      <c r="F74" s="156"/>
      <c r="G74" s="156"/>
      <c r="H74" s="156"/>
      <c r="I74" s="156"/>
      <c r="J74" s="156"/>
      <c r="K74" s="169"/>
      <c r="L74" s="169"/>
      <c r="M74" s="156"/>
      <c r="N74" s="156"/>
      <c r="O74" s="156"/>
      <c r="P74" s="156"/>
      <c r="Q74" s="156"/>
      <c r="R74" s="156"/>
      <c r="S74" s="156"/>
      <c r="T74" s="156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3">
      <c r="B76" s="19"/>
      <c r="C76" s="92"/>
      <c r="D76" s="167"/>
      <c r="E76" s="154"/>
      <c r="F76" s="154"/>
      <c r="G76" s="154"/>
      <c r="H76" s="154"/>
      <c r="I76" s="154"/>
      <c r="J76" s="154"/>
      <c r="K76" s="154"/>
      <c r="M76" s="167" t="s">
        <v>113</v>
      </c>
      <c r="N76" s="154"/>
      <c r="O76" s="154"/>
      <c r="P76" s="154"/>
      <c r="Q76" s="154"/>
      <c r="R76" s="154"/>
      <c r="S76" s="154"/>
      <c r="T76" s="154"/>
    </row>
    <row r="77" spans="1:20" x14ac:dyDescent="0.2">
      <c r="B77" s="49"/>
      <c r="C77" s="171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10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10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28">+SUM(D80:D86)</f>
        <v>219989.3135262905</v>
      </c>
      <c r="E79" s="41">
        <f t="shared" si="28"/>
        <v>263714.30193942535</v>
      </c>
      <c r="F79" s="41">
        <f t="shared" si="28"/>
        <v>279385.24548739765</v>
      </c>
      <c r="G79" s="41">
        <f t="shared" si="28"/>
        <v>231062.55202546797</v>
      </c>
      <c r="H79" s="41">
        <f t="shared" si="28"/>
        <v>265919.06647123065</v>
      </c>
      <c r="I79" s="41">
        <f t="shared" si="28"/>
        <v>276189.51669408224</v>
      </c>
      <c r="J79" s="41">
        <f t="shared" si="28"/>
        <v>298467.10478607402</v>
      </c>
      <c r="K79" s="41">
        <f t="shared" si="28"/>
        <v>88604.500428068874</v>
      </c>
      <c r="M79" s="46">
        <f t="shared" ref="M79:M99" si="29">+D79/D14*100</f>
        <v>94.404928151170992</v>
      </c>
      <c r="N79" s="46">
        <f t="shared" ref="N79:N99" si="30">+E79/E14*100</f>
        <v>84.157490334955327</v>
      </c>
      <c r="O79" s="46">
        <f t="shared" ref="O79:O99" si="31">+F79/F14*100</f>
        <v>94.087989696853711</v>
      </c>
      <c r="P79" s="46">
        <f t="shared" ref="P79:P99" si="32">+G79/G14*100</f>
        <v>89.117465327572646</v>
      </c>
      <c r="Q79" s="46">
        <f t="shared" ref="Q79:Q99" si="33">+H79/H14*100</f>
        <v>90.568481649866129</v>
      </c>
      <c r="R79" s="46">
        <f t="shared" ref="R79:R99" si="34">+I79/I14*100</f>
        <v>89.766984100902008</v>
      </c>
      <c r="S79" s="46">
        <f t="shared" ref="S79:S99" si="35">+J79/J14*100</f>
        <v>91.827964977157023</v>
      </c>
      <c r="T79" s="46">
        <f t="shared" ref="T79:T99" si="36">+K79/K14*100</f>
        <v>25.162032801382956</v>
      </c>
    </row>
    <row r="80" spans="1:20" x14ac:dyDescent="0.2">
      <c r="B80" s="40"/>
      <c r="C80" s="77" t="s">
        <v>92</v>
      </c>
      <c r="D80" s="42">
        <f>28930.3242307902*Deflactores!$T$5</f>
        <v>44897.72513863042</v>
      </c>
      <c r="E80" s="42">
        <f>29987.8604092728*Deflactores!$U$5</f>
        <v>45801.538363792693</v>
      </c>
      <c r="F80" s="42">
        <f>31805.4886393179*Deflactores!$V$5</f>
        <v>45992.868178162054</v>
      </c>
      <c r="G80" s="42">
        <f>35133.5886145727*Deflactores!$W$5</f>
        <v>44912.945360533435</v>
      </c>
      <c r="H80" s="42">
        <f>40712.2239028889*Deflactores!$X$5</f>
        <v>47624.800011548403</v>
      </c>
      <c r="I80" s="42">
        <f>46477.0791145016*Deflactores!$Y$5</f>
        <v>51681.061531779189</v>
      </c>
      <c r="J80" s="42">
        <f>52301.6159609008*Deflactores!$Z$5</f>
        <v>55335.109686633055</v>
      </c>
      <c r="K80" s="42">
        <f>16595.1041243402*Deflactores!$AA$5</f>
        <v>16595.1041243402</v>
      </c>
      <c r="L80" s="42"/>
      <c r="M80" s="47">
        <f t="shared" si="29"/>
        <v>98.28746358829568</v>
      </c>
      <c r="N80" s="47">
        <f t="shared" si="30"/>
        <v>96.476834776136727</v>
      </c>
      <c r="O80" s="47">
        <f t="shared" si="31"/>
        <v>96.571812798125166</v>
      </c>
      <c r="P80" s="47">
        <f t="shared" si="32"/>
        <v>97.135570115112642</v>
      </c>
      <c r="Q80" s="47">
        <f t="shared" si="33"/>
        <v>95.603878854158893</v>
      </c>
      <c r="R80" s="47">
        <f t="shared" si="34"/>
        <v>97.197689509041012</v>
      </c>
      <c r="S80" s="47">
        <f t="shared" si="35"/>
        <v>96.978044858017881</v>
      </c>
      <c r="T80" s="47">
        <f t="shared" si="36"/>
        <v>26.576861896555847</v>
      </c>
    </row>
    <row r="81" spans="2:20" x14ac:dyDescent="0.2">
      <c r="B81" s="40"/>
      <c r="C81" s="77" t="s">
        <v>93</v>
      </c>
      <c r="D81" s="42">
        <f>7916.76693307716*Deflactores!$T$5</f>
        <v>12286.237199153156</v>
      </c>
      <c r="E81" s="42">
        <f>7830.61737594962*Deflactores!$U$5</f>
        <v>11959.983715471599</v>
      </c>
      <c r="F81" s="42">
        <f>8832.08523291498*Deflactores!$V$5</f>
        <v>12771.78717366381</v>
      </c>
      <c r="G81" s="42">
        <f>10918.0744858895*Deflactores!$W$5</f>
        <v>13957.096390193306</v>
      </c>
      <c r="H81" s="42">
        <f>11629.6451423471*Deflactores!$X$5</f>
        <v>13604.256191719722</v>
      </c>
      <c r="I81" s="42">
        <f>11110.7048443562*Deflactores!$Y$5</f>
        <v>12354.757047188152</v>
      </c>
      <c r="J81" s="42">
        <f>13886.6344887654*Deflactores!$Z$5</f>
        <v>14692.059289113793</v>
      </c>
      <c r="K81" s="42">
        <f>3403.36994579058*Deflactores!$AA$5</f>
        <v>3403.36994579058</v>
      </c>
      <c r="L81" s="42"/>
      <c r="M81" s="47">
        <f t="shared" si="29"/>
        <v>88.733010350834931</v>
      </c>
      <c r="N81" s="47">
        <f t="shared" si="30"/>
        <v>87.170137193609378</v>
      </c>
      <c r="O81" s="47">
        <f t="shared" si="31"/>
        <v>88.228046988514791</v>
      </c>
      <c r="P81" s="47">
        <f t="shared" si="32"/>
        <v>87.151275716755023</v>
      </c>
      <c r="Q81" s="47">
        <f t="shared" si="33"/>
        <v>78.526231413848976</v>
      </c>
      <c r="R81" s="47">
        <f t="shared" si="34"/>
        <v>70.747485392212781</v>
      </c>
      <c r="S81" s="47">
        <f t="shared" si="35"/>
        <v>74.492863628810639</v>
      </c>
      <c r="T81" s="47">
        <f t="shared" si="36"/>
        <v>19.688262919092679</v>
      </c>
    </row>
    <row r="82" spans="2:20" x14ac:dyDescent="0.2">
      <c r="B82" s="40"/>
      <c r="C82" s="77" t="s">
        <v>58</v>
      </c>
      <c r="D82" s="42">
        <f>103909.33207771*Deflactores!$T$5</f>
        <v>161259.60406618883</v>
      </c>
      <c r="E82" s="42">
        <f>133619.23676565*Deflactores!$U$5</f>
        <v>204081.46881230018</v>
      </c>
      <c r="F82" s="42">
        <f>150390.836710539*Deflactores!$V$5</f>
        <v>217475.22908610955</v>
      </c>
      <c r="G82" s="42">
        <f>132938.086283949*Deflactores!$W$5</f>
        <v>169941.10880914624</v>
      </c>
      <c r="H82" s="42">
        <f>173020.915782757*Deflactores!$X$5</f>
        <v>202398.3394182515</v>
      </c>
      <c r="I82" s="42">
        <f>188855.069612431*Deflactores!$Y$5</f>
        <v>210000.94367339747</v>
      </c>
      <c r="J82" s="42">
        <f>213943.027469373*Deflactores!$Z$5</f>
        <v>226351.72306259663</v>
      </c>
      <c r="K82" s="42">
        <f>68311.1708012683*Deflactores!$AA$5</f>
        <v>68311.170801268294</v>
      </c>
      <c r="L82" s="42"/>
      <c r="M82" s="47">
        <f t="shared" si="29"/>
        <v>93.829810849140443</v>
      </c>
      <c r="N82" s="47">
        <f t="shared" si="30"/>
        <v>81.574215932982838</v>
      </c>
      <c r="O82" s="47">
        <f t="shared" si="31"/>
        <v>94.00794488436388</v>
      </c>
      <c r="P82" s="47">
        <f t="shared" si="32"/>
        <v>87.324916827771091</v>
      </c>
      <c r="Q82" s="47">
        <f t="shared" si="33"/>
        <v>90.382844815238499</v>
      </c>
      <c r="R82" s="47">
        <f t="shared" si="34"/>
        <v>89.482475798369563</v>
      </c>
      <c r="S82" s="47">
        <f t="shared" si="35"/>
        <v>92.032821730604326</v>
      </c>
      <c r="T82" s="47">
        <f t="shared" si="36"/>
        <v>25.290104404481184</v>
      </c>
    </row>
    <row r="83" spans="2:20" x14ac:dyDescent="0.2">
      <c r="B83" s="40"/>
      <c r="C83" s="77" t="s">
        <v>94</v>
      </c>
      <c r="D83" s="42">
        <f>56.45194425434*Deflactores!$T$5</f>
        <v>87.609245456542027</v>
      </c>
      <c r="E83" s="42">
        <f>56.68118135849*Deflactores!$U$5</f>
        <v>86.57120805101566</v>
      </c>
      <c r="F83" s="42">
        <f>70.72593952125*Deflactores!$V$5</f>
        <v>102.27444860432978</v>
      </c>
      <c r="G83" s="42">
        <f>66.9975835885899*Deflactores!$W$5</f>
        <v>85.646212916434436</v>
      </c>
      <c r="H83" s="42">
        <f>83.32313846065*Deflactores!$X$5</f>
        <v>97.47067158474313</v>
      </c>
      <c r="I83" s="42">
        <f>95.11583335392*Deflactores!$Y$5</f>
        <v>105.76583834151964</v>
      </c>
      <c r="J83" s="42">
        <f>99.36330705232*Deflactores!$Z$5</f>
        <v>105.12637886135457</v>
      </c>
      <c r="K83" s="42">
        <f>12.79226105357*Deflactores!$AA$5</f>
        <v>12.79226105357</v>
      </c>
      <c r="L83" s="42"/>
      <c r="M83" s="47">
        <f t="shared" si="29"/>
        <v>79.166450040651</v>
      </c>
      <c r="N83" s="47">
        <f t="shared" si="30"/>
        <v>81.950541272258292</v>
      </c>
      <c r="O83" s="47">
        <f t="shared" si="31"/>
        <v>79.712175658961868</v>
      </c>
      <c r="P83" s="47">
        <f t="shared" si="32"/>
        <v>77.584883170307833</v>
      </c>
      <c r="Q83" s="47">
        <f t="shared" si="33"/>
        <v>82.688576094165199</v>
      </c>
      <c r="R83" s="47">
        <f t="shared" si="34"/>
        <v>90.120544518011414</v>
      </c>
      <c r="S83" s="47">
        <f t="shared" si="35"/>
        <v>85.409007021584173</v>
      </c>
      <c r="T83" s="47">
        <f t="shared" si="36"/>
        <v>10.294124423407201</v>
      </c>
    </row>
    <row r="84" spans="2:20" x14ac:dyDescent="0.2">
      <c r="B84" s="40"/>
      <c r="C84" s="77" t="s">
        <v>95</v>
      </c>
      <c r="D84" s="42">
        <f>289.96309008*Deflactores!$T$5</f>
        <v>450.00128636319056</v>
      </c>
      <c r="E84" s="42">
        <f>319.153394823*Deflactores!$U$5</f>
        <v>487.45446515418092</v>
      </c>
      <c r="F84" s="42">
        <f>393.627104752729*Deflactores!$V$5</f>
        <v>569.21117438402325</v>
      </c>
      <c r="G84" s="42">
        <f>468.54035323696*Deflactores!$W$5</f>
        <v>598.95752509062493</v>
      </c>
      <c r="H84" s="42">
        <f>571.1550256005*Deflactores!$X$5</f>
        <v>668.13210535237931</v>
      </c>
      <c r="I84" s="42">
        <f>516.92552704158*Deflactores!$Y$5</f>
        <v>574.80505400451671</v>
      </c>
      <c r="J84" s="42">
        <f>521.325997017*Deflactores!$Z$5</f>
        <v>551.56290484398596</v>
      </c>
      <c r="K84" s="42">
        <f>1.79863832*Deflactores!$AA$5</f>
        <v>1.79863832</v>
      </c>
      <c r="L84" s="42"/>
      <c r="M84" s="47">
        <f t="shared" si="29"/>
        <v>99.690949687480639</v>
      </c>
      <c r="N84" s="47">
        <f t="shared" si="30"/>
        <v>99.732942558623535</v>
      </c>
      <c r="O84" s="47">
        <f t="shared" si="31"/>
        <v>83.049650133707701</v>
      </c>
      <c r="P84" s="47">
        <f t="shared" si="32"/>
        <v>99.346435919313066</v>
      </c>
      <c r="Q84" s="47">
        <f t="shared" si="33"/>
        <v>99.714712051225561</v>
      </c>
      <c r="R84" s="47">
        <f t="shared" si="34"/>
        <v>99.811485785454707</v>
      </c>
      <c r="S84" s="47">
        <f t="shared" si="35"/>
        <v>95.161625117832401</v>
      </c>
      <c r="T84" s="47">
        <f t="shared" si="36"/>
        <v>0.2870385864456711</v>
      </c>
    </row>
    <row r="85" spans="2:20" x14ac:dyDescent="0.2">
      <c r="B85" s="40"/>
      <c r="C85" s="77" t="s">
        <v>96</v>
      </c>
      <c r="D85" s="42">
        <f>242.43691582327*Deflactores!$T$5</f>
        <v>376.24417629256374</v>
      </c>
      <c r="E85" s="42">
        <f>226.287615511899*Deflactores!$U$5</f>
        <v>345.61721849000514</v>
      </c>
      <c r="F85" s="42">
        <f>419.767443770919*Deflactores!$V$5</f>
        <v>607.01185653137543</v>
      </c>
      <c r="G85" s="42">
        <f>344.82860338001*Deflactores!$W$5</f>
        <v>440.8108830628147</v>
      </c>
      <c r="H85" s="42">
        <f>434.60266397204*Deflactores!$X$5</f>
        <v>508.39435854757801</v>
      </c>
      <c r="I85" s="42">
        <f>324.60056403218*Deflactores!$Y$5</f>
        <v>360.94569716114188</v>
      </c>
      <c r="J85" s="42">
        <f>285.97555456361*Deflactores!$Z$5</f>
        <v>302.56213672829938</v>
      </c>
      <c r="K85" s="42">
        <f>100.16006261011*Deflactores!$AA$5</f>
        <v>100.16006261011</v>
      </c>
      <c r="L85" s="42"/>
      <c r="M85" s="47">
        <f t="shared" si="29"/>
        <v>91.666391651712473</v>
      </c>
      <c r="N85" s="47">
        <f t="shared" si="30"/>
        <v>81.484492919214219</v>
      </c>
      <c r="O85" s="47">
        <f t="shared" si="31"/>
        <v>93.285046827819798</v>
      </c>
      <c r="P85" s="47">
        <f t="shared" si="32"/>
        <v>86.480507120605864</v>
      </c>
      <c r="Q85" s="47">
        <f t="shared" si="33"/>
        <v>90.563596975514798</v>
      </c>
      <c r="R85" s="47">
        <f t="shared" si="34"/>
        <v>94.735039437725661</v>
      </c>
      <c r="S85" s="47">
        <f t="shared" si="35"/>
        <v>85.549317980724666</v>
      </c>
      <c r="T85" s="47">
        <f t="shared" si="36"/>
        <v>28.323348613926502</v>
      </c>
    </row>
    <row r="86" spans="2:20" x14ac:dyDescent="0.2">
      <c r="B86" s="40"/>
      <c r="C86" s="77" t="s">
        <v>97</v>
      </c>
      <c r="D86" s="42">
        <f>407.16656279366*Deflactores!$T$5</f>
        <v>631.89241420580265</v>
      </c>
      <c r="E86" s="42">
        <f>623.09024636622*Deflactores!$U$5</f>
        <v>951.66815616571421</v>
      </c>
      <c r="F86" s="42">
        <f>1290.99380875652*Deflactores!$V$5</f>
        <v>1866.863569942479</v>
      </c>
      <c r="G86" s="42">
        <f>880.814167572469*Deflactores!$W$5</f>
        <v>1125.98684452511</v>
      </c>
      <c r="H86" s="42">
        <f>869.96187078198*Deflactores!$X$5</f>
        <v>1017.6737142262659</v>
      </c>
      <c r="I86" s="42">
        <f>999.34266134307*Deflactores!$Y$5</f>
        <v>1111.2378522102188</v>
      </c>
      <c r="J86" s="42">
        <f>1067.07119782311*Deflactores!$Z$5</f>
        <v>1128.9613272968504</v>
      </c>
      <c r="K86" s="42">
        <f>180.104594686109*Deflactores!$AA$5</f>
        <v>180.10459468610901</v>
      </c>
      <c r="L86" s="42"/>
      <c r="M86" s="47">
        <f t="shared" si="29"/>
        <v>95.077538900167625</v>
      </c>
      <c r="N86" s="47">
        <f t="shared" si="30"/>
        <v>98.491865681117318</v>
      </c>
      <c r="O86" s="47">
        <f t="shared" si="31"/>
        <v>91.626215736724987</v>
      </c>
      <c r="P86" s="47">
        <f t="shared" si="32"/>
        <v>94.174209005260565</v>
      </c>
      <c r="Q86" s="47">
        <f t="shared" si="33"/>
        <v>85.655179431315375</v>
      </c>
      <c r="R86" s="47">
        <f t="shared" si="34"/>
        <v>86.71793118838518</v>
      </c>
      <c r="S86" s="47">
        <f t="shared" si="35"/>
        <v>90.806704104567771</v>
      </c>
      <c r="T86" s="47">
        <f t="shared" si="36"/>
        <v>15.100658427614475</v>
      </c>
    </row>
    <row r="87" spans="2:20" x14ac:dyDescent="0.2">
      <c r="B87" s="34" t="s">
        <v>41</v>
      </c>
      <c r="C87" s="76" t="s">
        <v>42</v>
      </c>
      <c r="D87" s="41">
        <f t="shared" ref="D87:K87" si="37">+D88+D92</f>
        <v>80008.622486194508</v>
      </c>
      <c r="E87" s="41">
        <f t="shared" si="37"/>
        <v>69155.491926422852</v>
      </c>
      <c r="F87" s="41">
        <f t="shared" si="37"/>
        <v>78943.86897703349</v>
      </c>
      <c r="G87" s="41">
        <f t="shared" si="37"/>
        <v>87909.285490370938</v>
      </c>
      <c r="H87" s="41">
        <f t="shared" si="37"/>
        <v>87788.651040737925</v>
      </c>
      <c r="I87" s="41">
        <f t="shared" si="37"/>
        <v>92053.746570432151</v>
      </c>
      <c r="J87" s="41">
        <f t="shared" si="37"/>
        <v>110517.83576733066</v>
      </c>
      <c r="K87" s="41">
        <f t="shared" si="37"/>
        <v>36828.489021198417</v>
      </c>
      <c r="L87" s="71"/>
      <c r="M87" s="46">
        <f t="shared" si="29"/>
        <v>99.270037157022259</v>
      </c>
      <c r="N87" s="46">
        <f t="shared" si="30"/>
        <v>84.455072681777708</v>
      </c>
      <c r="O87" s="46">
        <f t="shared" si="31"/>
        <v>77.415396442815947</v>
      </c>
      <c r="P87" s="46">
        <f t="shared" si="32"/>
        <v>95.981057138023701</v>
      </c>
      <c r="Q87" s="46">
        <f t="shared" si="33"/>
        <v>95.667101454170478</v>
      </c>
      <c r="R87" s="46">
        <f t="shared" si="34"/>
        <v>87.664908838561445</v>
      </c>
      <c r="S87" s="46">
        <f t="shared" si="35"/>
        <v>92.765888849015838</v>
      </c>
      <c r="T87" s="46">
        <f t="shared" si="36"/>
        <v>36.663609663746186</v>
      </c>
    </row>
    <row r="88" spans="2:20" x14ac:dyDescent="0.2">
      <c r="B88" s="34"/>
      <c r="C88" s="76" t="s">
        <v>43</v>
      </c>
      <c r="D88" s="41">
        <f>+SUM(D89:D91)</f>
        <v>21877.847078664723</v>
      </c>
      <c r="E88" s="41">
        <f>+SUM(E89:E91)</f>
        <v>22678.565384870246</v>
      </c>
      <c r="F88" s="41">
        <f t="shared" ref="F88:K88" si="38">(+SUM(F89:F91))</f>
        <v>29366.206946301561</v>
      </c>
      <c r="G88" s="41">
        <f t="shared" si="38"/>
        <v>19395.357103044596</v>
      </c>
      <c r="H88" s="41">
        <f t="shared" si="38"/>
        <v>29165.225816013233</v>
      </c>
      <c r="I88" s="41">
        <f t="shared" si="38"/>
        <v>35517.500851202385</v>
      </c>
      <c r="J88" s="41">
        <f t="shared" si="38"/>
        <v>50656.703181042772</v>
      </c>
      <c r="K88" s="41">
        <f t="shared" si="38"/>
        <v>11070.815596329328</v>
      </c>
      <c r="L88" s="71"/>
      <c r="M88" s="46">
        <f t="shared" si="29"/>
        <v>97.913486747181338</v>
      </c>
      <c r="N88" s="46">
        <f t="shared" si="30"/>
        <v>99.032710760723859</v>
      </c>
      <c r="O88" s="46">
        <f t="shared" si="31"/>
        <v>80.563045668736251</v>
      </c>
      <c r="P88" s="46">
        <f t="shared" si="32"/>
        <v>90.384198779224619</v>
      </c>
      <c r="Q88" s="46">
        <f t="shared" si="33"/>
        <v>93.925312356068375</v>
      </c>
      <c r="R88" s="46">
        <f t="shared" si="34"/>
        <v>85.72526681590476</v>
      </c>
      <c r="S88" s="46">
        <f t="shared" si="35"/>
        <v>88.965244172566955</v>
      </c>
      <c r="T88" s="46">
        <f t="shared" si="36"/>
        <v>28.825711151999428</v>
      </c>
    </row>
    <row r="89" spans="2:20" x14ac:dyDescent="0.2">
      <c r="B89" s="32"/>
      <c r="C89" s="77" t="s">
        <v>98</v>
      </c>
      <c r="D89" s="42">
        <f>7910.47617477022*Deflactores!$T$5</f>
        <v>12276.474407173177</v>
      </c>
      <c r="E89" s="42">
        <f>6388.91910730776*Deflactores!$U$5</f>
        <v>9758.0260679765033</v>
      </c>
      <c r="F89" s="42">
        <f>10847.4859933545*Deflactores!$V$5</f>
        <v>15686.191745536167</v>
      </c>
      <c r="G89" s="42">
        <f>4196.92598344154*Deflactores!$W$5</f>
        <v>5365.131055764924</v>
      </c>
      <c r="H89" s="42">
        <f>12570.0240204341*Deflactores!$X$5</f>
        <v>14704.303099272707</v>
      </c>
      <c r="I89" s="42">
        <f>16973.3873916283*Deflactores!$Y$5</f>
        <v>18873.87707881509</v>
      </c>
      <c r="J89" s="42">
        <f>31951.3541477027*Deflactores!$Z$5</f>
        <v>33804.532688269457</v>
      </c>
      <c r="K89" s="42">
        <f>6374.62825641556*Deflactores!$AA$5</f>
        <v>6374.6282564155599</v>
      </c>
      <c r="L89" s="42"/>
      <c r="M89" s="47">
        <f t="shared" si="29"/>
        <v>99.388399633902523</v>
      </c>
      <c r="N89" s="47">
        <f t="shared" si="30"/>
        <v>98.433201721859916</v>
      </c>
      <c r="O89" s="47">
        <f t="shared" si="31"/>
        <v>75.917390481882109</v>
      </c>
      <c r="P89" s="47">
        <f t="shared" si="32"/>
        <v>96.760553481122784</v>
      </c>
      <c r="Q89" s="47">
        <f t="shared" si="33"/>
        <v>95.285042047852386</v>
      </c>
      <c r="R89" s="47">
        <f t="shared" si="34"/>
        <v>87.000273850086657</v>
      </c>
      <c r="S89" s="47">
        <f t="shared" si="35"/>
        <v>92.71485698767107</v>
      </c>
      <c r="T89" s="47">
        <f t="shared" si="36"/>
        <v>36.905063678842772</v>
      </c>
    </row>
    <row r="90" spans="2:20" x14ac:dyDescent="0.2">
      <c r="B90" s="32"/>
      <c r="C90" s="77" t="s">
        <v>61</v>
      </c>
      <c r="D90" s="42">
        <f>6110.39162561193*Deflactores!$T$5</f>
        <v>9482.8762203824153</v>
      </c>
      <c r="E90" s="42">
        <f>8217.53210757637*Deflactores!$U$5</f>
        <v>12550.932508825306</v>
      </c>
      <c r="F90" s="42">
        <f>9332.39927500143*Deflactores!$V$5</f>
        <v>13495.274809597171</v>
      </c>
      <c r="G90" s="42">
        <f>10879.5959443922*Deflactores!$W$5</f>
        <v>13907.907431707454</v>
      </c>
      <c r="H90" s="42">
        <f>12281.4127979816*Deflactores!$X$5</f>
        <v>14366.688239834544</v>
      </c>
      <c r="I90" s="42">
        <f>14870.5876881979*Deflactores!$Y$5</f>
        <v>16535.629432179197</v>
      </c>
      <c r="J90" s="42">
        <f>15711.6153676201*Deflactores!$Z$5</f>
        <v>16622.889058942066</v>
      </c>
      <c r="K90" s="42">
        <f>4645.48202444979*Deflactores!$AA$5</f>
        <v>4645.4820244497896</v>
      </c>
      <c r="L90" s="42"/>
      <c r="M90" s="47">
        <f t="shared" si="29"/>
        <v>96.817670243193461</v>
      </c>
      <c r="N90" s="47">
        <f t="shared" si="30"/>
        <v>99.773939366644953</v>
      </c>
      <c r="O90" s="47">
        <f t="shared" si="31"/>
        <v>86.762291864065872</v>
      </c>
      <c r="P90" s="47">
        <f t="shared" si="32"/>
        <v>88.430494290039277</v>
      </c>
      <c r="Q90" s="47">
        <f t="shared" si="33"/>
        <v>93.025474680170845</v>
      </c>
      <c r="R90" s="47">
        <f t="shared" si="34"/>
        <v>84.873182322204229</v>
      </c>
      <c r="S90" s="47">
        <f t="shared" si="35"/>
        <v>83.663837569783212</v>
      </c>
      <c r="T90" s="47">
        <f t="shared" si="36"/>
        <v>23.242445202235697</v>
      </c>
    </row>
    <row r="91" spans="2:20" x14ac:dyDescent="0.2">
      <c r="B91" s="32"/>
      <c r="C91" s="77" t="s">
        <v>103</v>
      </c>
      <c r="D91" s="42">
        <f>76.35444201683*Deflactores!$T$5</f>
        <v>118.4964511091306</v>
      </c>
      <c r="E91" s="42">
        <f>241.99443430562*Deflactores!$U$5</f>
        <v>369.60680806843675</v>
      </c>
      <c r="F91" s="42">
        <f>127.753685414079*Deflactores!$V$5</f>
        <v>184.74039116822485</v>
      </c>
      <c r="G91" s="42">
        <f>95.68492747293*Deflactores!$W$5</f>
        <v>122.31861557221619</v>
      </c>
      <c r="H91" s="42">
        <f>80.5566663216999*Deflactores!$X$5</f>
        <v>94.234476905983016</v>
      </c>
      <c r="I91" s="42">
        <f>97.1199380392699*Deflactores!$Y$5</f>
        <v>107.99434020809623</v>
      </c>
      <c r="J91" s="42">
        <f>216.71213027528*Deflactores!$Z$5</f>
        <v>229.28143383124626</v>
      </c>
      <c r="K91" s="42">
        <f>50.70531546398*Deflactores!$AA$5</f>
        <v>50.70531546398</v>
      </c>
      <c r="L91" s="42"/>
      <c r="M91" s="47">
        <f t="shared" si="29"/>
        <v>60.008037986718321</v>
      </c>
      <c r="N91" s="47">
        <f t="shared" si="30"/>
        <v>90.732763379105549</v>
      </c>
      <c r="O91" s="47">
        <f t="shared" si="31"/>
        <v>78.707196030640446</v>
      </c>
      <c r="P91" s="47">
        <f t="shared" si="32"/>
        <v>65.572336683188809</v>
      </c>
      <c r="Q91" s="47">
        <f t="shared" si="33"/>
        <v>53.610783607904452</v>
      </c>
      <c r="R91" s="47">
        <f t="shared" si="34"/>
        <v>42.353433910073846</v>
      </c>
      <c r="S91" s="47">
        <f t="shared" si="35"/>
        <v>37.558633518332343</v>
      </c>
      <c r="T91" s="47">
        <f t="shared" si="36"/>
        <v>4.4247885072988824</v>
      </c>
    </row>
    <row r="92" spans="2:20" x14ac:dyDescent="0.2">
      <c r="B92" s="34"/>
      <c r="C92" s="76" t="s">
        <v>44</v>
      </c>
      <c r="D92" s="41">
        <f t="shared" ref="D92:K92" si="39">+SUM(D93:D96)</f>
        <v>58130.775407529785</v>
      </c>
      <c r="E92" s="41">
        <f t="shared" si="39"/>
        <v>46476.926541552602</v>
      </c>
      <c r="F92" s="41">
        <f t="shared" si="39"/>
        <v>49577.662030731932</v>
      </c>
      <c r="G92" s="41">
        <f t="shared" si="39"/>
        <v>68513.928387326348</v>
      </c>
      <c r="H92" s="41">
        <f t="shared" si="39"/>
        <v>58623.425224724699</v>
      </c>
      <c r="I92" s="41">
        <f t="shared" si="39"/>
        <v>56536.245719229773</v>
      </c>
      <c r="J92" s="41">
        <f t="shared" si="39"/>
        <v>59861.132586287895</v>
      </c>
      <c r="K92" s="41">
        <f t="shared" si="39"/>
        <v>25757.673424869092</v>
      </c>
      <c r="L92" s="71"/>
      <c r="M92" s="46">
        <f t="shared" si="29"/>
        <v>99.790369133788033</v>
      </c>
      <c r="N92" s="46">
        <f t="shared" si="30"/>
        <v>78.795445917679956</v>
      </c>
      <c r="O92" s="46">
        <f t="shared" si="31"/>
        <v>75.66432672846814</v>
      </c>
      <c r="P92" s="46">
        <f t="shared" si="32"/>
        <v>97.693581449597602</v>
      </c>
      <c r="Q92" s="46">
        <f t="shared" si="33"/>
        <v>96.557931853639914</v>
      </c>
      <c r="R92" s="46">
        <f t="shared" si="34"/>
        <v>88.928979883116767</v>
      </c>
      <c r="S92" s="46">
        <f t="shared" si="35"/>
        <v>96.245322159843838</v>
      </c>
      <c r="T92" s="46">
        <f t="shared" si="36"/>
        <v>41.515397358214464</v>
      </c>
    </row>
    <row r="93" spans="2:20" x14ac:dyDescent="0.2">
      <c r="B93" s="32"/>
      <c r="C93" s="77" t="s">
        <v>98</v>
      </c>
      <c r="D93" s="42">
        <f>17912.4359059928*Deflactores!$T$5</f>
        <v>27798.776724896474</v>
      </c>
      <c r="E93" s="42">
        <f>8621.15428168121*Deflactores!$U$5</f>
        <v>13167.399180319611</v>
      </c>
      <c r="F93" s="42">
        <f>10355.5871017508*Deflactores!$V$5</f>
        <v>14974.872981184739</v>
      </c>
      <c r="G93" s="42">
        <f>25458.9737706393*Deflactores!$W$5</f>
        <v>32545.422855600413</v>
      </c>
      <c r="H93" s="42">
        <f>17051.1250393413*Deflactores!$X$5</f>
        <v>19946.255500744384</v>
      </c>
      <c r="I93" s="42">
        <f>8643.83614344078*Deflactores!$Y$5</f>
        <v>9611.6760371112741</v>
      </c>
      <c r="J93" s="42">
        <f>10247.7990207593*Deflactores!$Z$5</f>
        <v>10842.17136396334</v>
      </c>
      <c r="K93" s="42">
        <f>549.53889310426*Deflactores!$AA$5</f>
        <v>549.53889310425996</v>
      </c>
      <c r="L93" s="42"/>
      <c r="M93" s="47">
        <f t="shared" si="29"/>
        <v>99.855465757506934</v>
      </c>
      <c r="N93" s="47">
        <f t="shared" si="30"/>
        <v>52.860247248738887</v>
      </c>
      <c r="O93" s="47">
        <f t="shared" si="31"/>
        <v>51.644099692267474</v>
      </c>
      <c r="P93" s="47">
        <f t="shared" si="32"/>
        <v>95.963456435145943</v>
      </c>
      <c r="Q93" s="47">
        <f t="shared" si="33"/>
        <v>97.46958516518967</v>
      </c>
      <c r="R93" s="47">
        <f t="shared" si="34"/>
        <v>62.08735476138628</v>
      </c>
      <c r="S93" s="47">
        <f t="shared" si="35"/>
        <v>98.681925705495004</v>
      </c>
      <c r="T93" s="47">
        <f t="shared" si="36"/>
        <v>5.3132124662505973</v>
      </c>
    </row>
    <row r="94" spans="2:20" x14ac:dyDescent="0.2">
      <c r="B94" s="32"/>
      <c r="C94" s="77" t="s">
        <v>61</v>
      </c>
      <c r="D94" s="42">
        <f>18932.2539580717*Deflactores!$T$5</f>
        <v>29381.458973058794</v>
      </c>
      <c r="E94" s="42">
        <f>20925.9314488055*Deflactores!$U$5</f>
        <v>31960.928154587305</v>
      </c>
      <c r="F94" s="42">
        <f>22982.8898455461*Deflactores!$V$5</f>
        <v>33234.799031280985</v>
      </c>
      <c r="G94" s="42">
        <f>26772.9866756672*Deflactores!$W$5</f>
        <v>34225.188348786476</v>
      </c>
      <c r="H94" s="42">
        <f>28965.9060578736*Deflactores!$X$5</f>
        <v>33884.061122527892</v>
      </c>
      <c r="I94" s="42">
        <f>40687.9987502948*Deflactores!$Y$5</f>
        <v>45243.784830764744</v>
      </c>
      <c r="J94" s="42">
        <f>44845.9790189781*Deflactores!$Z$5</f>
        <v>47447.045802078828</v>
      </c>
      <c r="K94" s="42">
        <f>25171.0634959308*Deflactores!$AA$5</f>
        <v>25171.063495930801</v>
      </c>
      <c r="L94" s="42"/>
      <c r="M94" s="47">
        <f t="shared" si="29"/>
        <v>99.946518272929026</v>
      </c>
      <c r="N94" s="47">
        <f t="shared" si="30"/>
        <v>97.874516352881813</v>
      </c>
      <c r="O94" s="47">
        <f t="shared" si="31"/>
        <v>95.211150041984567</v>
      </c>
      <c r="P94" s="47">
        <f t="shared" si="32"/>
        <v>99.679241197332871</v>
      </c>
      <c r="Q94" s="47">
        <f t="shared" si="33"/>
        <v>96.068196647084832</v>
      </c>
      <c r="R94" s="47">
        <f t="shared" si="34"/>
        <v>97.975595653713626</v>
      </c>
      <c r="S94" s="47">
        <f t="shared" si="35"/>
        <v>97.068819139431966</v>
      </c>
      <c r="T94" s="47">
        <f t="shared" si="36"/>
        <v>51.603806801480964</v>
      </c>
    </row>
    <row r="95" spans="2:20" x14ac:dyDescent="0.2">
      <c r="B95" s="32"/>
      <c r="C95" s="77" t="s">
        <v>103</v>
      </c>
      <c r="D95" s="42">
        <f>122.65431899327*Deflactores!$T$5</f>
        <v>190.35043842905864</v>
      </c>
      <c r="E95" s="42">
        <f>109.97481267391*Deflactores!$U$5</f>
        <v>167.96848901489034</v>
      </c>
      <c r="F95" s="42">
        <f>111.64504218452*Deflactores!$V$5</f>
        <v>161.44621345607135</v>
      </c>
      <c r="G95" s="42">
        <f>128.07581098297*Deflactores!$W$5</f>
        <v>163.72542992372317</v>
      </c>
      <c r="H95" s="42">
        <f>144.94604767359*Deflactores!$X$5</f>
        <v>169.5566066197934</v>
      </c>
      <c r="I95" s="42">
        <f>84.5181420773*Deflactores!$Y$5</f>
        <v>93.981536371671737</v>
      </c>
      <c r="J95" s="42">
        <f>98.92710023622*Deflactores!$Z$5</f>
        <v>104.66487204992076</v>
      </c>
      <c r="K95" s="42">
        <f>37.07103583403*Deflactores!$AA$5</f>
        <v>37.071035834029999</v>
      </c>
      <c r="L95" s="42"/>
      <c r="M95" s="47">
        <f t="shared" si="29"/>
        <v>75.776489297530489</v>
      </c>
      <c r="N95" s="47">
        <f t="shared" si="30"/>
        <v>70.335114702012561</v>
      </c>
      <c r="O95" s="47">
        <f t="shared" si="31"/>
        <v>39.00451729157173</v>
      </c>
      <c r="P95" s="47">
        <f t="shared" si="32"/>
        <v>54.197124451600921</v>
      </c>
      <c r="Q95" s="47">
        <f t="shared" si="33"/>
        <v>49.103939795759707</v>
      </c>
      <c r="R95" s="47">
        <f t="shared" si="34"/>
        <v>28.628382392552275</v>
      </c>
      <c r="S95" s="47">
        <f t="shared" si="35"/>
        <v>33.556239829056395</v>
      </c>
      <c r="T95" s="47">
        <f t="shared" si="36"/>
        <v>14.372591950269475</v>
      </c>
    </row>
    <row r="96" spans="2:20" x14ac:dyDescent="0.2">
      <c r="B96" s="32"/>
      <c r="C96" s="77" t="s">
        <v>104</v>
      </c>
      <c r="D96" s="42">
        <f>489.836*Deflactores!$T$5</f>
        <v>760.1892711454575</v>
      </c>
      <c r="E96" s="42">
        <f>773*Deflactores!$U$5</f>
        <v>1180.6307176307917</v>
      </c>
      <c r="F96" s="42">
        <f>834.3623*Deflactores!$V$5</f>
        <v>1206.5438048101337</v>
      </c>
      <c r="G96" s="42">
        <f>1235.65102185869*Deflactores!$W$5</f>
        <v>1579.5917530157376</v>
      </c>
      <c r="H96" s="42">
        <f>3952.45930680297*Deflactores!$X$5</f>
        <v>4623.55199483263</v>
      </c>
      <c r="I96" s="42">
        <f>1427.021447*Deflactores!$Y$5</f>
        <v>1586.803314982081</v>
      </c>
      <c r="J96" s="42">
        <f>1386.815262945*Deflactores!$Z$5</f>
        <v>1467.2505481958101</v>
      </c>
      <c r="K96" s="42">
        <f>0*Deflactores!$AA$5</f>
        <v>0</v>
      </c>
      <c r="L96" s="42"/>
      <c r="M96" s="47">
        <f t="shared" si="29"/>
        <v>99.306648069156793</v>
      </c>
      <c r="N96" s="47">
        <f t="shared" si="30"/>
        <v>100</v>
      </c>
      <c r="O96" s="47">
        <f t="shared" si="31"/>
        <v>100</v>
      </c>
      <c r="P96" s="47">
        <f t="shared" si="32"/>
        <v>99.99651613847675</v>
      </c>
      <c r="Q96" s="47">
        <f t="shared" si="33"/>
        <v>99.796262294490958</v>
      </c>
      <c r="R96" s="47">
        <f t="shared" si="34"/>
        <v>100</v>
      </c>
      <c r="S96" s="47">
        <f t="shared" si="35"/>
        <v>72.718630119689493</v>
      </c>
      <c r="T96" s="47">
        <f t="shared" si="36"/>
        <v>0</v>
      </c>
    </row>
    <row r="97" spans="2:20" x14ac:dyDescent="0.2">
      <c r="B97" s="34" t="s">
        <v>45</v>
      </c>
      <c r="C97" s="76" t="s">
        <v>46</v>
      </c>
      <c r="D97" s="41">
        <f>25313.31533228*Deflactores!$T$5</f>
        <v>39284.394639677499</v>
      </c>
      <c r="E97" s="41">
        <f>28600.6394548803*Deflactores!$U$5</f>
        <v>43682.785878803188</v>
      </c>
      <c r="F97" s="41">
        <f>38269.5755933448*Deflactores!$V$5</f>
        <v>55340.371137170587</v>
      </c>
      <c r="G97" s="41">
        <f>47226.7104513753*Deflactores!$W$5</f>
        <v>60372.160934922736</v>
      </c>
      <c r="H97" s="41">
        <f>51035.865060861*Deflactores!$X$5</f>
        <v>59701.304275038739</v>
      </c>
      <c r="I97" s="41">
        <f>41418.2077791406*Deflactores!$Y$5</f>
        <v>46055.754482684322</v>
      </c>
      <c r="J97" s="41">
        <f>39620.1741007452*Deflactores!$Z$5</f>
        <v>41918.144198588423</v>
      </c>
      <c r="K97" s="41">
        <f>12740.6942565495*Deflactores!$AA$5</f>
        <v>12740.694256549499</v>
      </c>
      <c r="L97" s="71"/>
      <c r="M97" s="46">
        <f t="shared" si="29"/>
        <v>75.631619622661262</v>
      </c>
      <c r="N97" s="46">
        <f t="shared" si="30"/>
        <v>80.264273640591213</v>
      </c>
      <c r="O97" s="46">
        <f t="shared" si="31"/>
        <v>77.504082492170696</v>
      </c>
      <c r="P97" s="46">
        <f t="shared" si="32"/>
        <v>79.652085086971098</v>
      </c>
      <c r="Q97" s="46">
        <f t="shared" si="33"/>
        <v>70.928051573260149</v>
      </c>
      <c r="R97" s="46">
        <f t="shared" si="34"/>
        <v>53.73009629591207</v>
      </c>
      <c r="S97" s="46">
        <f t="shared" si="35"/>
        <v>61.58341473919495</v>
      </c>
      <c r="T97" s="46">
        <f t="shared" si="36"/>
        <v>17.34458823237879</v>
      </c>
    </row>
    <row r="98" spans="2:20" x14ac:dyDescent="0.2">
      <c r="B98" s="36" t="s">
        <v>47</v>
      </c>
      <c r="C98" s="78" t="s">
        <v>48</v>
      </c>
      <c r="D98" s="43">
        <f t="shared" ref="D98:K98" si="40">+D79+D97</f>
        <v>259273.70816596801</v>
      </c>
      <c r="E98" s="43">
        <f t="shared" si="40"/>
        <v>307397.08781822852</v>
      </c>
      <c r="F98" s="43">
        <f t="shared" si="40"/>
        <v>334725.61662456824</v>
      </c>
      <c r="G98" s="43">
        <f t="shared" si="40"/>
        <v>291434.71296039072</v>
      </c>
      <c r="H98" s="43">
        <f t="shared" si="40"/>
        <v>325620.37074626936</v>
      </c>
      <c r="I98" s="43">
        <f t="shared" si="40"/>
        <v>322245.27117676655</v>
      </c>
      <c r="J98" s="43">
        <f t="shared" si="40"/>
        <v>340385.24898466247</v>
      </c>
      <c r="K98" s="43">
        <f t="shared" si="40"/>
        <v>101345.19468461837</v>
      </c>
      <c r="L98" s="71"/>
      <c r="M98" s="48">
        <f t="shared" si="29"/>
        <v>90.983088319626745</v>
      </c>
      <c r="N98" s="48">
        <f t="shared" si="30"/>
        <v>83.581379015369833</v>
      </c>
      <c r="O98" s="48">
        <f t="shared" si="31"/>
        <v>90.873209648279357</v>
      </c>
      <c r="P98" s="48">
        <f t="shared" si="32"/>
        <v>86.976362147503764</v>
      </c>
      <c r="Q98" s="48">
        <f t="shared" si="33"/>
        <v>86.192507653798728</v>
      </c>
      <c r="R98" s="48">
        <f t="shared" si="34"/>
        <v>81.914818002567642</v>
      </c>
      <c r="S98" s="48">
        <f t="shared" si="35"/>
        <v>86.590911694030268</v>
      </c>
      <c r="T98" s="48">
        <f t="shared" si="36"/>
        <v>23.812757888757684</v>
      </c>
    </row>
    <row r="99" spans="2:20" x14ac:dyDescent="0.2">
      <c r="B99" s="38" t="s">
        <v>49</v>
      </c>
      <c r="C99" s="79" t="s">
        <v>63</v>
      </c>
      <c r="D99" s="44">
        <f t="shared" ref="D99:K99" si="41">+D79+D87+D97</f>
        <v>339282.33065216249</v>
      </c>
      <c r="E99" s="44">
        <f t="shared" si="41"/>
        <v>376552.57974465139</v>
      </c>
      <c r="F99" s="44">
        <f t="shared" si="41"/>
        <v>413669.48560160171</v>
      </c>
      <c r="G99" s="44">
        <f t="shared" si="41"/>
        <v>379343.99845076166</v>
      </c>
      <c r="H99" s="44">
        <f t="shared" si="41"/>
        <v>413409.02178700734</v>
      </c>
      <c r="I99" s="44">
        <f t="shared" si="41"/>
        <v>414299.0177471987</v>
      </c>
      <c r="J99" s="44">
        <f t="shared" si="41"/>
        <v>450903.08475199313</v>
      </c>
      <c r="K99" s="44">
        <f t="shared" si="41"/>
        <v>138173.6837058168</v>
      </c>
      <c r="L99" s="71"/>
      <c r="M99" s="45">
        <f t="shared" si="29"/>
        <v>92.810125491866927</v>
      </c>
      <c r="N99" s="45">
        <f t="shared" si="30"/>
        <v>83.740478925913365</v>
      </c>
      <c r="O99" s="45">
        <f t="shared" si="31"/>
        <v>87.955285376007041</v>
      </c>
      <c r="P99" s="45">
        <f t="shared" si="32"/>
        <v>88.909365109862122</v>
      </c>
      <c r="Q99" s="45">
        <f t="shared" si="33"/>
        <v>88.04414917419308</v>
      </c>
      <c r="R99" s="45">
        <f t="shared" si="34"/>
        <v>83.12629425484343</v>
      </c>
      <c r="S99" s="45">
        <f t="shared" si="35"/>
        <v>88.027104096659897</v>
      </c>
      <c r="T99" s="45">
        <f t="shared" si="36"/>
        <v>26.266677932795478</v>
      </c>
    </row>
    <row r="100" spans="2:20" s="5" customFormat="1" x14ac:dyDescent="0.2">
      <c r="B100" s="72" t="str">
        <f>+'C1 Aprop Resumen 2000-2026'!B20</f>
        <v>* Información con corte a 30 de abril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0" x14ac:dyDescent="0.2">
      <c r="M102" s="109"/>
      <c r="N102" s="109"/>
      <c r="O102" s="109"/>
      <c r="P102" s="109"/>
      <c r="Q102" s="109"/>
      <c r="R102" s="109"/>
      <c r="S102" s="109"/>
    </row>
    <row r="103" spans="2:20" x14ac:dyDescent="0.2">
      <c r="M103" s="109"/>
      <c r="N103" s="109"/>
      <c r="O103" s="109"/>
      <c r="P103" s="109"/>
      <c r="Q103" s="109"/>
      <c r="R103" s="109"/>
      <c r="S103" s="109"/>
    </row>
    <row r="104" spans="2:20" x14ac:dyDescent="0.2">
      <c r="M104" s="109"/>
      <c r="N104" s="109"/>
      <c r="O104" s="109"/>
      <c r="P104" s="109"/>
      <c r="Q104" s="109"/>
      <c r="R104" s="109"/>
      <c r="S104" s="109"/>
    </row>
    <row r="105" spans="2:20" x14ac:dyDescent="0.2">
      <c r="M105" s="109"/>
      <c r="N105" s="109"/>
      <c r="O105" s="109"/>
      <c r="P105" s="109"/>
      <c r="Q105" s="109"/>
      <c r="R105" s="109"/>
      <c r="S105" s="109"/>
    </row>
    <row r="106" spans="2:20" x14ac:dyDescent="0.2">
      <c r="M106" s="109"/>
      <c r="N106" s="109"/>
      <c r="O106" s="109"/>
      <c r="P106" s="109"/>
      <c r="Q106" s="109"/>
      <c r="R106" s="109"/>
      <c r="S106" s="109"/>
    </row>
    <row r="107" spans="2:20" ht="18" customHeight="1" x14ac:dyDescent="0.2">
      <c r="C107" s="131"/>
      <c r="D107" s="155" t="s">
        <v>114</v>
      </c>
      <c r="E107" s="156"/>
      <c r="F107" s="156"/>
      <c r="G107" s="156"/>
      <c r="H107" s="156"/>
      <c r="I107" s="156"/>
      <c r="J107" s="156"/>
      <c r="K107" s="169"/>
      <c r="L107" s="169"/>
      <c r="M107" s="156"/>
      <c r="N107" s="156"/>
      <c r="O107" s="156"/>
      <c r="P107" s="156"/>
      <c r="Q107" s="156"/>
      <c r="R107" s="156"/>
      <c r="S107" s="156"/>
      <c r="T107" s="156"/>
    </row>
    <row r="108" spans="2:20" x14ac:dyDescent="0.2">
      <c r="B108" s="157"/>
      <c r="C108" s="156"/>
      <c r="D108" s="156"/>
      <c r="E108" s="156"/>
      <c r="F108" s="156"/>
      <c r="G108" s="156"/>
      <c r="H108" s="156"/>
      <c r="I108" s="156"/>
    </row>
    <row r="109" spans="2:20" ht="12" customHeight="1" thickBot="1" x14ac:dyDescent="0.3">
      <c r="B109" s="19"/>
      <c r="C109" s="92"/>
      <c r="D109" s="167"/>
      <c r="E109" s="154"/>
      <c r="F109" s="154"/>
      <c r="G109" s="154"/>
      <c r="H109" s="154"/>
      <c r="I109" s="154"/>
      <c r="J109" s="154"/>
      <c r="K109" s="136"/>
      <c r="M109" s="167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71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53" t="s">
        <v>10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10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42">+SUM(D113:D119)</f>
        <v>219802.58934948061</v>
      </c>
      <c r="E112" s="41">
        <f t="shared" si="42"/>
        <v>263541.86159361905</v>
      </c>
      <c r="F112" s="41">
        <f t="shared" si="42"/>
        <v>279058.11769005255</v>
      </c>
      <c r="G112" s="41">
        <f t="shared" si="42"/>
        <v>230771.15745189658</v>
      </c>
      <c r="H112" s="41">
        <f t="shared" si="42"/>
        <v>265629.72065570066</v>
      </c>
      <c r="I112" s="41">
        <f t="shared" si="42"/>
        <v>275898.28286029678</v>
      </c>
      <c r="J112" s="41">
        <f t="shared" si="42"/>
        <v>298284.93799822277</v>
      </c>
      <c r="K112" s="41">
        <f t="shared" si="42"/>
        <v>87709.278427660232</v>
      </c>
      <c r="M112" s="46">
        <f t="shared" ref="M112:M132" si="43">+D112/D14*100</f>
        <v>94.324798429352853</v>
      </c>
      <c r="N112" s="46">
        <f t="shared" ref="N112:N132" si="44">+E112/E14*100</f>
        <v>84.102460529484674</v>
      </c>
      <c r="O112" s="46">
        <f t="shared" ref="O112:O132" si="45">+F112/F14*100</f>
        <v>93.977823546982535</v>
      </c>
      <c r="P112" s="46">
        <f t="shared" ref="P112:P132" si="46">+G112/G14*100</f>
        <v>89.00507867911206</v>
      </c>
      <c r="Q112" s="46">
        <f t="shared" ref="Q112:Q132" si="47">+H112/H14*100</f>
        <v>90.469934330442797</v>
      </c>
      <c r="R112" s="46">
        <f t="shared" ref="R112:R132" si="48">+I112/I14*100</f>
        <v>89.672327420083732</v>
      </c>
      <c r="S112" s="46">
        <f t="shared" ref="S112:S132" si="49">+J112/J14*100</f>
        <v>91.771918581602662</v>
      </c>
      <c r="T112" s="46">
        <f t="shared" ref="T112:T132" si="50">+K112/K14*100</f>
        <v>24.907806376878835</v>
      </c>
    </row>
    <row r="113" spans="2:20" x14ac:dyDescent="0.2">
      <c r="B113" s="40"/>
      <c r="C113" s="77" t="s">
        <v>92</v>
      </c>
      <c r="D113" s="42">
        <f>28924.5088056233*Deflactores!$T$5</f>
        <v>44888.700028554747</v>
      </c>
      <c r="E113" s="42">
        <f>29966.3832701618*Deflactores!$U$5</f>
        <v>45768.735556339554</v>
      </c>
      <c r="F113" s="42">
        <f>31756.5040253775*Deflactores!$V$5</f>
        <v>45922.033143452551</v>
      </c>
      <c r="G113" s="42">
        <f>35068.8963163301*Deflactores!$W$5</f>
        <v>44830.246104044389</v>
      </c>
      <c r="H113" s="42">
        <f>40683.1436015652*Deflactores!$X$5</f>
        <v>47590.782131854081</v>
      </c>
      <c r="I113" s="42">
        <f>46391.6393140337*Deflactores!$Y$5</f>
        <v>51586.055140040029</v>
      </c>
      <c r="J113" s="42">
        <f>52278.1250712076*Deflactores!$Z$5</f>
        <v>55310.256325337643</v>
      </c>
      <c r="K113" s="42">
        <f>16567.1015149475*Deflactores!$AA$5</f>
        <v>16567.101514947499</v>
      </c>
      <c r="L113" s="42"/>
      <c r="M113" s="47">
        <f t="shared" si="43"/>
        <v>98.26770634725051</v>
      </c>
      <c r="N113" s="47">
        <f t="shared" si="44"/>
        <v>96.407738602778664</v>
      </c>
      <c r="O113" s="47">
        <f t="shared" si="45"/>
        <v>96.423079570942718</v>
      </c>
      <c r="P113" s="47">
        <f t="shared" si="46"/>
        <v>96.956712118544502</v>
      </c>
      <c r="Q113" s="47">
        <f t="shared" si="47"/>
        <v>95.535590037231955</v>
      </c>
      <c r="R113" s="47">
        <f t="shared" si="48"/>
        <v>97.019008934533872</v>
      </c>
      <c r="S113" s="47">
        <f t="shared" si="49"/>
        <v>96.934487875837334</v>
      </c>
      <c r="T113" s="47">
        <f t="shared" si="50"/>
        <v>26.532016050636663</v>
      </c>
    </row>
    <row r="114" spans="2:20" x14ac:dyDescent="0.2">
      <c r="B114" s="40"/>
      <c r="C114" s="77" t="s">
        <v>93</v>
      </c>
      <c r="D114" s="42">
        <f>7844.02082923427*Deflactores!$T$5</f>
        <v>12173.340622219248</v>
      </c>
      <c r="E114" s="42">
        <f>7768.65442813741*Deflactores!$U$5</f>
        <v>11865.345475443077</v>
      </c>
      <c r="F114" s="42">
        <f>8763.22141740989*Deflactores!$V$5</f>
        <v>12672.205481186509</v>
      </c>
      <c r="G114" s="42">
        <f>10814.8278396698*Deflactores!$W$5</f>
        <v>13825.111268172486</v>
      </c>
      <c r="H114" s="42">
        <f>11469.6871447423*Deflactores!$X$5</f>
        <v>13417.138738633703</v>
      </c>
      <c r="I114" s="42">
        <f>10983.745543477*Deflactores!$Y$5</f>
        <v>12213.582266720454</v>
      </c>
      <c r="J114" s="42">
        <f>13813.7620042364*Deflactores!$Z$5</f>
        <v>14614.960200482112</v>
      </c>
      <c r="K114" s="42">
        <f>3337.10312116245*Deflactores!$AA$5</f>
        <v>3337.10312116245</v>
      </c>
      <c r="L114" s="42"/>
      <c r="M114" s="47">
        <f t="shared" si="43"/>
        <v>87.917654683573289</v>
      </c>
      <c r="N114" s="47">
        <f t="shared" si="44"/>
        <v>86.480367996317227</v>
      </c>
      <c r="O114" s="47">
        <f t="shared" si="45"/>
        <v>87.54013243719811</v>
      </c>
      <c r="P114" s="47">
        <f t="shared" si="46"/>
        <v>86.327130676972374</v>
      </c>
      <c r="Q114" s="47">
        <f t="shared" si="47"/>
        <v>77.446155574675501</v>
      </c>
      <c r="R114" s="47">
        <f t="shared" si="48"/>
        <v>69.939071217758382</v>
      </c>
      <c r="S114" s="47">
        <f t="shared" si="49"/>
        <v>74.101949613128639</v>
      </c>
      <c r="T114" s="47">
        <f t="shared" si="50"/>
        <v>19.304913860109039</v>
      </c>
    </row>
    <row r="115" spans="2:20" x14ac:dyDescent="0.2">
      <c r="B115" s="40"/>
      <c r="C115" s="77" t="s">
        <v>58</v>
      </c>
      <c r="D115" s="42">
        <f>103868.433607807*Deflactores!$T$5</f>
        <v>161196.13266346115</v>
      </c>
      <c r="E115" s="42">
        <f>133590.601385534*Deflactores!$U$5</f>
        <v>204037.73296575944</v>
      </c>
      <c r="F115" s="42">
        <f>150287.793739377*Deflactores!$V$5</f>
        <v>217326.22204386335</v>
      </c>
      <c r="G115" s="42">
        <f>132879.300408608*Deflactores!$W$5</f>
        <v>169865.96001532031</v>
      </c>
      <c r="H115" s="42">
        <f>172974.963452394*Deflactores!$X$5</f>
        <v>202344.58478797579</v>
      </c>
      <c r="I115" s="42">
        <f>188815.625969979*Deflactores!$Y$5</f>
        <v>209957.08357393692</v>
      </c>
      <c r="J115" s="42">
        <f>213891.869978153*Deflactores!$Z$5</f>
        <v>226297.59843688589</v>
      </c>
      <c r="K115" s="42">
        <f>67511.4478674413*Deflactores!$AA$5</f>
        <v>67511.447867441297</v>
      </c>
      <c r="L115" s="42"/>
      <c r="M115" s="47">
        <f t="shared" si="43"/>
        <v>93.792879655201617</v>
      </c>
      <c r="N115" s="47">
        <f t="shared" si="44"/>
        <v>81.556734103738421</v>
      </c>
      <c r="O115" s="47">
        <f t="shared" si="45"/>
        <v>93.943533659813255</v>
      </c>
      <c r="P115" s="47">
        <f t="shared" si="46"/>
        <v>87.286301320219422</v>
      </c>
      <c r="Q115" s="47">
        <f t="shared" si="47"/>
        <v>90.358840189408696</v>
      </c>
      <c r="R115" s="47">
        <f t="shared" si="48"/>
        <v>89.463786785740197</v>
      </c>
      <c r="S115" s="47">
        <f t="shared" si="49"/>
        <v>92.010815085539406</v>
      </c>
      <c r="T115" s="47">
        <f t="shared" si="50"/>
        <v>24.994031650143807</v>
      </c>
    </row>
    <row r="116" spans="2:20" x14ac:dyDescent="0.2">
      <c r="B116" s="40"/>
      <c r="C116" s="77" t="s">
        <v>94</v>
      </c>
      <c r="D116" s="42">
        <f>56.26756120934*Deflactores!$T$5</f>
        <v>87.323096597352162</v>
      </c>
      <c r="E116" s="42">
        <f>55.9119396153699*Deflactores!$U$5</f>
        <v>85.396317454364379</v>
      </c>
      <c r="F116" s="42">
        <f>65.97694464187*Deflactores!$V$5</f>
        <v>95.4070837308318</v>
      </c>
      <c r="G116" s="42">
        <f>66.35370229692*Deflactores!$W$5</f>
        <v>84.823108690199916</v>
      </c>
      <c r="H116" s="42">
        <f>72.90962038414*Deflactores!$X$5</f>
        <v>85.289030095606947</v>
      </c>
      <c r="I116" s="42">
        <f>88.15327172341*Deflactores!$Y$5</f>
        <v>98.023687094047673</v>
      </c>
      <c r="J116" s="42">
        <f>89.78774310567*Deflactores!$Z$5</f>
        <v>94.995432205798863</v>
      </c>
      <c r="K116" s="42">
        <f>12.40757790857*Deflactores!$AA$5</f>
        <v>12.40757790857</v>
      </c>
      <c r="L116" s="42"/>
      <c r="M116" s="47">
        <f t="shared" si="43"/>
        <v>78.907876995680766</v>
      </c>
      <c r="N116" s="47">
        <f t="shared" si="44"/>
        <v>80.838359491515206</v>
      </c>
      <c r="O116" s="47">
        <f t="shared" si="45"/>
        <v>74.359787036186347</v>
      </c>
      <c r="P116" s="47">
        <f t="shared" si="46"/>
        <v>76.839252475676886</v>
      </c>
      <c r="Q116" s="47">
        <f t="shared" si="47"/>
        <v>72.354364039921549</v>
      </c>
      <c r="R116" s="47">
        <f t="shared" si="48"/>
        <v>83.523642369796008</v>
      </c>
      <c r="S116" s="47">
        <f t="shared" si="49"/>
        <v>77.178208021260815</v>
      </c>
      <c r="T116" s="47">
        <f t="shared" si="50"/>
        <v>9.9845641242830325</v>
      </c>
    </row>
    <row r="117" spans="2:20" x14ac:dyDescent="0.2">
      <c r="B117" s="40"/>
      <c r="C117" s="77" t="s">
        <v>95</v>
      </c>
      <c r="D117" s="42">
        <f>289.96309008*Deflactores!$T$5</f>
        <v>450.00128636319056</v>
      </c>
      <c r="E117" s="42">
        <f>319.153394823*Deflactores!$U$5</f>
        <v>487.45446515418092</v>
      </c>
      <c r="F117" s="42">
        <f>393.627104752729*Deflactores!$V$5</f>
        <v>569.21117438402325</v>
      </c>
      <c r="G117" s="42">
        <f>468.54035323696*Deflactores!$W$5</f>
        <v>598.95752509062493</v>
      </c>
      <c r="H117" s="42">
        <f>571.1550256005*Deflactores!$X$5</f>
        <v>668.13210535237931</v>
      </c>
      <c r="I117" s="42">
        <f>516.78952704158*Deflactores!$Y$5</f>
        <v>574.65382624876611</v>
      </c>
      <c r="J117" s="42">
        <f>520.864119517*Deflactores!$Z$5</f>
        <v>551.07423844898597</v>
      </c>
      <c r="K117" s="42">
        <f>1.79863832*Deflactores!$AA$5</f>
        <v>1.79863832</v>
      </c>
      <c r="L117" s="42"/>
      <c r="M117" s="47">
        <f t="shared" si="43"/>
        <v>99.690949687480639</v>
      </c>
      <c r="N117" s="47">
        <f t="shared" si="44"/>
        <v>99.732942558623535</v>
      </c>
      <c r="O117" s="47">
        <f t="shared" si="45"/>
        <v>83.049650133707701</v>
      </c>
      <c r="P117" s="47">
        <f t="shared" si="46"/>
        <v>99.346435919313066</v>
      </c>
      <c r="Q117" s="47">
        <f t="shared" si="47"/>
        <v>99.714712051225561</v>
      </c>
      <c r="R117" s="47">
        <f t="shared" si="48"/>
        <v>99.78522598330386</v>
      </c>
      <c r="S117" s="47">
        <f t="shared" si="49"/>
        <v>95.077315081968365</v>
      </c>
      <c r="T117" s="47">
        <f t="shared" si="50"/>
        <v>0.2870385864456711</v>
      </c>
    </row>
    <row r="118" spans="2:20" x14ac:dyDescent="0.2">
      <c r="B118" s="40"/>
      <c r="C118" s="77" t="s">
        <v>96</v>
      </c>
      <c r="D118" s="42">
        <f>242.10615010751*Deflactores!$T$5</f>
        <v>375.73085234662369</v>
      </c>
      <c r="E118" s="42">
        <f>226.270350891899*Deflactores!$U$5</f>
        <v>345.59084961458444</v>
      </c>
      <c r="F118" s="42">
        <f>419.402111152919*Deflactores!$V$5</f>
        <v>606.4835610811341</v>
      </c>
      <c r="G118" s="42">
        <f>344.349394140089*Deflactores!$W$5</f>
        <v>440.19828699000965</v>
      </c>
      <c r="H118" s="42">
        <f>432.998092394749*Deflactores!$X$5</f>
        <v>506.51734488566223</v>
      </c>
      <c r="I118" s="42">
        <f>324.24536599626*Deflactores!$Y$5</f>
        <v>360.55072803011871</v>
      </c>
      <c r="J118" s="42">
        <f>285.65837413061*Deflactores!$Z$5</f>
        <v>302.22655983018541</v>
      </c>
      <c r="K118" s="42">
        <f>99.6599896265899*Deflactores!$AA$5</f>
        <v>99.659989626589905</v>
      </c>
      <c r="L118" s="42"/>
      <c r="M118" s="47">
        <f t="shared" si="43"/>
        <v>91.541327778734001</v>
      </c>
      <c r="N118" s="47">
        <f t="shared" si="44"/>
        <v>81.478276057531545</v>
      </c>
      <c r="O118" s="47">
        <f t="shared" si="45"/>
        <v>93.203858848895791</v>
      </c>
      <c r="P118" s="47">
        <f t="shared" si="46"/>
        <v>86.36032492667232</v>
      </c>
      <c r="Q118" s="47">
        <f t="shared" si="47"/>
        <v>90.229232311672121</v>
      </c>
      <c r="R118" s="47">
        <f t="shared" si="48"/>
        <v>94.631374491728366</v>
      </c>
      <c r="S118" s="47">
        <f t="shared" si="49"/>
        <v>85.45443375273048</v>
      </c>
      <c r="T118" s="47">
        <f t="shared" si="50"/>
        <v>28.181937545726786</v>
      </c>
    </row>
    <row r="119" spans="2:20" x14ac:dyDescent="0.2">
      <c r="B119" s="40"/>
      <c r="C119" s="77" t="s">
        <v>97</v>
      </c>
      <c r="D119" s="42">
        <f>406.82401151566*Deflactores!$T$5</f>
        <v>631.36079993826672</v>
      </c>
      <c r="E119" s="42">
        <f>623.04952689622*Deflactores!$U$5</f>
        <v>951.60596385382848</v>
      </c>
      <c r="F119" s="42">
        <f>1290.78056304652*Deflactores!$V$5</f>
        <v>1866.5552023540793</v>
      </c>
      <c r="G119" s="42">
        <f>880.715836791469*Deflactores!$W$5</f>
        <v>1125.8611435885286</v>
      </c>
      <c r="H119" s="42">
        <f>869.62232528598*Deflactores!$X$5</f>
        <v>1017.2765169034079</v>
      </c>
      <c r="I119" s="42">
        <f>996.73088482207*Deflactores!$Y$5</f>
        <v>1108.3336382264501</v>
      </c>
      <c r="J119" s="42">
        <f>1052.76635636311*Deflactores!$Z$5</f>
        <v>1113.8268050321703</v>
      </c>
      <c r="K119" s="42">
        <f>179.75971825383*Deflactores!$AA$5</f>
        <v>179.75971825382999</v>
      </c>
      <c r="L119" s="42"/>
      <c r="M119" s="47">
        <f t="shared" si="43"/>
        <v>94.997549688293532</v>
      </c>
      <c r="N119" s="47">
        <f t="shared" si="44"/>
        <v>98.485429155119292</v>
      </c>
      <c r="O119" s="47">
        <f t="shared" si="45"/>
        <v>91.611080964352837</v>
      </c>
      <c r="P119" s="47">
        <f t="shared" si="46"/>
        <v>94.16369575074846</v>
      </c>
      <c r="Q119" s="47">
        <f t="shared" si="47"/>
        <v>85.621748276040904</v>
      </c>
      <c r="R119" s="47">
        <f t="shared" si="48"/>
        <v>86.491294354605728</v>
      </c>
      <c r="S119" s="47">
        <f t="shared" si="49"/>
        <v>89.589376237063732</v>
      </c>
      <c r="T119" s="47">
        <f t="shared" si="50"/>
        <v>15.071742667788046</v>
      </c>
    </row>
    <row r="120" spans="2:20" x14ac:dyDescent="0.2">
      <c r="B120" s="34" t="s">
        <v>41</v>
      </c>
      <c r="C120" s="76" t="s">
        <v>42</v>
      </c>
      <c r="D120" s="41">
        <f t="shared" ref="D120:K120" si="51">+D121+D125</f>
        <v>80008.622486194508</v>
      </c>
      <c r="E120" s="41">
        <f t="shared" si="51"/>
        <v>69155.491926422852</v>
      </c>
      <c r="F120" s="41">
        <f t="shared" si="51"/>
        <v>78943.86897703349</v>
      </c>
      <c r="G120" s="41">
        <f t="shared" si="51"/>
        <v>87908.77247962472</v>
      </c>
      <c r="H120" s="41">
        <f t="shared" si="51"/>
        <v>87780.770744597568</v>
      </c>
      <c r="I120" s="41">
        <f t="shared" si="51"/>
        <v>92053.746570432151</v>
      </c>
      <c r="J120" s="41">
        <f t="shared" si="51"/>
        <v>110517.83576733066</v>
      </c>
      <c r="K120" s="41">
        <f t="shared" si="51"/>
        <v>36622.901551141884</v>
      </c>
      <c r="L120" s="71"/>
      <c r="M120" s="46">
        <f t="shared" si="43"/>
        <v>99.270037157022259</v>
      </c>
      <c r="N120" s="46">
        <f t="shared" si="44"/>
        <v>84.455072681777708</v>
      </c>
      <c r="O120" s="46">
        <f t="shared" si="45"/>
        <v>77.415396442815947</v>
      </c>
      <c r="P120" s="46">
        <f t="shared" si="46"/>
        <v>95.98049702297476</v>
      </c>
      <c r="Q120" s="46">
        <f t="shared" si="47"/>
        <v>95.658513953606217</v>
      </c>
      <c r="R120" s="46">
        <f t="shared" si="48"/>
        <v>87.664908838561445</v>
      </c>
      <c r="S120" s="46">
        <f t="shared" si="49"/>
        <v>92.765888849015838</v>
      </c>
      <c r="T120" s="46">
        <f t="shared" si="50"/>
        <v>36.458942598812541</v>
      </c>
    </row>
    <row r="121" spans="2:20" x14ac:dyDescent="0.2">
      <c r="B121" s="34"/>
      <c r="C121" s="76" t="s">
        <v>43</v>
      </c>
      <c r="D121" s="41">
        <f t="shared" ref="D121:K121" si="52">+SUM(D122:D124)</f>
        <v>21877.847078664723</v>
      </c>
      <c r="E121" s="41">
        <f t="shared" si="52"/>
        <v>22678.565384870246</v>
      </c>
      <c r="F121" s="41">
        <f t="shared" si="52"/>
        <v>29366.206946301561</v>
      </c>
      <c r="G121" s="41">
        <f t="shared" si="52"/>
        <v>19395.357103044596</v>
      </c>
      <c r="H121" s="41">
        <f t="shared" si="52"/>
        <v>29165.225816013233</v>
      </c>
      <c r="I121" s="41">
        <f t="shared" si="52"/>
        <v>35517.500851202385</v>
      </c>
      <c r="J121" s="41">
        <f t="shared" si="52"/>
        <v>50656.703181042772</v>
      </c>
      <c r="K121" s="41">
        <f t="shared" si="52"/>
        <v>10865.22812627279</v>
      </c>
      <c r="L121" s="71"/>
      <c r="M121" s="46">
        <f t="shared" si="43"/>
        <v>97.913486747181338</v>
      </c>
      <c r="N121" s="46">
        <f t="shared" si="44"/>
        <v>99.032710760723859</v>
      </c>
      <c r="O121" s="46">
        <f t="shared" si="45"/>
        <v>80.563045668736251</v>
      </c>
      <c r="P121" s="46">
        <f t="shared" si="46"/>
        <v>90.384198779224619</v>
      </c>
      <c r="Q121" s="46">
        <f t="shared" si="47"/>
        <v>93.925312356068375</v>
      </c>
      <c r="R121" s="46">
        <f t="shared" si="48"/>
        <v>85.72526681590476</v>
      </c>
      <c r="S121" s="46">
        <f t="shared" si="49"/>
        <v>88.965244172566955</v>
      </c>
      <c r="T121" s="46">
        <f t="shared" si="50"/>
        <v>28.290411383273717</v>
      </c>
    </row>
    <row r="122" spans="2:20" x14ac:dyDescent="0.2">
      <c r="B122" s="32"/>
      <c r="C122" s="77" t="s">
        <v>98</v>
      </c>
      <c r="D122" s="42">
        <f>7910.47617477022*Deflactores!$T$5</f>
        <v>12276.474407173177</v>
      </c>
      <c r="E122" s="42">
        <f>6388.91910730776*Deflactores!$U$5</f>
        <v>9758.0260679765033</v>
      </c>
      <c r="F122" s="42">
        <f>10847.4859933545*Deflactores!$V$5</f>
        <v>15686.191745536167</v>
      </c>
      <c r="G122" s="42">
        <f>4196.92598344154*Deflactores!$W$5</f>
        <v>5365.131055764924</v>
      </c>
      <c r="H122" s="42">
        <f>12570.0240204341*Deflactores!$X$5</f>
        <v>14704.303099272707</v>
      </c>
      <c r="I122" s="42">
        <f>16973.3873916283*Deflactores!$Y$5</f>
        <v>18873.87707881509</v>
      </c>
      <c r="J122" s="42">
        <f>31951.3541477027*Deflactores!$Z$5</f>
        <v>33804.532688269457</v>
      </c>
      <c r="K122" s="42">
        <f>6252.94822180437*Deflactores!$AA$5</f>
        <v>6252.9482218043704</v>
      </c>
      <c r="L122" s="42"/>
      <c r="M122" s="47">
        <f t="shared" si="43"/>
        <v>99.388399633902523</v>
      </c>
      <c r="N122" s="47">
        <f t="shared" si="44"/>
        <v>98.433201721859916</v>
      </c>
      <c r="O122" s="47">
        <f t="shared" si="45"/>
        <v>75.917390481882109</v>
      </c>
      <c r="P122" s="47">
        <f t="shared" si="46"/>
        <v>96.760553481122784</v>
      </c>
      <c r="Q122" s="47">
        <f t="shared" si="47"/>
        <v>95.285042047852386</v>
      </c>
      <c r="R122" s="47">
        <f t="shared" si="48"/>
        <v>87.000273850086657</v>
      </c>
      <c r="S122" s="47">
        <f t="shared" si="49"/>
        <v>92.71485698767107</v>
      </c>
      <c r="T122" s="47">
        <f t="shared" si="50"/>
        <v>36.200613278735084</v>
      </c>
    </row>
    <row r="123" spans="2:20" x14ac:dyDescent="0.2">
      <c r="B123" s="32"/>
      <c r="C123" s="77" t="s">
        <v>61</v>
      </c>
      <c r="D123" s="42">
        <f>6110.39162561193*Deflactores!$T$5</f>
        <v>9482.8762203824153</v>
      </c>
      <c r="E123" s="42">
        <f>8217.53210757637*Deflactores!$U$5</f>
        <v>12550.932508825306</v>
      </c>
      <c r="F123" s="42">
        <f>9332.39927500143*Deflactores!$V$5</f>
        <v>13495.274809597171</v>
      </c>
      <c r="G123" s="42">
        <f>10879.5959443922*Deflactores!$W$5</f>
        <v>13907.907431707454</v>
      </c>
      <c r="H123" s="42">
        <f>12281.4127979816*Deflactores!$X$5</f>
        <v>14366.688239834544</v>
      </c>
      <c r="I123" s="42">
        <f>14870.5876881979*Deflactores!$Y$5</f>
        <v>16535.629432179197</v>
      </c>
      <c r="J123" s="42">
        <f>15711.6153676201*Deflactores!$Z$5</f>
        <v>16622.889058942066</v>
      </c>
      <c r="K123" s="42">
        <f>4563.27709624212*Deflactores!$AA$5</f>
        <v>4563.27709624212</v>
      </c>
      <c r="L123" s="42"/>
      <c r="M123" s="47">
        <f t="shared" si="43"/>
        <v>96.817670243193461</v>
      </c>
      <c r="N123" s="47">
        <f t="shared" si="44"/>
        <v>99.773939366644953</v>
      </c>
      <c r="O123" s="47">
        <f t="shared" si="45"/>
        <v>86.762291864065872</v>
      </c>
      <c r="P123" s="47">
        <f t="shared" si="46"/>
        <v>88.430494290039277</v>
      </c>
      <c r="Q123" s="47">
        <f t="shared" si="47"/>
        <v>93.025474680170845</v>
      </c>
      <c r="R123" s="47">
        <f t="shared" si="48"/>
        <v>84.873182322204229</v>
      </c>
      <c r="S123" s="47">
        <f t="shared" si="49"/>
        <v>83.663837569783212</v>
      </c>
      <c r="T123" s="47">
        <f t="shared" si="50"/>
        <v>22.831154505346866</v>
      </c>
    </row>
    <row r="124" spans="2:20" x14ac:dyDescent="0.2">
      <c r="B124" s="32"/>
      <c r="C124" s="77" t="s">
        <v>103</v>
      </c>
      <c r="D124" s="42">
        <f>76.35444201683*Deflactores!$T$5</f>
        <v>118.4964511091306</v>
      </c>
      <c r="E124" s="42">
        <f>241.99443430562*Deflactores!$U$5</f>
        <v>369.60680806843675</v>
      </c>
      <c r="F124" s="42">
        <f>127.753685414079*Deflactores!$V$5</f>
        <v>184.74039116822485</v>
      </c>
      <c r="G124" s="42">
        <f>95.68492747293*Deflactores!$W$5</f>
        <v>122.31861557221619</v>
      </c>
      <c r="H124" s="42">
        <f>80.5566663216999*Deflactores!$X$5</f>
        <v>94.234476905983016</v>
      </c>
      <c r="I124" s="42">
        <f>97.1199380392699*Deflactores!$Y$5</f>
        <v>107.99434020809623</v>
      </c>
      <c r="J124" s="42">
        <f>216.71213027528*Deflactores!$Z$5</f>
        <v>229.28143383124626</v>
      </c>
      <c r="K124" s="42">
        <f>49.0028082263*Deflactores!$AA$5</f>
        <v>49.002808226299997</v>
      </c>
      <c r="L124" s="42"/>
      <c r="M124" s="47">
        <f t="shared" si="43"/>
        <v>60.008037986718321</v>
      </c>
      <c r="N124" s="47">
        <f t="shared" si="44"/>
        <v>90.732763379105549</v>
      </c>
      <c r="O124" s="47">
        <f t="shared" si="45"/>
        <v>78.707196030640446</v>
      </c>
      <c r="P124" s="47">
        <f t="shared" si="46"/>
        <v>65.572336683188809</v>
      </c>
      <c r="Q124" s="47">
        <f t="shared" si="47"/>
        <v>53.610783607904452</v>
      </c>
      <c r="R124" s="47">
        <f t="shared" si="48"/>
        <v>42.353433910073846</v>
      </c>
      <c r="S124" s="47">
        <f t="shared" si="49"/>
        <v>37.558633518332343</v>
      </c>
      <c r="T124" s="47">
        <f t="shared" si="50"/>
        <v>4.2762195773958416</v>
      </c>
    </row>
    <row r="125" spans="2:20" x14ac:dyDescent="0.2">
      <c r="B125" s="34"/>
      <c r="C125" s="76" t="s">
        <v>44</v>
      </c>
      <c r="D125" s="41">
        <f t="shared" ref="D125:K125" si="53">+SUM(D126:D129)</f>
        <v>58130.775407529785</v>
      </c>
      <c r="E125" s="41">
        <f t="shared" si="53"/>
        <v>46476.926541552602</v>
      </c>
      <c r="F125" s="41">
        <f t="shared" si="53"/>
        <v>49577.662030731932</v>
      </c>
      <c r="G125" s="41">
        <f t="shared" si="53"/>
        <v>68513.415376580131</v>
      </c>
      <c r="H125" s="41">
        <f t="shared" si="53"/>
        <v>58615.544928584335</v>
      </c>
      <c r="I125" s="41">
        <f t="shared" si="53"/>
        <v>56536.245719229773</v>
      </c>
      <c r="J125" s="41">
        <f t="shared" si="53"/>
        <v>59861.132586287895</v>
      </c>
      <c r="K125" s="41">
        <f t="shared" si="53"/>
        <v>25757.673424869092</v>
      </c>
      <c r="L125" s="71"/>
      <c r="M125" s="46">
        <f t="shared" si="43"/>
        <v>99.790369133788033</v>
      </c>
      <c r="N125" s="46">
        <f t="shared" si="44"/>
        <v>78.795445917679956</v>
      </c>
      <c r="O125" s="46">
        <f t="shared" si="45"/>
        <v>75.66432672846814</v>
      </c>
      <c r="P125" s="46">
        <f t="shared" si="46"/>
        <v>97.692849950787078</v>
      </c>
      <c r="Q125" s="46">
        <f t="shared" si="47"/>
        <v>96.54495231355348</v>
      </c>
      <c r="R125" s="46">
        <f t="shared" si="48"/>
        <v>88.928979883116767</v>
      </c>
      <c r="S125" s="46">
        <f t="shared" si="49"/>
        <v>96.245322159843838</v>
      </c>
      <c r="T125" s="46">
        <f t="shared" si="50"/>
        <v>41.515397358214464</v>
      </c>
    </row>
    <row r="126" spans="2:20" x14ac:dyDescent="0.2">
      <c r="B126" s="32"/>
      <c r="C126" s="77" t="s">
        <v>98</v>
      </c>
      <c r="D126" s="42">
        <f>17912.4359059928*Deflactores!$T$5</f>
        <v>27798.776724896474</v>
      </c>
      <c r="E126" s="42">
        <f>8621.15428168121*Deflactores!$U$5</f>
        <v>13167.399180319611</v>
      </c>
      <c r="F126" s="42">
        <f>10355.5871017508*Deflactores!$V$5</f>
        <v>14974.872981184739</v>
      </c>
      <c r="G126" s="42">
        <f>25458.8849784223*Deflactores!$W$5</f>
        <v>32545.309348266041</v>
      </c>
      <c r="H126" s="42">
        <f>17051.1250393413*Deflactores!$X$5</f>
        <v>19946.255500744384</v>
      </c>
      <c r="I126" s="42">
        <f>8643.83614344078*Deflactores!$Y$5</f>
        <v>9611.6760371112741</v>
      </c>
      <c r="J126" s="42">
        <f>10247.7990207593*Deflactores!$Z$5</f>
        <v>10842.17136396334</v>
      </c>
      <c r="K126" s="42">
        <f>549.53889310426*Deflactores!$AA$5</f>
        <v>549.53889310425996</v>
      </c>
      <c r="L126" s="42"/>
      <c r="M126" s="47">
        <f t="shared" si="43"/>
        <v>99.855465757506934</v>
      </c>
      <c r="N126" s="47">
        <f t="shared" si="44"/>
        <v>52.860247248738887</v>
      </c>
      <c r="O126" s="47">
        <f t="shared" si="45"/>
        <v>51.644099692267474</v>
      </c>
      <c r="P126" s="47">
        <f t="shared" si="46"/>
        <v>95.963121747340978</v>
      </c>
      <c r="Q126" s="47">
        <f t="shared" si="47"/>
        <v>97.46958516518967</v>
      </c>
      <c r="R126" s="47">
        <f t="shared" si="48"/>
        <v>62.08735476138628</v>
      </c>
      <c r="S126" s="47">
        <f t="shared" si="49"/>
        <v>98.681925705495004</v>
      </c>
      <c r="T126" s="47">
        <f t="shared" si="50"/>
        <v>5.3132124662505973</v>
      </c>
    </row>
    <row r="127" spans="2:20" x14ac:dyDescent="0.2">
      <c r="B127" s="32"/>
      <c r="C127" s="77" t="s">
        <v>61</v>
      </c>
      <c r="D127" s="42">
        <f>18932.2539580717*Deflactores!$T$5</f>
        <v>29381.458973058794</v>
      </c>
      <c r="E127" s="42">
        <f>20925.9314488055*Deflactores!$U$5</f>
        <v>31960.928154587305</v>
      </c>
      <c r="F127" s="42">
        <f>22982.8898455461*Deflactores!$V$5</f>
        <v>33234.799031280985</v>
      </c>
      <c r="G127" s="42">
        <f>26772.9866756672*Deflactores!$W$5</f>
        <v>34225.188348786476</v>
      </c>
      <c r="H127" s="42">
        <f>28965.9060578736*Deflactores!$X$5</f>
        <v>33884.061122527892</v>
      </c>
      <c r="I127" s="42">
        <f>40687.9987502948*Deflactores!$Y$5</f>
        <v>45243.784830764744</v>
      </c>
      <c r="J127" s="42">
        <f>44845.9790189781*Deflactores!$Z$5</f>
        <v>47447.045802078828</v>
      </c>
      <c r="K127" s="42">
        <f>25171.0634959308*Deflactores!$AA$5</f>
        <v>25171.063495930801</v>
      </c>
      <c r="L127" s="42"/>
      <c r="M127" s="47">
        <f t="shared" si="43"/>
        <v>99.946518272929026</v>
      </c>
      <c r="N127" s="47">
        <f t="shared" si="44"/>
        <v>97.874516352881813</v>
      </c>
      <c r="O127" s="47">
        <f t="shared" si="45"/>
        <v>95.211150041984567</v>
      </c>
      <c r="P127" s="47">
        <f t="shared" si="46"/>
        <v>99.679241197332871</v>
      </c>
      <c r="Q127" s="47">
        <f t="shared" si="47"/>
        <v>96.068196647084832</v>
      </c>
      <c r="R127" s="47">
        <f t="shared" si="48"/>
        <v>97.975595653713626</v>
      </c>
      <c r="S127" s="47">
        <f t="shared" si="49"/>
        <v>97.068819139431966</v>
      </c>
      <c r="T127" s="47">
        <f t="shared" si="50"/>
        <v>51.603806801480964</v>
      </c>
    </row>
    <row r="128" spans="2:20" x14ac:dyDescent="0.2">
      <c r="B128" s="32"/>
      <c r="C128" s="77" t="s">
        <v>103</v>
      </c>
      <c r="D128" s="42">
        <f>122.65431899327*Deflactores!$T$5</f>
        <v>190.35043842905864</v>
      </c>
      <c r="E128" s="42">
        <f>109.97481267391*Deflactores!$U$5</f>
        <v>167.96848901489034</v>
      </c>
      <c r="F128" s="42">
        <f>111.64504218452*Deflactores!$V$5</f>
        <v>161.44621345607135</v>
      </c>
      <c r="G128" s="42">
        <f>128.07581098297*Deflactores!$W$5</f>
        <v>163.72542992372317</v>
      </c>
      <c r="H128" s="42">
        <f>144.94604767359*Deflactores!$X$5</f>
        <v>169.5566066197934</v>
      </c>
      <c r="I128" s="42">
        <f>84.5181420773*Deflactores!$Y$5</f>
        <v>93.981536371671737</v>
      </c>
      <c r="J128" s="42">
        <f>98.92710023622*Deflactores!$Z$5</f>
        <v>104.66487204992076</v>
      </c>
      <c r="K128" s="42">
        <f>37.07103583403*Deflactores!$AA$5</f>
        <v>37.071035834029999</v>
      </c>
      <c r="L128" s="42"/>
      <c r="M128" s="47">
        <f t="shared" si="43"/>
        <v>75.776489297530489</v>
      </c>
      <c r="N128" s="47">
        <f t="shared" si="44"/>
        <v>70.335114702012561</v>
      </c>
      <c r="O128" s="47">
        <f t="shared" si="45"/>
        <v>39.00451729157173</v>
      </c>
      <c r="P128" s="47">
        <f t="shared" si="46"/>
        <v>54.197124451600921</v>
      </c>
      <c r="Q128" s="47">
        <f t="shared" si="47"/>
        <v>49.103939795759707</v>
      </c>
      <c r="R128" s="47">
        <f t="shared" si="48"/>
        <v>28.628382392552275</v>
      </c>
      <c r="S128" s="47">
        <f t="shared" si="49"/>
        <v>33.556239829056395</v>
      </c>
      <c r="T128" s="47">
        <f t="shared" si="50"/>
        <v>14.372591950269475</v>
      </c>
    </row>
    <row r="129" spans="2:20" x14ac:dyDescent="0.2">
      <c r="B129" s="32"/>
      <c r="C129" s="77" t="s">
        <v>104</v>
      </c>
      <c r="D129" s="42">
        <f>489.836*Deflactores!$T$5</f>
        <v>760.1892711454575</v>
      </c>
      <c r="E129" s="42">
        <f>773*Deflactores!$U$5</f>
        <v>1180.6307176307917</v>
      </c>
      <c r="F129" s="42">
        <f>834.3623*Deflactores!$V$5</f>
        <v>1206.5438048101337</v>
      </c>
      <c r="G129" s="42">
        <f>1235.33850642669*Deflactores!$W$5</f>
        <v>1579.1922496038965</v>
      </c>
      <c r="H129" s="42">
        <f>3945.72280857495*Deflactores!$X$5</f>
        <v>4615.6716986922656</v>
      </c>
      <c r="I129" s="42">
        <f>1427.021447*Deflactores!$Y$5</f>
        <v>1586.803314982081</v>
      </c>
      <c r="J129" s="42">
        <f>1386.815262945*Deflactores!$Z$5</f>
        <v>1467.2505481958101</v>
      </c>
      <c r="K129" s="42">
        <f>0*Deflactores!$AA$5</f>
        <v>0</v>
      </c>
      <c r="L129" s="42"/>
      <c r="M129" s="47">
        <f t="shared" si="43"/>
        <v>99.306648069156793</v>
      </c>
      <c r="N129" s="47">
        <f t="shared" si="44"/>
        <v>100</v>
      </c>
      <c r="O129" s="47">
        <f t="shared" si="45"/>
        <v>100</v>
      </c>
      <c r="P129" s="47">
        <f t="shared" si="46"/>
        <v>99.971225458594887</v>
      </c>
      <c r="Q129" s="47">
        <f t="shared" si="47"/>
        <v>99.626171398690289</v>
      </c>
      <c r="R129" s="47">
        <f t="shared" si="48"/>
        <v>100</v>
      </c>
      <c r="S129" s="47">
        <f t="shared" si="49"/>
        <v>72.718630119689493</v>
      </c>
      <c r="T129" s="47">
        <f t="shared" si="50"/>
        <v>0</v>
      </c>
    </row>
    <row r="130" spans="2:20" x14ac:dyDescent="0.2">
      <c r="B130" s="34" t="s">
        <v>45</v>
      </c>
      <c r="C130" s="76" t="s">
        <v>46</v>
      </c>
      <c r="D130" s="41">
        <f>24907.3019435067*Deflactores!$T$5</f>
        <v>38654.29186632709</v>
      </c>
      <c r="E130" s="41">
        <f>28458.8377295793*Deflactores!$U$5</f>
        <v>43466.207000791022</v>
      </c>
      <c r="F130" s="41">
        <f>37971.2673806502*Deflactores!$V$5</f>
        <v>54908.997468980335</v>
      </c>
      <c r="G130" s="41">
        <f>47064.8026897365*Deflactores!$W$5</f>
        <v>60165.18650564643</v>
      </c>
      <c r="H130" s="41">
        <f>50861.7565781303*Deflactores!$X$5</f>
        <v>59497.633709408568</v>
      </c>
      <c r="I130" s="41">
        <f>41047.5022231425*Deflactores!$Y$5</f>
        <v>45643.541473288635</v>
      </c>
      <c r="J130" s="41">
        <f>39461.4456841916*Deflactores!$Z$5</f>
        <v>41750.209533874717</v>
      </c>
      <c r="K130" s="41">
        <f>12635.8266365806*Deflactores!$AA$5</f>
        <v>12635.826636580599</v>
      </c>
      <c r="L130" s="71"/>
      <c r="M130" s="46">
        <f t="shared" si="43"/>
        <v>74.418524862914353</v>
      </c>
      <c r="N130" s="46">
        <f t="shared" si="44"/>
        <v>79.866324059770719</v>
      </c>
      <c r="O130" s="46">
        <f t="shared" si="45"/>
        <v>76.899944506151456</v>
      </c>
      <c r="P130" s="46">
        <f t="shared" si="46"/>
        <v>79.379013118099309</v>
      </c>
      <c r="Q130" s="46">
        <f t="shared" si="47"/>
        <v>70.686081040817172</v>
      </c>
      <c r="R130" s="46">
        <f t="shared" si="48"/>
        <v>53.249195593317232</v>
      </c>
      <c r="S130" s="46">
        <f t="shared" si="49"/>
        <v>61.336696037690508</v>
      </c>
      <c r="T130" s="46">
        <f t="shared" si="50"/>
        <v>17.201826334899366</v>
      </c>
    </row>
    <row r="131" spans="2:20" x14ac:dyDescent="0.2">
      <c r="B131" s="36" t="s">
        <v>47</v>
      </c>
      <c r="C131" s="78" t="s">
        <v>48</v>
      </c>
      <c r="D131" s="43">
        <f t="shared" ref="D131:K131" si="54">+D112+D130</f>
        <v>258456.88121580769</v>
      </c>
      <c r="E131" s="43">
        <f t="shared" si="54"/>
        <v>307008.06859441008</v>
      </c>
      <c r="F131" s="43">
        <f t="shared" si="54"/>
        <v>333967.11515903287</v>
      </c>
      <c r="G131" s="43">
        <f t="shared" si="54"/>
        <v>290936.34395754302</v>
      </c>
      <c r="H131" s="43">
        <f t="shared" si="54"/>
        <v>325127.35436510923</v>
      </c>
      <c r="I131" s="43">
        <f t="shared" si="54"/>
        <v>321541.82433358539</v>
      </c>
      <c r="J131" s="43">
        <f t="shared" si="54"/>
        <v>340035.14753209747</v>
      </c>
      <c r="K131" s="43">
        <f t="shared" si="54"/>
        <v>100345.10506424084</v>
      </c>
      <c r="L131" s="71"/>
      <c r="M131" s="48">
        <f t="shared" si="43"/>
        <v>90.696451317078413</v>
      </c>
      <c r="N131" s="48">
        <f t="shared" si="44"/>
        <v>83.475604548145682</v>
      </c>
      <c r="O131" s="48">
        <f t="shared" si="45"/>
        <v>90.667287366647017</v>
      </c>
      <c r="P131" s="48">
        <f t="shared" si="46"/>
        <v>86.827627899498566</v>
      </c>
      <c r="Q131" s="48">
        <f t="shared" si="47"/>
        <v>86.062005013226212</v>
      </c>
      <c r="R131" s="48">
        <f t="shared" si="48"/>
        <v>81.736001662072582</v>
      </c>
      <c r="S131" s="48">
        <f t="shared" si="49"/>
        <v>86.501849068509813</v>
      </c>
      <c r="T131" s="48">
        <f t="shared" si="50"/>
        <v>23.577770013198112</v>
      </c>
    </row>
    <row r="132" spans="2:20" x14ac:dyDescent="0.2">
      <c r="B132" s="38" t="s">
        <v>49</v>
      </c>
      <c r="C132" s="79" t="s">
        <v>63</v>
      </c>
      <c r="D132" s="44">
        <f t="shared" ref="D132:K132" si="55">+D112+D120+D130</f>
        <v>338465.50370200223</v>
      </c>
      <c r="E132" s="44">
        <f t="shared" si="55"/>
        <v>376163.56052083295</v>
      </c>
      <c r="F132" s="44">
        <f t="shared" si="55"/>
        <v>412910.98413606634</v>
      </c>
      <c r="G132" s="44">
        <f t="shared" si="55"/>
        <v>378845.11643716774</v>
      </c>
      <c r="H132" s="44">
        <f t="shared" si="55"/>
        <v>412908.12510970677</v>
      </c>
      <c r="I132" s="44">
        <f t="shared" si="55"/>
        <v>413595.57090401754</v>
      </c>
      <c r="J132" s="44">
        <f t="shared" si="55"/>
        <v>450552.98329942813</v>
      </c>
      <c r="K132" s="44">
        <f t="shared" si="55"/>
        <v>136968.00661538271</v>
      </c>
      <c r="L132" s="71"/>
      <c r="M132" s="45">
        <f t="shared" si="43"/>
        <v>92.586683818368058</v>
      </c>
      <c r="N132" s="45">
        <f t="shared" si="44"/>
        <v>83.653966024750844</v>
      </c>
      <c r="O132" s="45">
        <f t="shared" si="45"/>
        <v>87.794011182039696</v>
      </c>
      <c r="P132" s="45">
        <f t="shared" si="46"/>
        <v>88.792438828506647</v>
      </c>
      <c r="Q132" s="45">
        <f t="shared" si="47"/>
        <v>87.93747268806689</v>
      </c>
      <c r="R132" s="45">
        <f t="shared" si="48"/>
        <v>82.985152406144678</v>
      </c>
      <c r="S132" s="45">
        <f t="shared" si="49"/>
        <v>87.958755890467685</v>
      </c>
      <c r="T132" s="45">
        <f t="shared" si="50"/>
        <v>26.037479933755307</v>
      </c>
    </row>
    <row r="133" spans="2:20" s="5" customFormat="1" x14ac:dyDescent="0.2">
      <c r="B133" s="72" t="str">
        <f>+'C1 Aprop Resumen 2000-2026'!B20</f>
        <v>* Información con corte a 30 de abril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106">
    <mergeCell ref="D2:T2"/>
    <mergeCell ref="E6:E7"/>
    <mergeCell ref="M77:M78"/>
    <mergeCell ref="E77:E78"/>
    <mergeCell ref="D76:K76"/>
    <mergeCell ref="C110:C111"/>
    <mergeCell ref="E110:E111"/>
    <mergeCell ref="F77:F78"/>
    <mergeCell ref="E45:E46"/>
    <mergeCell ref="B108:I108"/>
    <mergeCell ref="H77:H78"/>
    <mergeCell ref="G110:G111"/>
    <mergeCell ref="G45:G46"/>
    <mergeCell ref="I110:I111"/>
    <mergeCell ref="Q45:Q46"/>
    <mergeCell ref="S45:S46"/>
    <mergeCell ref="S110:S111"/>
    <mergeCell ref="D9:T9"/>
    <mergeCell ref="A5:C6"/>
    <mergeCell ref="M76:T76"/>
    <mergeCell ref="O6:O7"/>
    <mergeCell ref="S6:S7"/>
    <mergeCell ref="M45:M46"/>
    <mergeCell ref="P12:P13"/>
    <mergeCell ref="T6:T7"/>
    <mergeCell ref="T77:T78"/>
    <mergeCell ref="D4:K4"/>
    <mergeCell ref="J110:J111"/>
    <mergeCell ref="C77:C78"/>
    <mergeCell ref="D110:D111"/>
    <mergeCell ref="D6:D7"/>
    <mergeCell ref="N45:N46"/>
    <mergeCell ref="N110:N111"/>
    <mergeCell ref="F6:F7"/>
    <mergeCell ref="P45:P46"/>
    <mergeCell ref="P110:P111"/>
    <mergeCell ref="D10:K10"/>
    <mergeCell ref="F12:F13"/>
    <mergeCell ref="H6:H7"/>
    <mergeCell ref="S77:S78"/>
    <mergeCell ref="J6:J7"/>
    <mergeCell ref="I12:I13"/>
    <mergeCell ref="K12:K13"/>
    <mergeCell ref="M6:M7"/>
    <mergeCell ref="M4:T4"/>
    <mergeCell ref="I45:I46"/>
    <mergeCell ref="J77:J78"/>
    <mergeCell ref="C45:C46"/>
    <mergeCell ref="D77:D78"/>
    <mergeCell ref="O45:O46"/>
    <mergeCell ref="F110:F111"/>
    <mergeCell ref="D12:D13"/>
    <mergeCell ref="H110:H111"/>
    <mergeCell ref="R45:R46"/>
    <mergeCell ref="R110:R111"/>
    <mergeCell ref="T110:T111"/>
    <mergeCell ref="H12:H13"/>
    <mergeCell ref="J12:J13"/>
    <mergeCell ref="M109:T109"/>
    <mergeCell ref="D107:T107"/>
    <mergeCell ref="O110:O111"/>
    <mergeCell ref="Q110:Q111"/>
    <mergeCell ref="K110:K111"/>
    <mergeCell ref="M110:M111"/>
    <mergeCell ref="M12:M13"/>
    <mergeCell ref="D109:J109"/>
    <mergeCell ref="O12:O13"/>
    <mergeCell ref="R77:R78"/>
    <mergeCell ref="T12:T13"/>
    <mergeCell ref="M11:T11"/>
    <mergeCell ref="H45:H46"/>
    <mergeCell ref="K77:K78"/>
    <mergeCell ref="J45:J46"/>
    <mergeCell ref="D43:K43"/>
    <mergeCell ref="D74:T74"/>
    <mergeCell ref="E12:E13"/>
    <mergeCell ref="G12:G13"/>
    <mergeCell ref="Q12:Q13"/>
    <mergeCell ref="S12:S13"/>
    <mergeCell ref="M44:T44"/>
    <mergeCell ref="K45:K46"/>
    <mergeCell ref="D11:K11"/>
    <mergeCell ref="B12:B13"/>
    <mergeCell ref="N12:N13"/>
    <mergeCell ref="N77:N78"/>
    <mergeCell ref="P6:P7"/>
    <mergeCell ref="P77:P78"/>
    <mergeCell ref="R6:R7"/>
    <mergeCell ref="D45:D46"/>
    <mergeCell ref="F45:F46"/>
    <mergeCell ref="R12:R13"/>
    <mergeCell ref="I6:I7"/>
    <mergeCell ref="K6:K7"/>
    <mergeCell ref="C12:C13"/>
    <mergeCell ref="G6:G7"/>
    <mergeCell ref="Q6:Q7"/>
    <mergeCell ref="L6:L7"/>
    <mergeCell ref="N6:N7"/>
    <mergeCell ref="O77:O78"/>
    <mergeCell ref="D42:T42"/>
    <mergeCell ref="Q77:Q78"/>
    <mergeCell ref="G77:G78"/>
    <mergeCell ref="I77:I78"/>
    <mergeCell ref="A7:C7"/>
    <mergeCell ref="T45:T46"/>
    <mergeCell ref="D44:K44"/>
  </mergeCells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U138"/>
  <sheetViews>
    <sheetView showGridLines="0" zoomScaleNormal="100" workbookViewId="0">
      <pane xSplit="3" ySplit="7" topLeftCell="E10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12" sqref="K112:K132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1" ht="16.5" customHeight="1" x14ac:dyDescent="0.2">
      <c r="I1" s="4"/>
    </row>
    <row r="2" spans="1:21" ht="16.5" customHeight="1" x14ac:dyDescent="0.2">
      <c r="D2" s="163"/>
      <c r="E2" s="156"/>
      <c r="F2" s="156"/>
      <c r="G2" s="156"/>
      <c r="H2" s="156"/>
      <c r="I2" s="156"/>
      <c r="J2" s="156"/>
      <c r="K2" s="169"/>
      <c r="L2" s="169"/>
      <c r="M2" s="156"/>
      <c r="N2" s="156"/>
      <c r="O2" s="156"/>
      <c r="P2" s="156"/>
      <c r="Q2" s="156"/>
      <c r="R2" s="156"/>
      <c r="S2" s="156"/>
      <c r="T2" s="156"/>
    </row>
    <row r="3" spans="1:21" ht="16.5" customHeight="1" x14ac:dyDescent="0.2">
      <c r="I3" s="4"/>
    </row>
    <row r="4" spans="1:21" s="98" customFormat="1" ht="16.5" customHeight="1" x14ac:dyDescent="0.25">
      <c r="A4" s="120"/>
      <c r="D4" s="161"/>
      <c r="E4" s="152"/>
      <c r="F4" s="152"/>
      <c r="G4" s="152"/>
      <c r="H4" s="152"/>
      <c r="I4" s="152"/>
      <c r="J4" s="152"/>
      <c r="K4" s="152"/>
      <c r="L4" s="133"/>
      <c r="M4" s="161"/>
      <c r="N4" s="152"/>
      <c r="O4" s="152"/>
      <c r="P4" s="152"/>
      <c r="Q4" s="152"/>
      <c r="R4" s="152"/>
      <c r="S4" s="152"/>
      <c r="T4" s="152"/>
      <c r="U4" s="98">
        <v>1000000000</v>
      </c>
    </row>
    <row r="5" spans="1:21" s="98" customFormat="1" ht="16.5" customHeight="1" x14ac:dyDescent="0.25">
      <c r="A5" s="165" t="s">
        <v>18</v>
      </c>
      <c r="B5" s="152"/>
      <c r="C5" s="152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1" s="98" customFormat="1" ht="16.5" customHeight="1" x14ac:dyDescent="0.25">
      <c r="A6" s="152"/>
      <c r="B6" s="152"/>
      <c r="C6" s="152"/>
      <c r="D6" s="151">
        <v>2019</v>
      </c>
      <c r="E6" s="151">
        <v>2020</v>
      </c>
      <c r="F6" s="151">
        <v>2021</v>
      </c>
      <c r="G6" s="151">
        <v>2022</v>
      </c>
      <c r="H6" s="151">
        <v>2023</v>
      </c>
      <c r="I6" s="151">
        <v>2024</v>
      </c>
      <c r="J6" s="151">
        <v>2025</v>
      </c>
      <c r="K6" s="151" t="s">
        <v>10</v>
      </c>
      <c r="L6" s="151"/>
      <c r="M6" s="151">
        <v>2019</v>
      </c>
      <c r="N6" s="151">
        <v>2020</v>
      </c>
      <c r="O6" s="151">
        <v>2021</v>
      </c>
      <c r="P6" s="151">
        <v>2022</v>
      </c>
      <c r="Q6" s="151">
        <v>2023</v>
      </c>
      <c r="R6" s="151">
        <v>2024</v>
      </c>
      <c r="S6" s="151">
        <v>2025</v>
      </c>
      <c r="T6" s="151" t="s">
        <v>10</v>
      </c>
    </row>
    <row r="7" spans="1:21" s="98" customFormat="1" ht="16.5" customHeight="1" x14ac:dyDescent="0.25">
      <c r="A7" s="162" t="s">
        <v>227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1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1" ht="16.5" customHeight="1" x14ac:dyDescent="0.2">
      <c r="C9" s="138"/>
      <c r="D9" s="174" t="s">
        <v>115</v>
      </c>
      <c r="E9" s="156"/>
      <c r="F9" s="156"/>
      <c r="G9" s="156"/>
      <c r="H9" s="156"/>
      <c r="I9" s="156"/>
      <c r="J9" s="156"/>
      <c r="K9" s="169"/>
      <c r="L9" s="169"/>
      <c r="M9" s="156"/>
      <c r="N9" s="156"/>
      <c r="O9" s="156"/>
      <c r="P9" s="156"/>
      <c r="Q9" s="156"/>
      <c r="R9" s="156"/>
      <c r="S9" s="156"/>
      <c r="T9" s="156"/>
    </row>
    <row r="11" spans="1:21" ht="12" customHeight="1" thickBot="1" x14ac:dyDescent="0.3">
      <c r="B11" s="115"/>
      <c r="C11" s="92"/>
      <c r="D11" s="167"/>
      <c r="E11" s="154"/>
      <c r="F11" s="154"/>
      <c r="G11" s="154"/>
      <c r="H11" s="154"/>
      <c r="I11" s="154"/>
      <c r="J11" s="154"/>
      <c r="K11" s="154"/>
      <c r="M11" s="167" t="s">
        <v>91</v>
      </c>
      <c r="N11" s="154"/>
      <c r="O11" s="154"/>
      <c r="P11" s="154"/>
      <c r="Q11" s="154"/>
      <c r="R11" s="154"/>
      <c r="S11" s="154"/>
      <c r="T11" s="154"/>
    </row>
    <row r="12" spans="1:21" ht="13.5" customHeight="1" x14ac:dyDescent="0.2">
      <c r="B12" s="158"/>
      <c r="C12" s="171" t="s">
        <v>38</v>
      </c>
      <c r="D12" s="153">
        <v>2019</v>
      </c>
      <c r="E12" s="153">
        <v>2020</v>
      </c>
      <c r="F12" s="153">
        <v>2021</v>
      </c>
      <c r="G12" s="153">
        <v>2022</v>
      </c>
      <c r="H12" s="153">
        <v>2023</v>
      </c>
      <c r="I12" s="153">
        <v>2024</v>
      </c>
      <c r="J12" s="153">
        <v>2025</v>
      </c>
      <c r="K12" s="153" t="s">
        <v>10</v>
      </c>
      <c r="L12" s="114"/>
      <c r="M12" s="49">
        <v>2019</v>
      </c>
      <c r="N12" s="49">
        <v>2020</v>
      </c>
      <c r="O12" s="49">
        <v>2021</v>
      </c>
      <c r="P12" s="49">
        <v>2022</v>
      </c>
      <c r="Q12" s="49">
        <v>2023</v>
      </c>
      <c r="R12" s="49">
        <v>2024</v>
      </c>
      <c r="S12" s="135">
        <v>2025</v>
      </c>
      <c r="T12" s="114" t="s">
        <v>10</v>
      </c>
    </row>
    <row r="13" spans="1:21" ht="12" customHeight="1" thickBot="1" x14ac:dyDescent="0.25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14"/>
      <c r="M13" s="84"/>
      <c r="N13" s="84"/>
      <c r="O13" s="84"/>
      <c r="P13" s="84"/>
      <c r="Q13" s="84"/>
      <c r="R13" s="84"/>
      <c r="S13" s="84"/>
      <c r="T13" s="84"/>
    </row>
    <row r="14" spans="1:21" x14ac:dyDescent="0.2">
      <c r="B14" s="34" t="s">
        <v>39</v>
      </c>
      <c r="C14" s="76" t="s">
        <v>40</v>
      </c>
      <c r="D14" s="51">
        <f t="shared" ref="D14:K14" si="0">+SUM(D15:D21)</f>
        <v>10126.213120237491</v>
      </c>
      <c r="E14" s="51">
        <f t="shared" si="0"/>
        <v>10196.875840820694</v>
      </c>
      <c r="F14" s="51">
        <f t="shared" si="0"/>
        <v>12351.117348331056</v>
      </c>
      <c r="G14" s="51">
        <f t="shared" si="0"/>
        <v>10851.362011471379</v>
      </c>
      <c r="H14" s="51">
        <f t="shared" si="0"/>
        <v>12097.290850860576</v>
      </c>
      <c r="I14" s="51">
        <f t="shared" si="0"/>
        <v>14975.999083575631</v>
      </c>
      <c r="J14" s="51">
        <f t="shared" si="0"/>
        <v>13271.359570655297</v>
      </c>
      <c r="K14" s="51">
        <f t="shared" si="0"/>
        <v>13655.525596213</v>
      </c>
      <c r="L14" s="73"/>
      <c r="M14" s="119">
        <f t="shared" ref="M14:M34" si="1">+(D14/D$34)*100</f>
        <v>43.924574039183945</v>
      </c>
      <c r="N14" s="119">
        <f t="shared" ref="N14:N34" si="2">+(E14/E$34)*100</f>
        <v>45.084309829417727</v>
      </c>
      <c r="O14" s="119">
        <f t="shared" ref="O14:O34" si="3">+(F14/F$34)*100</f>
        <v>45.585166256754498</v>
      </c>
      <c r="P14" s="119">
        <f t="shared" ref="P14:P34" si="4">+(G14/G$34)*100</f>
        <v>44.920670784268729</v>
      </c>
      <c r="Q14" s="119">
        <f t="shared" ref="Q14:Q34" si="5">+(H14/H$34)*100</f>
        <v>47.484593322173687</v>
      </c>
      <c r="R14" s="119">
        <f t="shared" ref="R14:R34" si="6">+(I14/I$34)*100</f>
        <v>49.909729257126969</v>
      </c>
      <c r="S14" s="119">
        <f t="shared" ref="S14:S34" si="7">+(J14/J$34)*100</f>
        <v>47.645128044172438</v>
      </c>
      <c r="T14" s="119">
        <f t="shared" ref="T14:T34" si="8">+(K14/K$34)*100</f>
        <v>46.044190988372385</v>
      </c>
    </row>
    <row r="15" spans="1:21" x14ac:dyDescent="0.2">
      <c r="B15" s="40"/>
      <c r="C15" s="77" t="s">
        <v>92</v>
      </c>
      <c r="D15" s="52">
        <f>1863.2089883463*Deflactores!$T$5</f>
        <v>2891.5626512600934</v>
      </c>
      <c r="E15" s="52">
        <f>1954.06705205901*Deflactores!$U$5</f>
        <v>2984.5169288112734</v>
      </c>
      <c r="F15" s="52">
        <f>2217.456540964*Deflactores!$V$5</f>
        <v>3206.5907723009809</v>
      </c>
      <c r="G15" s="52">
        <f>2488.839629829*Deflactores!$W$5</f>
        <v>3181.6026404793615</v>
      </c>
      <c r="H15" s="52">
        <f>2821.514818766*Deflactores!$X$5</f>
        <v>3300.5831195533374</v>
      </c>
      <c r="I15" s="52">
        <f>3277.5208366*Deflactores!$Y$5</f>
        <v>3644.5008863554408</v>
      </c>
      <c r="J15" s="52">
        <f>3488.657640394*Deflactores!$Z$5</f>
        <v>3690.9997835368522</v>
      </c>
      <c r="K15" s="52">
        <f>4255.314575531*Deflactores!$AA$5</f>
        <v>4255.3145755309997</v>
      </c>
      <c r="L15" s="52"/>
      <c r="M15" s="109">
        <f t="shared" si="1"/>
        <v>12.54275969270082</v>
      </c>
      <c r="N15" s="109">
        <f t="shared" si="2"/>
        <v>13.195697192959061</v>
      </c>
      <c r="O15" s="109">
        <f t="shared" si="3"/>
        <v>11.8347975612479</v>
      </c>
      <c r="P15" s="109">
        <f t="shared" si="4"/>
        <v>13.170671536738682</v>
      </c>
      <c r="Q15" s="109">
        <f t="shared" si="5"/>
        <v>12.955532696551838</v>
      </c>
      <c r="R15" s="109">
        <f t="shared" si="6"/>
        <v>12.145837583206522</v>
      </c>
      <c r="S15" s="109">
        <f t="shared" si="7"/>
        <v>13.250952651940148</v>
      </c>
      <c r="T15" s="109">
        <f t="shared" si="8"/>
        <v>14.34822231124453</v>
      </c>
    </row>
    <row r="16" spans="1:21" x14ac:dyDescent="0.2">
      <c r="B16" s="40"/>
      <c r="C16" s="77" t="s">
        <v>93</v>
      </c>
      <c r="D16" s="52">
        <f>790.799266779*Deflactores!$T$5</f>
        <v>1227.2620187881053</v>
      </c>
      <c r="E16" s="52">
        <f>817.223551508299*Deflactores!$U$5</f>
        <v>1248.1749393040457</v>
      </c>
      <c r="F16" s="52">
        <f>918.913218713*Deflactores!$V$5</f>
        <v>1328.8100998766479</v>
      </c>
      <c r="G16" s="52">
        <f>966.058614986*Deflactores!$W$5</f>
        <v>1234.9588954867577</v>
      </c>
      <c r="H16" s="52">
        <f>1128.924715155*Deflactores!$X$5</f>
        <v>1320.6061627976069</v>
      </c>
      <c r="I16" s="52">
        <f>1304.742570945*Deflactores!$Y$5</f>
        <v>1450.8330208535183</v>
      </c>
      <c r="J16" s="52">
        <f>1599.56648705337*Deflactores!$Z$5</f>
        <v>1692.3413433024657</v>
      </c>
      <c r="K16" s="52">
        <f>1468.339009532*Deflactores!$AA$5</f>
        <v>1468.3390095320001</v>
      </c>
      <c r="L16" s="52"/>
      <c r="M16" s="109">
        <f t="shared" si="1"/>
        <v>5.3235065043221415</v>
      </c>
      <c r="N16" s="109">
        <f t="shared" si="2"/>
        <v>5.5186614570339927</v>
      </c>
      <c r="O16" s="109">
        <f t="shared" si="3"/>
        <v>4.9043359898703089</v>
      </c>
      <c r="P16" s="109">
        <f t="shared" si="4"/>
        <v>5.1122782483544364</v>
      </c>
      <c r="Q16" s="109">
        <f t="shared" si="5"/>
        <v>5.1836768539577367</v>
      </c>
      <c r="R16" s="109">
        <f t="shared" si="6"/>
        <v>4.8351153645243246</v>
      </c>
      <c r="S16" s="109">
        <f t="shared" si="7"/>
        <v>6.0756262059525694</v>
      </c>
      <c r="T16" s="109">
        <f t="shared" si="8"/>
        <v>4.9509981372901812</v>
      </c>
    </row>
    <row r="17" spans="2:20" x14ac:dyDescent="0.2">
      <c r="B17" s="40"/>
      <c r="C17" s="77" t="s">
        <v>58</v>
      </c>
      <c r="D17" s="52">
        <f>2316.4896230847*Deflactores!$T$5</f>
        <v>3595.0206971083662</v>
      </c>
      <c r="E17" s="52">
        <f>2425.31169772414*Deflactores!$U$5</f>
        <v>3704.2658346214812</v>
      </c>
      <c r="F17" s="52">
        <f>3456.90999714055*Deflactores!$V$5</f>
        <v>4998.9235381753797</v>
      </c>
      <c r="G17" s="52">
        <f>2913.824616056*Deflactores!$W$5</f>
        <v>3724.8812584097623</v>
      </c>
      <c r="H17" s="52">
        <f>4302.768849133*Deflactores!$X$5</f>
        <v>5033.3410040353647</v>
      </c>
      <c r="I17" s="52">
        <f>6644.760302604*Deflactores!$Y$5</f>
        <v>7388.7660886945041</v>
      </c>
      <c r="J17" s="52">
        <f>5231.38097777463*Deflactores!$Z$5</f>
        <v>5534.8010744855592</v>
      </c>
      <c r="K17" s="52">
        <f>5662.226702748*Deflactores!$AA$5</f>
        <v>5662.2267027480002</v>
      </c>
      <c r="L17" s="52"/>
      <c r="M17" s="109">
        <f t="shared" si="1"/>
        <v>15.594156562530618</v>
      </c>
      <c r="N17" s="109">
        <f t="shared" si="2"/>
        <v>16.377983922295179</v>
      </c>
      <c r="O17" s="109">
        <f t="shared" si="3"/>
        <v>18.449890335089396</v>
      </c>
      <c r="P17" s="109">
        <f t="shared" si="4"/>
        <v>15.419646357999387</v>
      </c>
      <c r="Q17" s="109">
        <f t="shared" si="5"/>
        <v>19.756997957227611</v>
      </c>
      <c r="R17" s="109">
        <f t="shared" si="6"/>
        <v>24.624154486989781</v>
      </c>
      <c r="S17" s="109">
        <f t="shared" si="7"/>
        <v>19.870330879737192</v>
      </c>
      <c r="T17" s="109">
        <f t="shared" si="8"/>
        <v>19.092099083545548</v>
      </c>
    </row>
    <row r="18" spans="2:20" x14ac:dyDescent="0.2">
      <c r="B18" s="40"/>
      <c r="C18" s="77" t="s">
        <v>94</v>
      </c>
      <c r="D18" s="52">
        <f>1377.8367988614*Deflactores!$T$5</f>
        <v>2138.300884140484</v>
      </c>
      <c r="E18" s="52">
        <f>1279.043380693*Deflactores!$U$5</f>
        <v>1953.5289837367277</v>
      </c>
      <c r="F18" s="52">
        <f>1717.614450152*Deflactores!$V$5</f>
        <v>2483.7856095406755</v>
      </c>
      <c r="G18" s="52">
        <f>1806.257785013*Deflactores!$W$5</f>
        <v>2309.0256476583859</v>
      </c>
      <c r="H18" s="52">
        <f>1773.381554525*Deflactores!$X$5</f>
        <v>2074.486082604516</v>
      </c>
      <c r="I18" s="52">
        <f>1980.1056419455*Deflactores!$Y$5</f>
        <v>2201.8156792662703</v>
      </c>
      <c r="J18" s="52">
        <f>1909.907392806*Deflactores!$Z$5</f>
        <v>2020.6820215887481</v>
      </c>
      <c r="K18" s="52">
        <f>1982.650479439*Deflactores!$AA$5</f>
        <v>1982.650479439</v>
      </c>
      <c r="L18" s="52"/>
      <c r="M18" s="109">
        <f t="shared" si="1"/>
        <v>9.2753287322949767</v>
      </c>
      <c r="N18" s="109">
        <f t="shared" si="2"/>
        <v>8.6373029679299869</v>
      </c>
      <c r="O18" s="109">
        <f t="shared" si="3"/>
        <v>9.1670880264404051</v>
      </c>
      <c r="P18" s="109">
        <f t="shared" si="4"/>
        <v>9.5585218557122875</v>
      </c>
      <c r="Q18" s="109">
        <f t="shared" si="5"/>
        <v>8.1428254639324589</v>
      </c>
      <c r="R18" s="109">
        <f t="shared" si="6"/>
        <v>7.3378760116776878</v>
      </c>
      <c r="S18" s="109">
        <f t="shared" si="7"/>
        <v>7.2543926748869891</v>
      </c>
      <c r="T18" s="109">
        <f t="shared" si="8"/>
        <v>6.6851719983443285</v>
      </c>
    </row>
    <row r="19" spans="2:20" x14ac:dyDescent="0.2">
      <c r="B19" s="40"/>
      <c r="C19" s="77" t="s">
        <v>95</v>
      </c>
      <c r="D19" s="52">
        <f>80.7731435*Deflactores!$T$5</f>
        <v>125.35394925116253</v>
      </c>
      <c r="E19" s="52">
        <f>103.114626294*Deflactores!$U$5</f>
        <v>157.49067948216833</v>
      </c>
      <c r="F19" s="52">
        <f>105.34410756*Deflactores!$V$5</f>
        <v>152.33463970000847</v>
      </c>
      <c r="G19" s="52">
        <f>170.112788486*Deflactores!$W$5</f>
        <v>217.46330721339044</v>
      </c>
      <c r="H19" s="52">
        <f>189.714629994*Deflactores!$X$5</f>
        <v>221.9264988884095</v>
      </c>
      <c r="I19" s="52">
        <f>127.972288652*Deflactores!$Y$5</f>
        <v>142.30119125801573</v>
      </c>
      <c r="J19" s="52">
        <f>162.478377139*Deflactores!$Z$5</f>
        <v>171.90212301306201</v>
      </c>
      <c r="K19" s="52">
        <f>132.924205*Deflactores!$AA$5</f>
        <v>132.924205</v>
      </c>
      <c r="L19" s="52"/>
      <c r="M19" s="109">
        <f t="shared" si="1"/>
        <v>0.54374905600028089</v>
      </c>
      <c r="N19" s="109">
        <f t="shared" si="2"/>
        <v>0.69632686519483267</v>
      </c>
      <c r="O19" s="109">
        <f t="shared" si="3"/>
        <v>0.56223252370976895</v>
      </c>
      <c r="P19" s="109">
        <f t="shared" si="4"/>
        <v>0.9002185735453534</v>
      </c>
      <c r="Q19" s="109">
        <f t="shared" si="5"/>
        <v>0.87111153042834355</v>
      </c>
      <c r="R19" s="109">
        <f t="shared" si="6"/>
        <v>0.47423974113642253</v>
      </c>
      <c r="S19" s="109">
        <f t="shared" si="7"/>
        <v>0.61714089038264297</v>
      </c>
      <c r="T19" s="109">
        <f t="shared" si="8"/>
        <v>0.44819860201462269</v>
      </c>
    </row>
    <row r="20" spans="2:20" x14ac:dyDescent="0.2">
      <c r="B20" s="40"/>
      <c r="C20" s="77" t="s">
        <v>96</v>
      </c>
      <c r="D20" s="52">
        <f>8.357250844*Deflactores!$T$5</f>
        <v>12.969835675369142</v>
      </c>
      <c r="E20" s="52">
        <f>7.146149*Deflactores!$U$5</f>
        <v>10.914570533203836</v>
      </c>
      <c r="F20" s="52">
        <f>19.85*Deflactores!$V$5</f>
        <v>28.704430348160692</v>
      </c>
      <c r="G20" s="52">
        <f>17.904*Deflactores!$W$5</f>
        <v>22.887538832325752</v>
      </c>
      <c r="H20" s="52">
        <f>11.120135*Deflactores!$X$5</f>
        <v>13.00823572644088</v>
      </c>
      <c r="I20" s="52">
        <f>11.853109917*Deflactores!$Y$5</f>
        <v>13.180288319200418</v>
      </c>
      <c r="J20" s="52">
        <f>10.77826497*Deflactores!$Z$5</f>
        <v>11.403404338260001</v>
      </c>
      <c r="K20" s="52">
        <f>18.756*Deflactores!$AA$5</f>
        <v>18.756</v>
      </c>
      <c r="L20" s="52"/>
      <c r="M20" s="109">
        <f t="shared" si="1"/>
        <v>5.62593835063823E-2</v>
      </c>
      <c r="N20" s="109">
        <f t="shared" si="2"/>
        <v>4.8257514091138536E-2</v>
      </c>
      <c r="O20" s="109">
        <f t="shared" si="3"/>
        <v>0.10594152681280652</v>
      </c>
      <c r="P20" s="109">
        <f t="shared" si="4"/>
        <v>9.474604163626682E-2</v>
      </c>
      <c r="Q20" s="109">
        <f t="shared" si="5"/>
        <v>5.1060257286041404E-2</v>
      </c>
      <c r="R20" s="109">
        <f t="shared" si="6"/>
        <v>4.392525786567459E-2</v>
      </c>
      <c r="S20" s="109">
        <f t="shared" si="7"/>
        <v>4.0939035442699709E-2</v>
      </c>
      <c r="T20" s="109">
        <f t="shared" si="8"/>
        <v>6.3242153521898159E-2</v>
      </c>
    </row>
    <row r="21" spans="2:20" x14ac:dyDescent="0.2">
      <c r="B21" s="40"/>
      <c r="C21" s="77" t="s">
        <v>97</v>
      </c>
      <c r="D21" s="52">
        <f>87.467492406*Deflactores!$T$5</f>
        <v>135.74308401391076</v>
      </c>
      <c r="E21" s="52">
        <f>90.34286204455*Deflactores!$U$5</f>
        <v>137.98390433179389</v>
      </c>
      <c r="F21" s="52">
        <f>105.09074356945*Deflactores!$V$5</f>
        <v>151.9682583892037</v>
      </c>
      <c r="G21" s="52">
        <f>125.586107823*Deflactores!$W$5</f>
        <v>160.54272339139644</v>
      </c>
      <c r="H21" s="52">
        <f>113.985941024*Deflactores!$X$5</f>
        <v>133.33974725490114</v>
      </c>
      <c r="I21" s="52">
        <f>121.048297185*Deflactores!$Y$5</f>
        <v>134.60192882868009</v>
      </c>
      <c r="J21" s="52">
        <f>141.048979575*Deflactores!$Z$5</f>
        <v>149.22982039035</v>
      </c>
      <c r="K21" s="52">
        <f>135.314623963*Deflactores!$AA$5</f>
        <v>135.314623963</v>
      </c>
      <c r="L21" s="52"/>
      <c r="M21" s="109">
        <f t="shared" si="1"/>
        <v>0.58881410782872712</v>
      </c>
      <c r="N21" s="109">
        <f t="shared" si="2"/>
        <v>0.61007990991352912</v>
      </c>
      <c r="O21" s="109">
        <f t="shared" si="3"/>
        <v>0.56088029358391245</v>
      </c>
      <c r="P21" s="109">
        <f t="shared" si="4"/>
        <v>0.66458817028231987</v>
      </c>
      <c r="Q21" s="109">
        <f t="shared" si="5"/>
        <v>0.52338856278965873</v>
      </c>
      <c r="R21" s="109">
        <f t="shared" si="6"/>
        <v>0.44858081172655473</v>
      </c>
      <c r="S21" s="109">
        <f t="shared" si="7"/>
        <v>0.53574570583019843</v>
      </c>
      <c r="T21" s="109">
        <f t="shared" si="8"/>
        <v>0.45625870241127992</v>
      </c>
    </row>
    <row r="22" spans="2:20" x14ac:dyDescent="0.2">
      <c r="B22" s="34" t="s">
        <v>41</v>
      </c>
      <c r="C22" s="76" t="s">
        <v>42</v>
      </c>
      <c r="D22" s="51">
        <f t="shared" ref="D22:K22" si="9">+D23+D27</f>
        <v>2.0423347422962421</v>
      </c>
      <c r="E22" s="51">
        <f t="shared" si="9"/>
        <v>1.7793464243724091</v>
      </c>
      <c r="F22" s="51">
        <f t="shared" si="9"/>
        <v>1.8567500537550794</v>
      </c>
      <c r="G22" s="51">
        <f t="shared" si="9"/>
        <v>22.011842200229953</v>
      </c>
      <c r="H22" s="51">
        <f t="shared" si="9"/>
        <v>61.542568482271015</v>
      </c>
      <c r="I22" s="51">
        <f t="shared" si="9"/>
        <v>0</v>
      </c>
      <c r="J22" s="51">
        <f t="shared" si="9"/>
        <v>0</v>
      </c>
      <c r="K22" s="51">
        <f t="shared" si="9"/>
        <v>0</v>
      </c>
      <c r="L22" s="73"/>
      <c r="M22" s="119">
        <f t="shared" si="1"/>
        <v>8.8590554569213924E-3</v>
      </c>
      <c r="N22" s="119">
        <f t="shared" si="2"/>
        <v>7.8671748820485516E-3</v>
      </c>
      <c r="O22" s="119">
        <f t="shared" si="3"/>
        <v>6.8528423389241097E-3</v>
      </c>
      <c r="P22" s="119">
        <f t="shared" si="4"/>
        <v>9.112097778937979E-2</v>
      </c>
      <c r="Q22" s="119">
        <f t="shared" si="5"/>
        <v>0.24156845300406868</v>
      </c>
      <c r="R22" s="119">
        <f t="shared" si="6"/>
        <v>0</v>
      </c>
      <c r="S22" s="119">
        <f t="shared" si="7"/>
        <v>0</v>
      </c>
      <c r="T22" s="119">
        <f t="shared" si="8"/>
        <v>0</v>
      </c>
    </row>
    <row r="23" spans="2:20" ht="11.25" hidden="1" customHeight="1" x14ac:dyDescent="0.2">
      <c r="B23" s="34"/>
      <c r="C23" s="76" t="s">
        <v>43</v>
      </c>
      <c r="D23" s="51">
        <f t="shared" ref="D23:K23" si="10">+SUM(D24:D26)</f>
        <v>0</v>
      </c>
      <c r="E23" s="51">
        <f t="shared" si="10"/>
        <v>0</v>
      </c>
      <c r="F23" s="51">
        <f t="shared" si="10"/>
        <v>0</v>
      </c>
      <c r="G23" s="51">
        <f t="shared" si="10"/>
        <v>0</v>
      </c>
      <c r="H23" s="51">
        <f t="shared" si="10"/>
        <v>0</v>
      </c>
      <c r="I23" s="51">
        <f t="shared" si="10"/>
        <v>0</v>
      </c>
      <c r="J23" s="51">
        <f t="shared" si="10"/>
        <v>0</v>
      </c>
      <c r="K23" s="51">
        <f t="shared" si="10"/>
        <v>0</v>
      </c>
      <c r="L23" s="73"/>
      <c r="M23" s="119">
        <f t="shared" si="1"/>
        <v>0</v>
      </c>
      <c r="N23" s="119">
        <f t="shared" si="2"/>
        <v>0</v>
      </c>
      <c r="O23" s="119">
        <f t="shared" si="3"/>
        <v>0</v>
      </c>
      <c r="P23" s="119">
        <f t="shared" si="4"/>
        <v>0</v>
      </c>
      <c r="Q23" s="119">
        <f t="shared" si="5"/>
        <v>0</v>
      </c>
      <c r="R23" s="119">
        <f t="shared" si="6"/>
        <v>0</v>
      </c>
      <c r="S23" s="119">
        <f t="shared" si="7"/>
        <v>0</v>
      </c>
      <c r="T23" s="119">
        <f t="shared" si="8"/>
        <v>0</v>
      </c>
    </row>
    <row r="24" spans="2:20" ht="11.25" hidden="1" customHeight="1" x14ac:dyDescent="0.2">
      <c r="B24" s="34"/>
      <c r="C24" s="85" t="s">
        <v>98</v>
      </c>
      <c r="D24" s="53">
        <f>0*Deflactores!$T$5</f>
        <v>0</v>
      </c>
      <c r="E24" s="53">
        <f>0*Deflactores!$U$5</f>
        <v>0</v>
      </c>
      <c r="F24" s="53">
        <f>0*Deflactores!$V$5</f>
        <v>0</v>
      </c>
      <c r="G24" s="53">
        <f>0*Deflactores!$W$5</f>
        <v>0</v>
      </c>
      <c r="H24" s="53">
        <f>0*Deflactores!$X$5</f>
        <v>0</v>
      </c>
      <c r="I24" s="53">
        <f>0*Deflactores!$Y$5</f>
        <v>0</v>
      </c>
      <c r="J24" s="53">
        <f>0*Deflactores!$Z$5</f>
        <v>0</v>
      </c>
      <c r="K24" s="53">
        <f>0*Deflactores!$AA$5</f>
        <v>0</v>
      </c>
      <c r="L24" s="52"/>
      <c r="M24" s="109">
        <f t="shared" si="1"/>
        <v>0</v>
      </c>
      <c r="N24" s="109">
        <f t="shared" si="2"/>
        <v>0</v>
      </c>
      <c r="O24" s="109">
        <f t="shared" si="3"/>
        <v>0</v>
      </c>
      <c r="P24" s="109">
        <f t="shared" si="4"/>
        <v>0</v>
      </c>
      <c r="Q24" s="109">
        <f t="shared" si="5"/>
        <v>0</v>
      </c>
      <c r="R24" s="109">
        <f t="shared" si="6"/>
        <v>0</v>
      </c>
      <c r="S24" s="109">
        <f t="shared" si="7"/>
        <v>0</v>
      </c>
      <c r="T24" s="109">
        <f t="shared" si="8"/>
        <v>0</v>
      </c>
    </row>
    <row r="25" spans="2:20" ht="11.25" hidden="1" customHeight="1" x14ac:dyDescent="0.2">
      <c r="B25" s="34"/>
      <c r="C25" s="85" t="s">
        <v>61</v>
      </c>
      <c r="D25" s="53">
        <f>0*Deflactores!$T$5</f>
        <v>0</v>
      </c>
      <c r="E25" s="53">
        <f>0*Deflactores!$U$5</f>
        <v>0</v>
      </c>
      <c r="F25" s="53">
        <f>0*Deflactores!$V$5</f>
        <v>0</v>
      </c>
      <c r="G25" s="53">
        <f>0*Deflactores!$W$5</f>
        <v>0</v>
      </c>
      <c r="H25" s="53">
        <f>0*Deflactores!$X$5</f>
        <v>0</v>
      </c>
      <c r="I25" s="53">
        <f>0*Deflactores!$Y$5</f>
        <v>0</v>
      </c>
      <c r="J25" s="53">
        <f>0*Deflactores!$Z$5</f>
        <v>0</v>
      </c>
      <c r="K25" s="53">
        <f>0*Deflactores!$AA$5</f>
        <v>0</v>
      </c>
      <c r="L25" s="52"/>
      <c r="M25" s="109">
        <f t="shared" si="1"/>
        <v>0</v>
      </c>
      <c r="N25" s="109">
        <f t="shared" si="2"/>
        <v>0</v>
      </c>
      <c r="O25" s="109">
        <f t="shared" si="3"/>
        <v>0</v>
      </c>
      <c r="P25" s="109">
        <f t="shared" si="4"/>
        <v>0</v>
      </c>
      <c r="Q25" s="109">
        <f t="shared" si="5"/>
        <v>0</v>
      </c>
      <c r="R25" s="109">
        <f t="shared" si="6"/>
        <v>0</v>
      </c>
      <c r="S25" s="109">
        <f t="shared" si="7"/>
        <v>0</v>
      </c>
      <c r="T25" s="109">
        <f t="shared" si="8"/>
        <v>0</v>
      </c>
    </row>
    <row r="26" spans="2:20" ht="11.25" hidden="1" customHeight="1" x14ac:dyDescent="0.2">
      <c r="B26" s="34"/>
      <c r="C26" s="85" t="s">
        <v>99</v>
      </c>
      <c r="D26" s="53">
        <f>0*Deflactores!$T$5</f>
        <v>0</v>
      </c>
      <c r="E26" s="53">
        <f>0*Deflactores!$U$5</f>
        <v>0</v>
      </c>
      <c r="F26" s="53">
        <f>0*Deflactores!$V$5</f>
        <v>0</v>
      </c>
      <c r="G26" s="53">
        <f>0*Deflactores!$W$5</f>
        <v>0</v>
      </c>
      <c r="H26" s="53">
        <f>0*Deflactores!$X$5</f>
        <v>0</v>
      </c>
      <c r="I26" s="53">
        <f>0*Deflactores!$Y$5</f>
        <v>0</v>
      </c>
      <c r="J26" s="53">
        <f>0*Deflactores!$Z$5</f>
        <v>0</v>
      </c>
      <c r="K26" s="53">
        <f>0*Deflactores!$AA$5</f>
        <v>0</v>
      </c>
      <c r="L26" s="52"/>
      <c r="M26" s="109">
        <f t="shared" si="1"/>
        <v>0</v>
      </c>
      <c r="N26" s="109">
        <f t="shared" si="2"/>
        <v>0</v>
      </c>
      <c r="O26" s="109">
        <f t="shared" si="3"/>
        <v>0</v>
      </c>
      <c r="P26" s="109">
        <f t="shared" si="4"/>
        <v>0</v>
      </c>
      <c r="Q26" s="109">
        <f t="shared" si="5"/>
        <v>0</v>
      </c>
      <c r="R26" s="109">
        <f t="shared" si="6"/>
        <v>0</v>
      </c>
      <c r="S26" s="109">
        <f t="shared" si="7"/>
        <v>0</v>
      </c>
      <c r="T26" s="109">
        <f t="shared" si="8"/>
        <v>0</v>
      </c>
    </row>
    <row r="27" spans="2:20" x14ac:dyDescent="0.2">
      <c r="B27" s="34"/>
      <c r="C27" s="76" t="s">
        <v>44</v>
      </c>
      <c r="D27" s="51">
        <f t="shared" ref="D27:K27" si="11">+SUM(D28:D31)</f>
        <v>2.0423347422962421</v>
      </c>
      <c r="E27" s="51">
        <f t="shared" si="11"/>
        <v>1.7793464243724091</v>
      </c>
      <c r="F27" s="51">
        <f t="shared" si="11"/>
        <v>1.8567500537550794</v>
      </c>
      <c r="G27" s="51">
        <f t="shared" si="11"/>
        <v>22.011842200229953</v>
      </c>
      <c r="H27" s="51">
        <f t="shared" si="11"/>
        <v>61.542568482271015</v>
      </c>
      <c r="I27" s="51">
        <f t="shared" si="11"/>
        <v>0</v>
      </c>
      <c r="J27" s="51">
        <f t="shared" si="11"/>
        <v>0</v>
      </c>
      <c r="K27" s="51">
        <f t="shared" si="11"/>
        <v>0</v>
      </c>
      <c r="L27" s="73"/>
      <c r="M27" s="119">
        <f t="shared" si="1"/>
        <v>8.8590554569213924E-3</v>
      </c>
      <c r="N27" s="119">
        <f t="shared" si="2"/>
        <v>7.8671748820485516E-3</v>
      </c>
      <c r="O27" s="119">
        <f t="shared" si="3"/>
        <v>6.8528423389241097E-3</v>
      </c>
      <c r="P27" s="119">
        <f t="shared" si="4"/>
        <v>9.112097778937979E-2</v>
      </c>
      <c r="Q27" s="119">
        <f t="shared" si="5"/>
        <v>0.24156845300406868</v>
      </c>
      <c r="R27" s="119">
        <f t="shared" si="6"/>
        <v>0</v>
      </c>
      <c r="S27" s="119">
        <f t="shared" si="7"/>
        <v>0</v>
      </c>
      <c r="T27" s="119">
        <f t="shared" si="8"/>
        <v>0</v>
      </c>
    </row>
    <row r="28" spans="2:20" x14ac:dyDescent="0.2">
      <c r="B28" s="32"/>
      <c r="C28" s="83" t="s">
        <v>98</v>
      </c>
      <c r="D28" s="52">
        <f>1.207*Deflactores!$T$5</f>
        <v>1.8731747978355353</v>
      </c>
      <c r="E28" s="52">
        <f>1.099*Deflactores!$U$5</f>
        <v>1.6785422492577491</v>
      </c>
      <c r="F28" s="52">
        <f>1.284*Deflactores!$V$5</f>
        <v>1.8567500537550794</v>
      </c>
      <c r="G28" s="52">
        <f>1.409*Deflactores!$W$5</f>
        <v>1.8011920361230445</v>
      </c>
      <c r="H28" s="52">
        <f>0*Deflactores!$X$5</f>
        <v>0</v>
      </c>
      <c r="I28" s="52">
        <f>0*Deflactores!$Y$5</f>
        <v>0</v>
      </c>
      <c r="J28" s="52">
        <f>0*Deflactores!$Z$5</f>
        <v>0</v>
      </c>
      <c r="K28" s="52">
        <f>0*Deflactores!$AA$5</f>
        <v>0</v>
      </c>
      <c r="L28" s="52"/>
      <c r="M28" s="109">
        <f t="shared" si="1"/>
        <v>8.1252887055502446E-3</v>
      </c>
      <c r="N28" s="109">
        <f t="shared" si="2"/>
        <v>7.4214808543960169E-3</v>
      </c>
      <c r="O28" s="109">
        <f t="shared" si="3"/>
        <v>6.8528423389241097E-3</v>
      </c>
      <c r="P28" s="109">
        <f t="shared" si="4"/>
        <v>7.456276399994413E-3</v>
      </c>
      <c r="Q28" s="109">
        <f t="shared" si="5"/>
        <v>0</v>
      </c>
      <c r="R28" s="109">
        <f t="shared" si="6"/>
        <v>0</v>
      </c>
      <c r="S28" s="109">
        <f t="shared" si="7"/>
        <v>0</v>
      </c>
      <c r="T28" s="109">
        <f t="shared" si="8"/>
        <v>0</v>
      </c>
    </row>
    <row r="29" spans="2:20" x14ac:dyDescent="0.2">
      <c r="B29" s="32"/>
      <c r="C29" s="83" t="s">
        <v>61</v>
      </c>
      <c r="D29" s="52">
        <f>0.109*Deflactores!$T$5</f>
        <v>0.16915994446070698</v>
      </c>
      <c r="E29" s="52">
        <f>0.066*Deflactores!$U$5</f>
        <v>0.1008041751146601</v>
      </c>
      <c r="F29" s="52">
        <f>0*Deflactores!$V$5</f>
        <v>0</v>
      </c>
      <c r="G29" s="52">
        <f>0*Deflactores!$W$5</f>
        <v>0</v>
      </c>
      <c r="H29" s="52">
        <f>0*Deflactores!$X$5</f>
        <v>0</v>
      </c>
      <c r="I29" s="52">
        <f>0*Deflactores!$Y$5</f>
        <v>0</v>
      </c>
      <c r="J29" s="52">
        <f>0*Deflactores!$Z$5</f>
        <v>0</v>
      </c>
      <c r="K29" s="52">
        <f>0*Deflactores!$AA$5</f>
        <v>0</v>
      </c>
      <c r="L29" s="52"/>
      <c r="M29" s="109">
        <f t="shared" si="1"/>
        <v>7.3376675137114874E-4</v>
      </c>
      <c r="N29" s="109">
        <f t="shared" si="2"/>
        <v>4.4569402765253608E-4</v>
      </c>
      <c r="O29" s="109">
        <f t="shared" si="3"/>
        <v>0</v>
      </c>
      <c r="P29" s="109">
        <f t="shared" si="4"/>
        <v>0</v>
      </c>
      <c r="Q29" s="109">
        <f t="shared" si="5"/>
        <v>0</v>
      </c>
      <c r="R29" s="109">
        <f t="shared" si="6"/>
        <v>0</v>
      </c>
      <c r="S29" s="109">
        <f t="shared" si="7"/>
        <v>0</v>
      </c>
      <c r="T29" s="109">
        <f t="shared" si="8"/>
        <v>0</v>
      </c>
    </row>
    <row r="30" spans="2:20" ht="11.25" hidden="1" customHeight="1" x14ac:dyDescent="0.2">
      <c r="B30" s="32"/>
      <c r="C30" s="83" t="s">
        <v>99</v>
      </c>
      <c r="D30" s="52">
        <f>0*Deflactores!$T$5</f>
        <v>0</v>
      </c>
      <c r="E30" s="52">
        <f>0*Deflactores!$U$5</f>
        <v>0</v>
      </c>
      <c r="F30" s="52">
        <f>0*Deflactores!$V$5</f>
        <v>0</v>
      </c>
      <c r="G30" s="52">
        <f>0*Deflactores!$W$5</f>
        <v>0</v>
      </c>
      <c r="H30" s="52">
        <f>0*Deflactores!$X$5</f>
        <v>0</v>
      </c>
      <c r="I30" s="52">
        <f>0*Deflactores!$Y$5</f>
        <v>0</v>
      </c>
      <c r="J30" s="52">
        <f>0*Deflactores!$Z$5</f>
        <v>0</v>
      </c>
      <c r="K30" s="52">
        <f>0*Deflactores!$AA$5</f>
        <v>0</v>
      </c>
      <c r="L30" s="52"/>
      <c r="M30" s="109">
        <f t="shared" si="1"/>
        <v>0</v>
      </c>
      <c r="N30" s="109">
        <f t="shared" si="2"/>
        <v>0</v>
      </c>
      <c r="O30" s="109">
        <f t="shared" si="3"/>
        <v>0</v>
      </c>
      <c r="P30" s="109">
        <f t="shared" si="4"/>
        <v>0</v>
      </c>
      <c r="Q30" s="109">
        <f t="shared" si="5"/>
        <v>0</v>
      </c>
      <c r="R30" s="109">
        <f t="shared" si="6"/>
        <v>0</v>
      </c>
      <c r="S30" s="109">
        <f t="shared" si="7"/>
        <v>0</v>
      </c>
      <c r="T30" s="109">
        <f t="shared" si="8"/>
        <v>0</v>
      </c>
    </row>
    <row r="31" spans="2:20" x14ac:dyDescent="0.2">
      <c r="B31" s="32"/>
      <c r="C31" s="83" t="s">
        <v>100</v>
      </c>
      <c r="D31" s="52">
        <f>0*Deflactores!$T$5</f>
        <v>0</v>
      </c>
      <c r="E31" s="52">
        <f>0*Deflactores!$U$5</f>
        <v>0</v>
      </c>
      <c r="F31" s="52">
        <f>0*Deflactores!$V$5</f>
        <v>0</v>
      </c>
      <c r="G31" s="52">
        <f>15.809977787*Deflactores!$W$5</f>
        <v>20.210650164106909</v>
      </c>
      <c r="H31" s="52">
        <f>52.609876094*Deflactores!$X$5</f>
        <v>61.542568482271015</v>
      </c>
      <c r="I31" s="52">
        <f>0*Deflactores!$Y$5</f>
        <v>0</v>
      </c>
      <c r="J31" s="52">
        <f>0*Deflactores!$Z$5</f>
        <v>0</v>
      </c>
      <c r="K31" s="52">
        <f>0*Deflactores!$AA$5</f>
        <v>0</v>
      </c>
      <c r="L31" s="52"/>
      <c r="M31" s="109">
        <f t="shared" si="1"/>
        <v>0</v>
      </c>
      <c r="N31" s="109">
        <f t="shared" si="2"/>
        <v>0</v>
      </c>
      <c r="O31" s="109">
        <f t="shared" si="3"/>
        <v>0</v>
      </c>
      <c r="P31" s="109">
        <f t="shared" si="4"/>
        <v>8.3664701389385379E-2</v>
      </c>
      <c r="Q31" s="109">
        <f t="shared" si="5"/>
        <v>0.24156845300406868</v>
      </c>
      <c r="R31" s="109">
        <f t="shared" si="6"/>
        <v>0</v>
      </c>
      <c r="S31" s="109">
        <f t="shared" si="7"/>
        <v>0</v>
      </c>
      <c r="T31" s="109">
        <f t="shared" si="8"/>
        <v>0</v>
      </c>
    </row>
    <row r="32" spans="2:20" x14ac:dyDescent="0.2">
      <c r="B32" s="34" t="s">
        <v>45</v>
      </c>
      <c r="C32" s="76" t="s">
        <v>46</v>
      </c>
      <c r="D32" s="51">
        <f>8328.608214074*Deflactores!$T$5</f>
        <v>12925.384430529779</v>
      </c>
      <c r="E32" s="51">
        <f>8130.951040119*Deflactores!$U$5</f>
        <v>12418.694128740655</v>
      </c>
      <c r="F32" s="51">
        <f>10194.287862127*Deflactores!$V$5</f>
        <v>14741.623470404253</v>
      </c>
      <c r="G32" s="51">
        <f>10391.029147916*Deflactores!$W$5</f>
        <v>13283.349147160201</v>
      </c>
      <c r="H32" s="51">
        <f>11384.434174935*Deflactores!$X$5</f>
        <v>13317.410567381061</v>
      </c>
      <c r="I32" s="51">
        <f>13516.72167078*Deflactores!$Y$5</f>
        <v>15030.172671878445</v>
      </c>
      <c r="J32" s="51">
        <f>13783.780597375*Deflactores!$Z$5</f>
        <v>14583.23987202275</v>
      </c>
      <c r="K32" s="51">
        <f>16001.908497181*Deflactores!$AA$5</f>
        <v>16001.908497181001</v>
      </c>
      <c r="L32" s="73"/>
      <c r="M32" s="113">
        <f t="shared" si="1"/>
        <v>56.066566905359124</v>
      </c>
      <c r="N32" s="113">
        <f t="shared" si="2"/>
        <v>54.907822995700215</v>
      </c>
      <c r="O32" s="113">
        <f t="shared" si="3"/>
        <v>54.40798090090658</v>
      </c>
      <c r="P32" s="113">
        <f t="shared" si="4"/>
        <v>54.98820823794189</v>
      </c>
      <c r="Q32" s="113">
        <f t="shared" si="5"/>
        <v>52.273838224822242</v>
      </c>
      <c r="R32" s="113">
        <f t="shared" si="6"/>
        <v>50.090270742873031</v>
      </c>
      <c r="S32" s="113">
        <f t="shared" si="7"/>
        <v>52.354871955827562</v>
      </c>
      <c r="T32" s="113">
        <f t="shared" si="8"/>
        <v>53.955809011627622</v>
      </c>
    </row>
    <row r="33" spans="1:20" x14ac:dyDescent="0.2">
      <c r="B33" s="36" t="s">
        <v>47</v>
      </c>
      <c r="C33" s="78" t="s">
        <v>48</v>
      </c>
      <c r="D33" s="54">
        <f t="shared" ref="D33:K33" si="12">+D14+D32</f>
        <v>23051.59755076727</v>
      </c>
      <c r="E33" s="54">
        <f t="shared" si="12"/>
        <v>22615.569969561351</v>
      </c>
      <c r="F33" s="54">
        <f t="shared" si="12"/>
        <v>27092.740818735307</v>
      </c>
      <c r="G33" s="54">
        <f t="shared" si="12"/>
        <v>24134.71115863158</v>
      </c>
      <c r="H33" s="54">
        <f t="shared" si="12"/>
        <v>25414.701418241639</v>
      </c>
      <c r="I33" s="54">
        <f t="shared" si="12"/>
        <v>30006.171755454074</v>
      </c>
      <c r="J33" s="54">
        <f t="shared" si="12"/>
        <v>27854.599442678045</v>
      </c>
      <c r="K33" s="54">
        <f t="shared" si="12"/>
        <v>29657.434093394</v>
      </c>
      <c r="L33" s="73"/>
      <c r="M33" s="112">
        <f t="shared" si="1"/>
        <v>99.991140944543062</v>
      </c>
      <c r="N33" s="112">
        <f t="shared" si="2"/>
        <v>99.992132825117949</v>
      </c>
      <c r="O33" s="112">
        <f t="shared" si="3"/>
        <v>99.99314715766107</v>
      </c>
      <c r="P33" s="112">
        <f t="shared" si="4"/>
        <v>99.908879022210613</v>
      </c>
      <c r="Q33" s="112">
        <f t="shared" si="5"/>
        <v>99.758431546995936</v>
      </c>
      <c r="R33" s="112">
        <f t="shared" si="6"/>
        <v>100</v>
      </c>
      <c r="S33" s="112">
        <f t="shared" si="7"/>
        <v>100</v>
      </c>
      <c r="T33" s="112">
        <f t="shared" si="8"/>
        <v>100</v>
      </c>
    </row>
    <row r="34" spans="1:20" x14ac:dyDescent="0.2">
      <c r="B34" s="38" t="s">
        <v>49</v>
      </c>
      <c r="C34" s="79" t="s">
        <v>50</v>
      </c>
      <c r="D34" s="55">
        <f t="shared" ref="D34:K34" si="13">+D14+D22+D32</f>
        <v>23053.639885509569</v>
      </c>
      <c r="E34" s="55">
        <f t="shared" si="13"/>
        <v>22617.349315985724</v>
      </c>
      <c r="F34" s="55">
        <f t="shared" si="13"/>
        <v>27094.597568789064</v>
      </c>
      <c r="G34" s="55">
        <f t="shared" si="13"/>
        <v>24156.723000831811</v>
      </c>
      <c r="H34" s="55">
        <f t="shared" si="13"/>
        <v>25476.243986723908</v>
      </c>
      <c r="I34" s="55">
        <f t="shared" si="13"/>
        <v>30006.171755454074</v>
      </c>
      <c r="J34" s="55">
        <f t="shared" si="13"/>
        <v>27854.599442678045</v>
      </c>
      <c r="K34" s="55">
        <f t="shared" si="13"/>
        <v>29657.434093394</v>
      </c>
      <c r="L34" s="73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30 de abril</v>
      </c>
      <c r="C35" s="72"/>
      <c r="D35" s="73"/>
      <c r="E35" s="73"/>
      <c r="F35" s="73"/>
      <c r="G35" s="73"/>
      <c r="H35" s="73"/>
      <c r="I35" s="73"/>
    </row>
    <row r="36" spans="1:20" x14ac:dyDescent="0.2">
      <c r="B36" s="1" t="s">
        <v>52</v>
      </c>
    </row>
    <row r="42" spans="1:20" ht="22.5" customHeight="1" x14ac:dyDescent="0.2">
      <c r="A42" s="5"/>
      <c r="C42" s="138"/>
      <c r="D42" s="174" t="s">
        <v>116</v>
      </c>
      <c r="E42" s="156"/>
      <c r="F42" s="156"/>
      <c r="G42" s="156"/>
      <c r="H42" s="156"/>
      <c r="I42" s="156"/>
      <c r="J42" s="156"/>
      <c r="K42" s="169"/>
      <c r="L42" s="169"/>
      <c r="M42" s="156"/>
      <c r="N42" s="156"/>
      <c r="O42" s="156"/>
      <c r="P42" s="156"/>
      <c r="Q42" s="156"/>
      <c r="R42" s="156"/>
      <c r="S42" s="156"/>
      <c r="T42" s="156"/>
    </row>
    <row r="43" spans="1:20" x14ac:dyDescent="0.2">
      <c r="A43" s="5"/>
    </row>
    <row r="44" spans="1:20" ht="12" customHeight="1" thickBot="1" x14ac:dyDescent="0.3">
      <c r="A44" s="5"/>
      <c r="B44" s="115"/>
      <c r="C44" s="92"/>
      <c r="D44" s="167"/>
      <c r="E44" s="154"/>
      <c r="F44" s="154"/>
      <c r="G44" s="154"/>
      <c r="H44" s="154"/>
      <c r="I44" s="154"/>
      <c r="J44" s="154"/>
      <c r="K44" s="154"/>
      <c r="M44" s="167" t="s">
        <v>111</v>
      </c>
      <c r="N44" s="154"/>
      <c r="O44" s="154"/>
      <c r="P44" s="154"/>
      <c r="Q44" s="154"/>
      <c r="R44" s="154"/>
      <c r="S44" s="154"/>
      <c r="T44" s="154"/>
    </row>
    <row r="45" spans="1:20" x14ac:dyDescent="0.2">
      <c r="A45" s="5"/>
      <c r="B45" s="49"/>
      <c r="C45" s="171" t="s">
        <v>38</v>
      </c>
      <c r="D45" s="153">
        <v>2019</v>
      </c>
      <c r="E45" s="153">
        <v>2020</v>
      </c>
      <c r="F45" s="153">
        <v>2021</v>
      </c>
      <c r="G45" s="153">
        <v>2022</v>
      </c>
      <c r="H45" s="153">
        <v>2023</v>
      </c>
      <c r="I45" s="153">
        <v>2024</v>
      </c>
      <c r="J45" s="153">
        <v>2025</v>
      </c>
      <c r="K45" s="153" t="s">
        <v>10</v>
      </c>
      <c r="L45" s="114"/>
      <c r="M45" s="153">
        <v>2019</v>
      </c>
      <c r="N45" s="153">
        <v>2020</v>
      </c>
      <c r="O45" s="153">
        <v>2021</v>
      </c>
      <c r="P45" s="153">
        <v>2022</v>
      </c>
      <c r="Q45" s="153">
        <v>2023</v>
      </c>
      <c r="R45" s="153">
        <v>2024</v>
      </c>
      <c r="S45" s="153">
        <v>2025</v>
      </c>
      <c r="T45" s="153" t="s">
        <v>10</v>
      </c>
    </row>
    <row r="46" spans="1:20" ht="15.75" customHeight="1" thickBot="1" x14ac:dyDescent="0.25">
      <c r="A46" s="5"/>
      <c r="B46" s="84"/>
      <c r="C46" s="154"/>
      <c r="D46" s="154"/>
      <c r="E46" s="154"/>
      <c r="F46" s="154"/>
      <c r="G46" s="154"/>
      <c r="H46" s="154"/>
      <c r="I46" s="154"/>
      <c r="J46" s="154"/>
      <c r="K46" s="154"/>
      <c r="L46" s="114"/>
      <c r="M46" s="154"/>
      <c r="N46" s="154"/>
      <c r="O46" s="154"/>
      <c r="P46" s="154"/>
      <c r="Q46" s="154"/>
      <c r="R46" s="154"/>
      <c r="S46" s="154"/>
      <c r="T46" s="154"/>
    </row>
    <row r="47" spans="1:20" x14ac:dyDescent="0.2">
      <c r="A47" s="5"/>
      <c r="B47" s="34" t="s">
        <v>39</v>
      </c>
      <c r="C47" s="76" t="s">
        <v>40</v>
      </c>
      <c r="D47" s="41">
        <f t="shared" ref="D47:K47" si="14">+SUM(D48:D54)</f>
        <v>9465.4706970646894</v>
      </c>
      <c r="E47" s="41">
        <f t="shared" si="14"/>
        <v>9598.301626182003</v>
      </c>
      <c r="F47" s="41">
        <f t="shared" si="14"/>
        <v>9859.91421267039</v>
      </c>
      <c r="G47" s="41">
        <f t="shared" si="14"/>
        <v>9743.6958379453572</v>
      </c>
      <c r="H47" s="41">
        <f t="shared" si="14"/>
        <v>10826.14127530195</v>
      </c>
      <c r="I47" s="41">
        <f t="shared" si="14"/>
        <v>13583.049448080157</v>
      </c>
      <c r="J47" s="41">
        <f t="shared" si="14"/>
        <v>12806.95534243102</v>
      </c>
      <c r="K47" s="41">
        <f t="shared" si="14"/>
        <v>5540.8017041394987</v>
      </c>
      <c r="M47" s="46">
        <f t="shared" ref="M47:M60" si="15">+D47/D14*100</f>
        <v>93.474930703835454</v>
      </c>
      <c r="N47" s="46">
        <f t="shared" ref="N47:N60" si="16">+E47/E14*100</f>
        <v>94.12982737082622</v>
      </c>
      <c r="O47" s="46">
        <f t="shared" ref="O47:O60" si="17">+F47/F14*100</f>
        <v>79.830139529867807</v>
      </c>
      <c r="P47" s="46">
        <f t="shared" ref="P47:P60" si="18">+G47/G14*100</f>
        <v>89.792376548169102</v>
      </c>
      <c r="Q47" s="46">
        <f t="shared" ref="Q47:Q60" si="19">+H47/H14*100</f>
        <v>89.492278963697075</v>
      </c>
      <c r="R47" s="46">
        <f t="shared" ref="R47:R67" si="20">+IFERROR(I47/I14*100,0)</f>
        <v>90.69878658697877</v>
      </c>
      <c r="S47" s="46">
        <f t="shared" ref="S47:S67" si="21">+IFERROR(J47/J14*100,0)</f>
        <v>96.500703445251119</v>
      </c>
      <c r="T47" s="46">
        <f t="shared" ref="T47:T67" si="22">+IFERROR(K47/K14*100,0)</f>
        <v>40.575528675923643</v>
      </c>
    </row>
    <row r="48" spans="1:20" x14ac:dyDescent="0.2">
      <c r="A48" s="5"/>
      <c r="B48" s="40"/>
      <c r="C48" s="77" t="s">
        <v>92</v>
      </c>
      <c r="D48" s="42">
        <f>1781.49693159196*Deflactores!$T$5</f>
        <v>2764.7515780276685</v>
      </c>
      <c r="E48" s="42">
        <f>1886.10546296503*Deflactores!$U$5</f>
        <v>2880.7167480824837</v>
      </c>
      <c r="F48" s="42">
        <f>2028.4528990106*Deflactores!$V$5</f>
        <v>2933.2788390012292</v>
      </c>
      <c r="G48" s="42">
        <f>2301.67815445915*Deflactores!$W$5</f>
        <v>2942.3451820654418</v>
      </c>
      <c r="H48" s="42">
        <f>2628.19089177269*Deflactores!$X$5</f>
        <v>3074.4344969070989</v>
      </c>
      <c r="I48" s="42">
        <f>3058.52670402736*Deflactores!$Y$5</f>
        <v>3400.9862452416478</v>
      </c>
      <c r="J48" s="42">
        <f>3326.89343628075*Deflactores!$Z$5</f>
        <v>3519.8532555850338</v>
      </c>
      <c r="K48" s="42">
        <f>990.62542768786*Deflactores!$AA$5</f>
        <v>990.62542768786</v>
      </c>
      <c r="L48" s="42"/>
      <c r="M48" s="47">
        <f t="shared" si="15"/>
        <v>95.614444903098928</v>
      </c>
      <c r="N48" s="47">
        <f t="shared" si="16"/>
        <v>96.522044163102379</v>
      </c>
      <c r="O48" s="47">
        <f t="shared" si="17"/>
        <v>91.476557106673482</v>
      </c>
      <c r="P48" s="47">
        <f t="shared" si="18"/>
        <v>92.479970459860084</v>
      </c>
      <c r="Q48" s="47">
        <f t="shared" si="19"/>
        <v>93.148222163941668</v>
      </c>
      <c r="R48" s="47">
        <f t="shared" si="20"/>
        <v>93.318299303328985</v>
      </c>
      <c r="S48" s="47">
        <f t="shared" si="21"/>
        <v>95.363139041210687</v>
      </c>
      <c r="T48" s="47">
        <f t="shared" si="22"/>
        <v>23.279722570551549</v>
      </c>
    </row>
    <row r="49" spans="1:20" x14ac:dyDescent="0.2">
      <c r="A49" s="5"/>
      <c r="B49" s="40"/>
      <c r="C49" s="77" t="s">
        <v>93</v>
      </c>
      <c r="D49" s="42">
        <f>741.02435722106*Deflactores!$T$5</f>
        <v>1150.0150377206019</v>
      </c>
      <c r="E49" s="42">
        <f>734.21236200137*Deflactores!$U$5</f>
        <v>1121.3889622808229</v>
      </c>
      <c r="F49" s="42">
        <f>827.84188222845*Deflactores!$V$5</f>
        <v>1197.1148437136922</v>
      </c>
      <c r="G49" s="42">
        <f>886.62022705567*Deflactores!$W$5</f>
        <v>1133.4090078341223</v>
      </c>
      <c r="H49" s="42">
        <f>1017.49445614204*Deflactores!$X$5</f>
        <v>1190.2560297912228</v>
      </c>
      <c r="I49" s="42">
        <f>1227.87169923863*Deflactores!$Y$5</f>
        <v>1365.355010480469</v>
      </c>
      <c r="J49" s="42">
        <f>1522.69346062164*Deflactores!$Z$5</f>
        <v>1611.0096813376952</v>
      </c>
      <c r="K49" s="42">
        <f>938.039682771898*Deflactores!$AA$5</f>
        <v>938.03968277189801</v>
      </c>
      <c r="L49" s="42"/>
      <c r="M49" s="47">
        <f t="shared" si="15"/>
        <v>93.705746622568569</v>
      </c>
      <c r="N49" s="47">
        <f t="shared" si="16"/>
        <v>89.84229108990796</v>
      </c>
      <c r="O49" s="47">
        <f t="shared" si="17"/>
        <v>90.089234257387048</v>
      </c>
      <c r="P49" s="47">
        <f t="shared" si="18"/>
        <v>91.77706334811981</v>
      </c>
      <c r="Q49" s="47">
        <f t="shared" si="19"/>
        <v>90.129522587548209</v>
      </c>
      <c r="R49" s="47">
        <f t="shared" si="20"/>
        <v>94.108349538200954</v>
      </c>
      <c r="S49" s="47">
        <f t="shared" si="21"/>
        <v>95.194133719734197</v>
      </c>
      <c r="T49" s="47">
        <f t="shared" si="22"/>
        <v>63.884407938659685</v>
      </c>
    </row>
    <row r="50" spans="1:20" x14ac:dyDescent="0.2">
      <c r="A50" s="5"/>
      <c r="B50" s="40"/>
      <c r="C50" s="77" t="s">
        <v>58</v>
      </c>
      <c r="D50" s="42">
        <f>2088.63834213929*Deflactores!$T$5</f>
        <v>3241.4123482090408</v>
      </c>
      <c r="E50" s="42">
        <f>2232.41333142929*Deflactores!$U$5</f>
        <v>3409.6452180257552</v>
      </c>
      <c r="F50" s="42">
        <f>2365.1154886035*Deflactores!$V$5</f>
        <v>3420.1155066990032</v>
      </c>
      <c r="G50" s="42">
        <f>2488.56069730384*Deflactores!$W$5</f>
        <v>3181.2460677022614</v>
      </c>
      <c r="H50" s="42">
        <f>3804.91054569478*Deflactores!$X$5</f>
        <v>4450.9507570203514</v>
      </c>
      <c r="I50" s="42">
        <f>5832.52046723462*Deflactores!$Y$5</f>
        <v>6485.580739914928</v>
      </c>
      <c r="J50" s="42">
        <f>5094.89243668883*Deflactores!$Z$5</f>
        <v>5390.3961980167824</v>
      </c>
      <c r="K50" s="42">
        <f>2638.92526117635*Deflactores!$AA$5</f>
        <v>2638.92526117635</v>
      </c>
      <c r="L50" s="42"/>
      <c r="M50" s="47">
        <f t="shared" si="15"/>
        <v>90.163941220595802</v>
      </c>
      <c r="N50" s="47">
        <f t="shared" si="16"/>
        <v>92.046450504656292</v>
      </c>
      <c r="O50" s="47">
        <f t="shared" si="17"/>
        <v>68.417039800279767</v>
      </c>
      <c r="P50" s="47">
        <f t="shared" si="18"/>
        <v>85.405301458130467</v>
      </c>
      <c r="Q50" s="47">
        <f t="shared" si="19"/>
        <v>88.429350474205989</v>
      </c>
      <c r="R50" s="47">
        <f t="shared" si="20"/>
        <v>87.776235734928278</v>
      </c>
      <c r="S50" s="47">
        <f t="shared" si="21"/>
        <v>97.390965374808914</v>
      </c>
      <c r="T50" s="47">
        <f t="shared" si="22"/>
        <v>46.605786022230845</v>
      </c>
    </row>
    <row r="51" spans="1:20" x14ac:dyDescent="0.2">
      <c r="A51" s="5"/>
      <c r="B51" s="40"/>
      <c r="C51" s="77" t="s">
        <v>94</v>
      </c>
      <c r="D51" s="42">
        <f>1327.9699698226*Deflactores!$T$5</f>
        <v>2060.9112508319058</v>
      </c>
      <c r="E51" s="42">
        <f>1242.22817009404*Deflactores!$U$5</f>
        <v>1897.2997877352027</v>
      </c>
      <c r="F51" s="42">
        <f>1393.39188223485*Deflactores!$V$5</f>
        <v>2014.9380469170164</v>
      </c>
      <c r="G51" s="42">
        <f>1671.11939626236*Deflactores!$W$5</f>
        <v>2136.271787053593</v>
      </c>
      <c r="H51" s="42">
        <f>1605.07440479274*Deflactores!$X$5</f>
        <v>1877.6018650871374</v>
      </c>
      <c r="I51" s="42">
        <f>1852.21457548907*Deflactores!$Y$5</f>
        <v>2059.6048045549692</v>
      </c>
      <c r="J51" s="42">
        <f>1857.41206738678*Deflactores!$Z$5</f>
        <v>1965.1419672952134</v>
      </c>
      <c r="K51" s="42">
        <f>920.46904293476*Deflactores!$AA$5</f>
        <v>920.46904293475995</v>
      </c>
      <c r="L51" s="42"/>
      <c r="M51" s="47">
        <f t="shared" si="15"/>
        <v>96.380788415579516</v>
      </c>
      <c r="N51" s="47">
        <f t="shared" si="16"/>
        <v>97.121660519519438</v>
      </c>
      <c r="O51" s="47">
        <f t="shared" si="17"/>
        <v>81.123670222472924</v>
      </c>
      <c r="P51" s="47">
        <f t="shared" si="18"/>
        <v>92.518322142502612</v>
      </c>
      <c r="Q51" s="47">
        <f t="shared" si="19"/>
        <v>90.509253392040563</v>
      </c>
      <c r="R51" s="47">
        <f t="shared" si="20"/>
        <v>93.541199835642402</v>
      </c>
      <c r="S51" s="47">
        <f t="shared" si="21"/>
        <v>97.251420376875203</v>
      </c>
      <c r="T51" s="47">
        <f t="shared" si="22"/>
        <v>46.426188200111341</v>
      </c>
    </row>
    <row r="52" spans="1:20" x14ac:dyDescent="0.2">
      <c r="A52" s="5"/>
      <c r="B52" s="40"/>
      <c r="C52" s="77" t="s">
        <v>95</v>
      </c>
      <c r="D52" s="42">
        <f>76.63693438415*Deflactores!$T$5</f>
        <v>118.93485838588678</v>
      </c>
      <c r="E52" s="42">
        <f>97.14882839743*Deflactores!$U$5</f>
        <v>148.37890166603933</v>
      </c>
      <c r="F52" s="42">
        <f>98.6148182650999*Deflactores!$V$5</f>
        <v>142.60363638222088</v>
      </c>
      <c r="G52" s="42">
        <f>165.48617508932*Deflactores!$W$5</f>
        <v>211.54888620251734</v>
      </c>
      <c r="H52" s="42">
        <f>102.297077948179*Deflactores!$X$5</f>
        <v>119.66621844752871</v>
      </c>
      <c r="I52" s="42">
        <f>124.19693508654*Deflactores!$Y$5</f>
        <v>138.10311591339104</v>
      </c>
      <c r="J52" s="42">
        <f>162.14627640011*Deflactores!$Z$5</f>
        <v>171.55076043131638</v>
      </c>
      <c r="K52" s="42">
        <f>25.34062866328*Deflactores!$AA$5</f>
        <v>25.34062866328</v>
      </c>
      <c r="L52" s="42"/>
      <c r="M52" s="47">
        <f t="shared" si="15"/>
        <v>94.87922725720091</v>
      </c>
      <c r="N52" s="47">
        <f t="shared" si="16"/>
        <v>94.214401864231803</v>
      </c>
      <c r="O52" s="47">
        <f t="shared" si="17"/>
        <v>93.612087613854086</v>
      </c>
      <c r="P52" s="47">
        <f t="shared" si="18"/>
        <v>97.280267146369908</v>
      </c>
      <c r="Q52" s="47">
        <f t="shared" si="19"/>
        <v>53.921554680002423</v>
      </c>
      <c r="R52" s="47">
        <f t="shared" si="20"/>
        <v>97.049866338073812</v>
      </c>
      <c r="S52" s="47">
        <f t="shared" si="21"/>
        <v>99.795603116711391</v>
      </c>
      <c r="T52" s="47">
        <f t="shared" si="22"/>
        <v>19.06396857011859</v>
      </c>
    </row>
    <row r="53" spans="1:20" x14ac:dyDescent="0.2">
      <c r="A53" s="5"/>
      <c r="B53" s="40"/>
      <c r="C53" s="77" t="s">
        <v>96</v>
      </c>
      <c r="D53" s="42">
        <f>7.59070268202*Deflactores!$T$5</f>
        <v>11.780209578974704</v>
      </c>
      <c r="E53" s="42">
        <f>6.90862965865*Deflactores!$U$5</f>
        <v>10.551798695649833</v>
      </c>
      <c r="F53" s="42">
        <f>8.15309606241*Deflactores!$V$5</f>
        <v>11.7899233272197</v>
      </c>
      <c r="G53" s="42">
        <f>11.48050290653*Deflactores!$W$5</f>
        <v>14.676075518757489</v>
      </c>
      <c r="H53" s="42">
        <f>7.86689177436*Deflactores!$X$5</f>
        <v>9.2026205289120711</v>
      </c>
      <c r="I53" s="42">
        <f>9.99873387698*Deflactores!$Y$5</f>
        <v>11.118280033541428</v>
      </c>
      <c r="J53" s="42">
        <f>8.960916642*Deflactores!$Z$5</f>
        <v>9.4806498072360021</v>
      </c>
      <c r="K53" s="42">
        <f>2.543912203*Deflactores!$AA$5</f>
        <v>2.5439122030000001</v>
      </c>
      <c r="L53" s="42"/>
      <c r="M53" s="47">
        <f t="shared" si="15"/>
        <v>90.827747350310361</v>
      </c>
      <c r="N53" s="47">
        <f t="shared" si="16"/>
        <v>96.676260999455778</v>
      </c>
      <c r="O53" s="47">
        <f t="shared" si="17"/>
        <v>41.073531800554157</v>
      </c>
      <c r="P53" s="47">
        <f t="shared" si="18"/>
        <v>64.122558682584909</v>
      </c>
      <c r="Q53" s="47">
        <f t="shared" si="19"/>
        <v>70.744570766092323</v>
      </c>
      <c r="R53" s="47">
        <f t="shared" si="20"/>
        <v>84.355362828784592</v>
      </c>
      <c r="S53" s="47">
        <f t="shared" si="21"/>
        <v>83.13876738920068</v>
      </c>
      <c r="T53" s="47">
        <f t="shared" si="22"/>
        <v>13.56319152804436</v>
      </c>
    </row>
    <row r="54" spans="1:20" x14ac:dyDescent="0.2">
      <c r="A54" s="5"/>
      <c r="B54" s="40"/>
      <c r="C54" s="77" t="s">
        <v>97</v>
      </c>
      <c r="D54" s="42">
        <f>75.81895466297*Deflactores!$T$5</f>
        <v>117.66541431061346</v>
      </c>
      <c r="E54" s="42">
        <f>85.32517457889*Deflactores!$U$5</f>
        <v>130.32020969605108</v>
      </c>
      <c r="F54" s="42">
        <f>96.8650931713699*Deflactores!$V$5</f>
        <v>140.07341663000923</v>
      </c>
      <c r="G54" s="42">
        <f>97.1557447349799*Deflactores!$W$5</f>
        <v>124.19883156866516</v>
      </c>
      <c r="H54" s="42">
        <f>88.9297938245*Deflactores!$X$5</f>
        <v>104.02928751970029</v>
      </c>
      <c r="I54" s="42">
        <f>109.986226942709*Deflactores!$Y$5</f>
        <v>122.30125194121354</v>
      </c>
      <c r="J54" s="42">
        <f>131.87413039484*Deflactores!$Z$5</f>
        <v>139.52282995774073</v>
      </c>
      <c r="K54" s="42">
        <f>24.85774870235*Deflactores!$AA$5</f>
        <v>24.857748702350001</v>
      </c>
      <c r="L54" s="42"/>
      <c r="M54" s="47">
        <f t="shared" si="15"/>
        <v>86.682437757606323</v>
      </c>
      <c r="N54" s="47">
        <f t="shared" si="16"/>
        <v>94.445950291916063</v>
      </c>
      <c r="O54" s="47">
        <f t="shared" si="17"/>
        <v>92.172811687602049</v>
      </c>
      <c r="P54" s="47">
        <f t="shared" si="18"/>
        <v>77.361856672802048</v>
      </c>
      <c r="Q54" s="47">
        <f t="shared" si="19"/>
        <v>78.018212619550695</v>
      </c>
      <c r="R54" s="47">
        <f t="shared" si="20"/>
        <v>90.861440846718679</v>
      </c>
      <c r="S54" s="47">
        <f t="shared" si="21"/>
        <v>93.49527433108338</v>
      </c>
      <c r="T54" s="47">
        <f t="shared" si="22"/>
        <v>18.370334243508687</v>
      </c>
    </row>
    <row r="55" spans="1:20" x14ac:dyDescent="0.2">
      <c r="A55" s="5"/>
      <c r="B55" s="34" t="s">
        <v>41</v>
      </c>
      <c r="C55" s="76" t="s">
        <v>42</v>
      </c>
      <c r="D55" s="41">
        <f t="shared" ref="D55:K55" si="23">+D56+D60</f>
        <v>1.9472947881790523</v>
      </c>
      <c r="E55" s="41">
        <f t="shared" si="23"/>
        <v>1.5204275007404986</v>
      </c>
      <c r="F55" s="41">
        <f t="shared" si="23"/>
        <v>1.856750053248956</v>
      </c>
      <c r="G55" s="41">
        <f t="shared" si="23"/>
        <v>21.996903365495818</v>
      </c>
      <c r="H55" s="41">
        <f t="shared" si="23"/>
        <v>61.541498588740659</v>
      </c>
      <c r="I55" s="41">
        <f t="shared" si="23"/>
        <v>0</v>
      </c>
      <c r="J55" s="41">
        <f t="shared" si="23"/>
        <v>0</v>
      </c>
      <c r="K55" s="41">
        <f t="shared" si="23"/>
        <v>0</v>
      </c>
      <c r="L55" s="71"/>
      <c r="M55" s="46">
        <f t="shared" si="15"/>
        <v>95.346504559270514</v>
      </c>
      <c r="N55" s="46">
        <f t="shared" si="16"/>
        <v>85.448650128755361</v>
      </c>
      <c r="O55" s="46">
        <f t="shared" si="17"/>
        <v>99.999999972741435</v>
      </c>
      <c r="P55" s="46">
        <f t="shared" si="18"/>
        <v>99.932132737468109</v>
      </c>
      <c r="Q55" s="46">
        <f t="shared" si="19"/>
        <v>99.998261539034289</v>
      </c>
      <c r="R55" s="46">
        <f t="shared" si="20"/>
        <v>0</v>
      </c>
      <c r="S55" s="46">
        <f t="shared" si="21"/>
        <v>0</v>
      </c>
      <c r="T55" s="46">
        <f t="shared" si="22"/>
        <v>0</v>
      </c>
    </row>
    <row r="56" spans="1:20" ht="11.25" hidden="1" customHeight="1" x14ac:dyDescent="0.2">
      <c r="A56" s="5"/>
      <c r="B56" s="34"/>
      <c r="C56" s="76" t="s">
        <v>43</v>
      </c>
      <c r="D56" s="41">
        <f>0*Deflactores!$T$5</f>
        <v>0</v>
      </c>
      <c r="E56" s="41">
        <f>0*Deflactores!$U$5</f>
        <v>0</v>
      </c>
      <c r="F56" s="41">
        <f>0*Deflactores!$V$5</f>
        <v>0</v>
      </c>
      <c r="G56" s="41">
        <f>0*Deflactores!$W$5</f>
        <v>0</v>
      </c>
      <c r="H56" s="41">
        <f>0*Deflactores!$X$5</f>
        <v>0</v>
      </c>
      <c r="I56" s="41">
        <f>0*Deflactores!$Y$5</f>
        <v>0</v>
      </c>
      <c r="J56" s="41">
        <f>0*Deflactores!$Z$5</f>
        <v>0</v>
      </c>
      <c r="K56" s="41">
        <f>0*Deflactores!$AA$5</f>
        <v>0</v>
      </c>
      <c r="L56" s="71"/>
      <c r="M56" s="46" t="e">
        <f t="shared" si="15"/>
        <v>#DIV/0!</v>
      </c>
      <c r="N56" s="46" t="e">
        <f t="shared" si="16"/>
        <v>#DIV/0!</v>
      </c>
      <c r="O56" s="46" t="e">
        <f t="shared" si="17"/>
        <v>#DIV/0!</v>
      </c>
      <c r="P56" s="46" t="e">
        <f t="shared" si="18"/>
        <v>#DIV/0!</v>
      </c>
      <c r="Q56" s="46" t="e">
        <f t="shared" si="19"/>
        <v>#DIV/0!</v>
      </c>
      <c r="R56" s="46">
        <f t="shared" si="20"/>
        <v>0</v>
      </c>
      <c r="S56" s="46">
        <f t="shared" si="21"/>
        <v>0</v>
      </c>
      <c r="T56" s="46">
        <f t="shared" si="22"/>
        <v>0</v>
      </c>
    </row>
    <row r="57" spans="1:20" ht="11.25" hidden="1" customHeight="1" x14ac:dyDescent="0.2">
      <c r="A57" s="5"/>
      <c r="B57" s="34"/>
      <c r="C57" s="86" t="s">
        <v>98</v>
      </c>
      <c r="D57" s="50">
        <f>0*Deflactores!$T$5</f>
        <v>0</v>
      </c>
      <c r="E57" s="50">
        <f>0*Deflactores!$U$5</f>
        <v>0</v>
      </c>
      <c r="F57" s="50">
        <f>0*Deflactores!$V$5</f>
        <v>0</v>
      </c>
      <c r="G57" s="50">
        <f>0*Deflactores!$W$5</f>
        <v>0</v>
      </c>
      <c r="H57" s="50">
        <f>0*Deflactores!$X$5</f>
        <v>0</v>
      </c>
      <c r="I57" s="50">
        <f>0*Deflactores!$Y$5</f>
        <v>0</v>
      </c>
      <c r="J57" s="50">
        <f>0*Deflactores!$Z$5</f>
        <v>0</v>
      </c>
      <c r="K57" s="50">
        <f>0*Deflactores!$AA$5</f>
        <v>0</v>
      </c>
      <c r="L57" s="42"/>
      <c r="M57" s="116" t="e">
        <f t="shared" si="15"/>
        <v>#DIV/0!</v>
      </c>
      <c r="N57" s="116" t="e">
        <f t="shared" si="16"/>
        <v>#DIV/0!</v>
      </c>
      <c r="O57" s="116" t="e">
        <f t="shared" si="17"/>
        <v>#DIV/0!</v>
      </c>
      <c r="P57" s="116" t="e">
        <f t="shared" si="18"/>
        <v>#DIV/0!</v>
      </c>
      <c r="Q57" s="116" t="e">
        <f t="shared" si="19"/>
        <v>#DIV/0!</v>
      </c>
      <c r="R57" s="116">
        <f t="shared" si="20"/>
        <v>0</v>
      </c>
      <c r="S57" s="116">
        <f t="shared" si="21"/>
        <v>0</v>
      </c>
      <c r="T57" s="116">
        <f t="shared" si="22"/>
        <v>0</v>
      </c>
    </row>
    <row r="58" spans="1:20" ht="11.25" hidden="1" customHeight="1" x14ac:dyDescent="0.2">
      <c r="A58" s="5"/>
      <c r="B58" s="34"/>
      <c r="C58" s="86" t="s">
        <v>61</v>
      </c>
      <c r="D58" s="50">
        <f>0*Deflactores!$T$5</f>
        <v>0</v>
      </c>
      <c r="E58" s="50">
        <f>0*Deflactores!$U$5</f>
        <v>0</v>
      </c>
      <c r="F58" s="50">
        <f>0*Deflactores!$V$5</f>
        <v>0</v>
      </c>
      <c r="G58" s="50">
        <f>0*Deflactores!$W$5</f>
        <v>0</v>
      </c>
      <c r="H58" s="50">
        <f>0*Deflactores!$X$5</f>
        <v>0</v>
      </c>
      <c r="I58" s="50">
        <f>0*Deflactores!$Y$5</f>
        <v>0</v>
      </c>
      <c r="J58" s="50">
        <f>0*Deflactores!$Z$5</f>
        <v>0</v>
      </c>
      <c r="K58" s="50">
        <f>0*Deflactores!$AA$5</f>
        <v>0</v>
      </c>
      <c r="L58" s="42"/>
      <c r="M58" s="116" t="e">
        <f t="shared" si="15"/>
        <v>#DIV/0!</v>
      </c>
      <c r="N58" s="116" t="e">
        <f t="shared" si="16"/>
        <v>#DIV/0!</v>
      </c>
      <c r="O58" s="116" t="e">
        <f t="shared" si="17"/>
        <v>#DIV/0!</v>
      </c>
      <c r="P58" s="116" t="e">
        <f t="shared" si="18"/>
        <v>#DIV/0!</v>
      </c>
      <c r="Q58" s="116" t="e">
        <f t="shared" si="19"/>
        <v>#DIV/0!</v>
      </c>
      <c r="R58" s="116">
        <f t="shared" si="20"/>
        <v>0</v>
      </c>
      <c r="S58" s="116">
        <f t="shared" si="21"/>
        <v>0</v>
      </c>
      <c r="T58" s="116">
        <f t="shared" si="22"/>
        <v>0</v>
      </c>
    </row>
    <row r="59" spans="1:20" ht="11.25" hidden="1" customHeight="1" x14ac:dyDescent="0.2">
      <c r="A59" s="5"/>
      <c r="B59" s="34"/>
      <c r="C59" s="86" t="s">
        <v>103</v>
      </c>
      <c r="D59" s="50">
        <f>0*Deflactores!$T$5</f>
        <v>0</v>
      </c>
      <c r="E59" s="50">
        <f>0*Deflactores!$U$5</f>
        <v>0</v>
      </c>
      <c r="F59" s="50">
        <f>0*Deflactores!$V$5</f>
        <v>0</v>
      </c>
      <c r="G59" s="50">
        <f>0*Deflactores!$W$5</f>
        <v>0</v>
      </c>
      <c r="H59" s="50">
        <f>0*Deflactores!$X$5</f>
        <v>0</v>
      </c>
      <c r="I59" s="50">
        <f>0*Deflactores!$Y$5</f>
        <v>0</v>
      </c>
      <c r="J59" s="50">
        <f>0*Deflactores!$Z$5</f>
        <v>0</v>
      </c>
      <c r="K59" s="50">
        <f>0*Deflactores!$AA$5</f>
        <v>0</v>
      </c>
      <c r="L59" s="42"/>
      <c r="M59" s="116" t="e">
        <f t="shared" si="15"/>
        <v>#DIV/0!</v>
      </c>
      <c r="N59" s="116" t="e">
        <f t="shared" si="16"/>
        <v>#DIV/0!</v>
      </c>
      <c r="O59" s="116" t="e">
        <f t="shared" si="17"/>
        <v>#DIV/0!</v>
      </c>
      <c r="P59" s="116" t="e">
        <f t="shared" si="18"/>
        <v>#DIV/0!</v>
      </c>
      <c r="Q59" s="116" t="e">
        <f t="shared" si="19"/>
        <v>#DIV/0!</v>
      </c>
      <c r="R59" s="116">
        <f t="shared" si="20"/>
        <v>0</v>
      </c>
      <c r="S59" s="116">
        <f t="shared" si="21"/>
        <v>0</v>
      </c>
      <c r="T59" s="116">
        <f t="shared" si="22"/>
        <v>0</v>
      </c>
    </row>
    <row r="60" spans="1:20" x14ac:dyDescent="0.2">
      <c r="A60" s="5"/>
      <c r="B60" s="34"/>
      <c r="C60" s="76" t="s">
        <v>44</v>
      </c>
      <c r="D60" s="41">
        <f t="shared" ref="D60:K60" si="24">+SUM(D61:D64)</f>
        <v>1.9472947881790523</v>
      </c>
      <c r="E60" s="41">
        <f t="shared" si="24"/>
        <v>1.5204275007404986</v>
      </c>
      <c r="F60" s="41">
        <f t="shared" si="24"/>
        <v>1.856750053248956</v>
      </c>
      <c r="G60" s="41">
        <f t="shared" si="24"/>
        <v>21.996903365495818</v>
      </c>
      <c r="H60" s="41">
        <f t="shared" si="24"/>
        <v>61.541498588740659</v>
      </c>
      <c r="I60" s="41">
        <f t="shared" si="24"/>
        <v>0</v>
      </c>
      <c r="J60" s="41">
        <f t="shared" si="24"/>
        <v>0</v>
      </c>
      <c r="K60" s="41">
        <f t="shared" si="24"/>
        <v>0</v>
      </c>
      <c r="L60" s="71"/>
      <c r="M60" s="46">
        <f t="shared" si="15"/>
        <v>95.346504559270514</v>
      </c>
      <c r="N60" s="46">
        <f t="shared" si="16"/>
        <v>85.448650128755361</v>
      </c>
      <c r="O60" s="46">
        <f t="shared" si="17"/>
        <v>99.999999972741435</v>
      </c>
      <c r="P60" s="46">
        <f t="shared" si="18"/>
        <v>99.932132737468109</v>
      </c>
      <c r="Q60" s="46">
        <f t="shared" si="19"/>
        <v>99.998261539034289</v>
      </c>
      <c r="R60" s="46">
        <f t="shared" si="20"/>
        <v>0</v>
      </c>
      <c r="S60" s="46">
        <f t="shared" si="21"/>
        <v>0</v>
      </c>
      <c r="T60" s="46">
        <f t="shared" si="22"/>
        <v>0</v>
      </c>
    </row>
    <row r="61" spans="1:20" x14ac:dyDescent="0.2">
      <c r="A61" s="5"/>
      <c r="B61" s="32"/>
      <c r="C61" s="77" t="s">
        <v>98</v>
      </c>
      <c r="D61" s="42">
        <f>1.207*Deflactores!$T$5</f>
        <v>1.8731747978355353</v>
      </c>
      <c r="E61" s="42">
        <f>0.92979906*Deflactores!$U$5</f>
        <v>1.4201155646316113</v>
      </c>
      <c r="F61" s="42">
        <f>1.28399999965*Deflactores!$V$5</f>
        <v>1.856750053248956</v>
      </c>
      <c r="G61" s="42">
        <f>1.39735526252999*Deflactores!$W$5</f>
        <v>1.7863060117130192</v>
      </c>
      <c r="H61" s="42">
        <f>0*Deflactores!$X$5</f>
        <v>0</v>
      </c>
      <c r="I61" s="42">
        <f>0*Deflactores!$Y$5</f>
        <v>0</v>
      </c>
      <c r="J61" s="42">
        <f>0*Deflactores!$Z$5</f>
        <v>0</v>
      </c>
      <c r="K61" s="42">
        <f>0*Deflactores!$AA$5</f>
        <v>0</v>
      </c>
      <c r="L61" s="42"/>
      <c r="M61" s="47">
        <f t="shared" ref="M61:P63" si="25">+D61/D28*100</f>
        <v>100</v>
      </c>
      <c r="N61" s="47">
        <f t="shared" si="25"/>
        <v>84.604100090991807</v>
      </c>
      <c r="O61" s="47">
        <f t="shared" si="25"/>
        <v>99.999999972741435</v>
      </c>
      <c r="P61" s="47">
        <f t="shared" si="25"/>
        <v>99.173545956706178</v>
      </c>
      <c r="Q61" s="47"/>
      <c r="R61" s="47">
        <f t="shared" si="20"/>
        <v>0</v>
      </c>
      <c r="S61" s="47">
        <f t="shared" si="21"/>
        <v>0</v>
      </c>
      <c r="T61" s="47">
        <f t="shared" si="22"/>
        <v>0</v>
      </c>
    </row>
    <row r="62" spans="1:20" ht="11.25" hidden="1" customHeight="1" x14ac:dyDescent="0.2">
      <c r="A62" s="5"/>
      <c r="B62" s="32"/>
      <c r="C62" s="77" t="s">
        <v>61</v>
      </c>
      <c r="D62" s="42">
        <f>0.04776*Deflactores!$T$5</f>
        <v>7.4119990343517114E-2</v>
      </c>
      <c r="E62" s="42">
        <f>0.065677714*Deflactores!$U$5</f>
        <v>0.10031193610888731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  <c r="L62" s="42"/>
      <c r="M62" s="47">
        <f t="shared" si="25"/>
        <v>43.816513761467888</v>
      </c>
      <c r="N62" s="47">
        <f t="shared" si="25"/>
        <v>99.511687878787868</v>
      </c>
      <c r="O62" s="47" t="e">
        <f t="shared" si="25"/>
        <v>#DIV/0!</v>
      </c>
      <c r="P62" s="47" t="e">
        <f t="shared" si="25"/>
        <v>#DIV/0!</v>
      </c>
      <c r="Q62" s="47" t="e">
        <f t="shared" ref="Q62:Q67" si="26">+H62/H29*100</f>
        <v>#DIV/0!</v>
      </c>
      <c r="R62" s="47">
        <f t="shared" si="20"/>
        <v>0</v>
      </c>
      <c r="S62" s="47">
        <f t="shared" si="21"/>
        <v>0</v>
      </c>
      <c r="T62" s="47">
        <f t="shared" si="22"/>
        <v>0</v>
      </c>
    </row>
    <row r="63" spans="1:20" ht="11.25" hidden="1" customHeight="1" x14ac:dyDescent="0.2">
      <c r="A63" s="5"/>
      <c r="B63" s="32"/>
      <c r="C63" s="77" t="s">
        <v>103</v>
      </c>
      <c r="D63" s="42">
        <f>0*Deflactores!$T$5</f>
        <v>0</v>
      </c>
      <c r="E63" s="42">
        <f>0*Deflactores!$U$5</f>
        <v>0</v>
      </c>
      <c r="F63" s="42">
        <f>0*Deflactores!$V$5</f>
        <v>0</v>
      </c>
      <c r="G63" s="42">
        <f>0*Deflactores!$W$5</f>
        <v>0</v>
      </c>
      <c r="H63" s="42">
        <f>0*Deflactores!$X$5</f>
        <v>0</v>
      </c>
      <c r="I63" s="42">
        <f>0*Deflactores!$Y$5</f>
        <v>0</v>
      </c>
      <c r="J63" s="42">
        <f>0*Deflactores!$Z$5</f>
        <v>0</v>
      </c>
      <c r="K63" s="42">
        <f>0*Deflactores!$AA$5</f>
        <v>0</v>
      </c>
      <c r="L63" s="42"/>
      <c r="M63" s="47" t="e">
        <f t="shared" si="25"/>
        <v>#DIV/0!</v>
      </c>
      <c r="N63" s="47" t="e">
        <f t="shared" si="25"/>
        <v>#DIV/0!</v>
      </c>
      <c r="O63" s="47" t="e">
        <f t="shared" si="25"/>
        <v>#DIV/0!</v>
      </c>
      <c r="P63" s="47" t="e">
        <f t="shared" si="25"/>
        <v>#DIV/0!</v>
      </c>
      <c r="Q63" s="47" t="e">
        <f t="shared" si="26"/>
        <v>#DIV/0!</v>
      </c>
      <c r="R63" s="47">
        <f t="shared" si="20"/>
        <v>0</v>
      </c>
      <c r="S63" s="47">
        <f t="shared" si="21"/>
        <v>0</v>
      </c>
      <c r="T63" s="47">
        <f t="shared" si="22"/>
        <v>0</v>
      </c>
    </row>
    <row r="64" spans="1:20" x14ac:dyDescent="0.2">
      <c r="A64" s="5"/>
      <c r="B64" s="32"/>
      <c r="C64" s="77" t="s">
        <v>104</v>
      </c>
      <c r="D64" s="42">
        <f>0*Deflactores!$T$5</f>
        <v>0</v>
      </c>
      <c r="E64" s="42">
        <f>0*Deflactores!$U$5</f>
        <v>0</v>
      </c>
      <c r="F64" s="42">
        <f>0*Deflactores!$V$5</f>
        <v>0</v>
      </c>
      <c r="G64" s="42">
        <f>15.80993647561*Deflactores!$W$5</f>
        <v>20.210597353782799</v>
      </c>
      <c r="H64" s="42">
        <f>52.60896149184*Deflactores!$X$5</f>
        <v>61.541498588740659</v>
      </c>
      <c r="I64" s="42">
        <f>0*Deflactores!$Y$5</f>
        <v>0</v>
      </c>
      <c r="J64" s="42">
        <f>0*Deflactores!$Z$5</f>
        <v>0</v>
      </c>
      <c r="K64" s="42">
        <f>0*Deflactores!$AA$5</f>
        <v>0</v>
      </c>
      <c r="L64" s="42"/>
      <c r="M64" s="47"/>
      <c r="N64" s="47"/>
      <c r="O64" s="47"/>
      <c r="P64" s="47">
        <f>+G64/G31*100</f>
        <v>99.999738700518378</v>
      </c>
      <c r="Q64" s="47">
        <f t="shared" si="26"/>
        <v>99.998261539034289</v>
      </c>
      <c r="R64" s="47">
        <f t="shared" si="20"/>
        <v>0</v>
      </c>
      <c r="S64" s="47">
        <f t="shared" si="21"/>
        <v>0</v>
      </c>
      <c r="T64" s="47">
        <f t="shared" si="22"/>
        <v>0</v>
      </c>
    </row>
    <row r="65" spans="1:20" x14ac:dyDescent="0.2">
      <c r="A65" s="5"/>
      <c r="B65" s="34" t="s">
        <v>45</v>
      </c>
      <c r="C65" s="76" t="s">
        <v>46</v>
      </c>
      <c r="D65" s="41">
        <f>8005.54910054924*Deflactores!$T$5</f>
        <v>12424.020561709838</v>
      </c>
      <c r="E65" s="41">
        <f>7818.80395699719*Deflactores!$U$5</f>
        <v>11941.940655580938</v>
      </c>
      <c r="F65" s="41">
        <f>8937.78277133517*Deflactores!$V$5</f>
        <v>12924.632898074611</v>
      </c>
      <c r="G65" s="41">
        <f>9252.58190189913*Deflactores!$W$5</f>
        <v>11828.017626172408</v>
      </c>
      <c r="H65" s="41">
        <f>9758.63758099337*Deflactores!$X$5</f>
        <v>11415.568068415228</v>
      </c>
      <c r="I65" s="41">
        <f>12556.9014015897*Deflactores!$Y$5</f>
        <v>13962.882486338465</v>
      </c>
      <c r="J65" s="41">
        <f>13158.8312288678*Deflactores!$Z$5</f>
        <v>13922.043440142133</v>
      </c>
      <c r="K65" s="41">
        <f>6765.88121712096*Deflactores!$AA$5</f>
        <v>6765.8812171209602</v>
      </c>
      <c r="L65" s="71"/>
      <c r="M65" s="46">
        <f t="shared" ref="M65:O67" si="27">+D65/D32*100</f>
        <v>96.121091240924954</v>
      </c>
      <c r="N65" s="46">
        <f t="shared" si="27"/>
        <v>96.1610015657253</v>
      </c>
      <c r="O65" s="46">
        <f t="shared" si="27"/>
        <v>87.674420147974274</v>
      </c>
      <c r="P65" s="46">
        <f>+G65/G32*100</f>
        <v>89.043941367008912</v>
      </c>
      <c r="Q65" s="46">
        <f t="shared" si="26"/>
        <v>85.719126932798019</v>
      </c>
      <c r="R65" s="46">
        <f t="shared" si="20"/>
        <v>92.899015807470491</v>
      </c>
      <c r="S65" s="46">
        <f t="shared" si="21"/>
        <v>95.466052552909801</v>
      </c>
      <c r="T65" s="46">
        <f t="shared" si="22"/>
        <v>42.281714198733738</v>
      </c>
    </row>
    <row r="66" spans="1:20" x14ac:dyDescent="0.2">
      <c r="A66" s="5"/>
      <c r="B66" s="36" t="s">
        <v>47</v>
      </c>
      <c r="C66" s="78" t="s">
        <v>48</v>
      </c>
      <c r="D66" s="43">
        <f t="shared" ref="D66:K66" si="28">+D47+D65</f>
        <v>21889.491258774528</v>
      </c>
      <c r="E66" s="43">
        <f t="shared" si="28"/>
        <v>21540.242281762941</v>
      </c>
      <c r="F66" s="43">
        <f t="shared" si="28"/>
        <v>22784.547110744999</v>
      </c>
      <c r="G66" s="43">
        <f t="shared" si="28"/>
        <v>21571.713464117765</v>
      </c>
      <c r="H66" s="43">
        <f t="shared" si="28"/>
        <v>22241.709343717179</v>
      </c>
      <c r="I66" s="43">
        <f t="shared" si="28"/>
        <v>27545.931934418622</v>
      </c>
      <c r="J66" s="43">
        <f t="shared" si="28"/>
        <v>26728.998782573151</v>
      </c>
      <c r="K66" s="43">
        <f t="shared" si="28"/>
        <v>12306.682921260459</v>
      </c>
      <c r="L66" s="71"/>
      <c r="M66" s="48">
        <f t="shared" si="27"/>
        <v>94.958673517384653</v>
      </c>
      <c r="N66" s="48">
        <f t="shared" si="27"/>
        <v>95.245188649918134</v>
      </c>
      <c r="O66" s="48">
        <f t="shared" si="27"/>
        <v>84.098346723890387</v>
      </c>
      <c r="P66" s="48">
        <f>+G66/G33*100</f>
        <v>89.380450100820113</v>
      </c>
      <c r="Q66" s="48">
        <f t="shared" si="26"/>
        <v>87.515131410330028</v>
      </c>
      <c r="R66" s="48">
        <f t="shared" si="20"/>
        <v>91.800887360486882</v>
      </c>
      <c r="S66" s="48">
        <f t="shared" si="21"/>
        <v>95.959013295375982</v>
      </c>
      <c r="T66" s="48">
        <f t="shared" si="22"/>
        <v>41.496114877995097</v>
      </c>
    </row>
    <row r="67" spans="1:20" x14ac:dyDescent="0.2">
      <c r="A67" s="5"/>
      <c r="B67" s="38" t="s">
        <v>49</v>
      </c>
      <c r="C67" s="79" t="s">
        <v>63</v>
      </c>
      <c r="D67" s="44">
        <f t="shared" ref="D67:K67" si="29">+D47+D55+D65</f>
        <v>21891.438553562708</v>
      </c>
      <c r="E67" s="44">
        <f t="shared" si="29"/>
        <v>21541.762709263683</v>
      </c>
      <c r="F67" s="44">
        <f t="shared" si="29"/>
        <v>22786.403860798251</v>
      </c>
      <c r="G67" s="44">
        <f t="shared" si="29"/>
        <v>21593.710367483262</v>
      </c>
      <c r="H67" s="44">
        <f t="shared" si="29"/>
        <v>22303.250842305919</v>
      </c>
      <c r="I67" s="44">
        <f t="shared" si="29"/>
        <v>27545.931934418622</v>
      </c>
      <c r="J67" s="44">
        <f t="shared" si="29"/>
        <v>26728.998782573151</v>
      </c>
      <c r="K67" s="44">
        <f t="shared" si="29"/>
        <v>12306.682921260459</v>
      </c>
      <c r="L67" s="71"/>
      <c r="M67" s="45">
        <f t="shared" si="27"/>
        <v>94.958707875551724</v>
      </c>
      <c r="N67" s="45">
        <f t="shared" si="27"/>
        <v>95.244417939100288</v>
      </c>
      <c r="O67" s="45">
        <f t="shared" si="27"/>
        <v>84.099436439116829</v>
      </c>
      <c r="P67" s="45">
        <f>+G67/G34*100</f>
        <v>89.390064897211857</v>
      </c>
      <c r="Q67" s="45">
        <f t="shared" si="26"/>
        <v>87.545286714668421</v>
      </c>
      <c r="R67" s="45">
        <f t="shared" si="20"/>
        <v>91.800887360486882</v>
      </c>
      <c r="S67" s="45">
        <f t="shared" si="21"/>
        <v>95.959013295375982</v>
      </c>
      <c r="T67" s="45">
        <f t="shared" si="22"/>
        <v>41.496114877995097</v>
      </c>
    </row>
    <row r="68" spans="1:20" s="5" customFormat="1" x14ac:dyDescent="0.2">
      <c r="B68" s="72" t="str">
        <f>+'C1 Aprop Resumen 2000-2026'!B20</f>
        <v>* Información con corte a 30 de abril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9.5" customHeight="1" x14ac:dyDescent="0.2">
      <c r="C74" s="138"/>
      <c r="D74" s="174" t="s">
        <v>117</v>
      </c>
      <c r="E74" s="156"/>
      <c r="F74" s="156"/>
      <c r="G74" s="156"/>
      <c r="H74" s="156"/>
      <c r="I74" s="156"/>
      <c r="J74" s="156"/>
      <c r="K74" s="169"/>
      <c r="L74" s="169"/>
      <c r="M74" s="156"/>
      <c r="N74" s="156"/>
      <c r="O74" s="156"/>
      <c r="P74" s="156"/>
      <c r="Q74" s="156"/>
      <c r="R74" s="156"/>
      <c r="S74" s="156"/>
      <c r="T74" s="156"/>
    </row>
    <row r="75" spans="1:20" ht="15" customHeight="1" x14ac:dyDescent="0.2"/>
    <row r="76" spans="1:20" ht="12" customHeight="1" thickBot="1" x14ac:dyDescent="0.3">
      <c r="B76" s="115"/>
      <c r="C76" s="92"/>
      <c r="D76" s="167"/>
      <c r="E76" s="154"/>
      <c r="F76" s="154"/>
      <c r="G76" s="154"/>
      <c r="H76" s="154"/>
      <c r="I76" s="154"/>
      <c r="J76" s="154"/>
      <c r="K76" s="154"/>
      <c r="M76" s="167" t="s">
        <v>113</v>
      </c>
      <c r="N76" s="154"/>
      <c r="O76" s="154"/>
      <c r="P76" s="154"/>
      <c r="Q76" s="154"/>
      <c r="R76" s="154"/>
      <c r="S76" s="154"/>
      <c r="T76" s="154"/>
    </row>
    <row r="77" spans="1:20" ht="11.25" customHeight="1" x14ac:dyDescent="0.2">
      <c r="B77" s="49"/>
      <c r="C77" s="171" t="s">
        <v>38</v>
      </c>
      <c r="D77" s="153">
        <v>2019</v>
      </c>
      <c r="E77" s="153">
        <v>2020</v>
      </c>
      <c r="F77" s="153">
        <v>2021</v>
      </c>
      <c r="G77" s="153">
        <v>2022</v>
      </c>
      <c r="H77" s="153">
        <v>2023</v>
      </c>
      <c r="I77" s="153">
        <v>2024</v>
      </c>
      <c r="J77" s="153">
        <v>2025</v>
      </c>
      <c r="K77" s="153" t="s">
        <v>10</v>
      </c>
      <c r="L77" s="114"/>
      <c r="M77" s="153">
        <v>2019</v>
      </c>
      <c r="N77" s="153">
        <v>2020</v>
      </c>
      <c r="O77" s="153">
        <v>2021</v>
      </c>
      <c r="P77" s="153">
        <v>2022</v>
      </c>
      <c r="Q77" s="153">
        <v>2023</v>
      </c>
      <c r="R77" s="153">
        <v>2024</v>
      </c>
      <c r="S77" s="153">
        <v>2025</v>
      </c>
      <c r="T77" s="153" t="s">
        <v>10</v>
      </c>
    </row>
    <row r="78" spans="1:20" ht="12" customHeight="1" thickBot="1" x14ac:dyDescent="0.25">
      <c r="B78" s="84"/>
      <c r="C78" s="154"/>
      <c r="D78" s="154"/>
      <c r="E78" s="154"/>
      <c r="F78" s="154"/>
      <c r="G78" s="154"/>
      <c r="H78" s="154"/>
      <c r="I78" s="154"/>
      <c r="J78" s="154"/>
      <c r="K78" s="154"/>
      <c r="L78" s="114"/>
      <c r="M78" s="154"/>
      <c r="N78" s="154"/>
      <c r="O78" s="154"/>
      <c r="P78" s="154"/>
      <c r="Q78" s="154"/>
      <c r="R78" s="154"/>
      <c r="S78" s="154"/>
      <c r="T78" s="154"/>
    </row>
    <row r="79" spans="1:20" x14ac:dyDescent="0.2">
      <c r="B79" s="34" t="s">
        <v>39</v>
      </c>
      <c r="C79" s="76" t="s">
        <v>40</v>
      </c>
      <c r="D79" s="41">
        <f t="shared" ref="D79:K79" si="30">+SUM(D80:D86)</f>
        <v>9300.6399788203853</v>
      </c>
      <c r="E79" s="41">
        <f t="shared" si="30"/>
        <v>9263.6304295829832</v>
      </c>
      <c r="F79" s="41">
        <f t="shared" si="30"/>
        <v>9587.0870837945949</v>
      </c>
      <c r="G79" s="41">
        <f t="shared" si="30"/>
        <v>9403.178753000122</v>
      </c>
      <c r="H79" s="41">
        <f t="shared" si="30"/>
        <v>10347.608957969722</v>
      </c>
      <c r="I79" s="41">
        <f t="shared" si="30"/>
        <v>13300.472234411211</v>
      </c>
      <c r="J79" s="41">
        <f t="shared" si="30"/>
        <v>12374.850187680655</v>
      </c>
      <c r="K79" s="41">
        <f t="shared" si="30"/>
        <v>4156.670857918728</v>
      </c>
      <c r="M79" s="46">
        <f t="shared" ref="M79:M99" si="31">+IFERROR(D79/D14*100,0)</f>
        <v>91.847168022099225</v>
      </c>
      <c r="N79" s="46">
        <f t="shared" ref="N79:N99" si="32">+IFERROR(E79/E14*100,0)</f>
        <v>90.847731934700121</v>
      </c>
      <c r="O79" s="46">
        <f t="shared" ref="O79:O99" si="33">+IFERROR(F79/F14*100,0)</f>
        <v>77.621212829704433</v>
      </c>
      <c r="P79" s="46">
        <f t="shared" ref="P79:P99" si="34">+IFERROR(G79/G14*100,0)</f>
        <v>86.654364153178847</v>
      </c>
      <c r="Q79" s="46">
        <f t="shared" ref="Q79:Q99" si="35">+IFERROR(H79/H14*100,0)</f>
        <v>85.536580756290689</v>
      </c>
      <c r="R79" s="46">
        <f t="shared" ref="R79:R99" si="36">+IFERROR(I79/I14*100,0)</f>
        <v>88.811919393064116</v>
      </c>
      <c r="S79" s="46">
        <f t="shared" ref="S79:S99" si="37">+IFERROR(J79/J14*100,0)</f>
        <v>93.244781152965359</v>
      </c>
      <c r="T79" s="46">
        <f t="shared" ref="T79:T99" si="38">+IFERROR(K79/K14*100,0)</f>
        <v>30.439479085824946</v>
      </c>
    </row>
    <row r="80" spans="1:20" x14ac:dyDescent="0.2">
      <c r="B80" s="40"/>
      <c r="C80" s="77" t="s">
        <v>92</v>
      </c>
      <c r="D80" s="42">
        <f>1779.55407590069*Deflactores!$T$5</f>
        <v>2761.7364095796829</v>
      </c>
      <c r="E80" s="42">
        <f>1885.74742445303*Deflactores!$U$5</f>
        <v>2880.1699029785223</v>
      </c>
      <c r="F80" s="42">
        <f>2026.9811169646*Deflactores!$V$5</f>
        <v>2931.1505435237946</v>
      </c>
      <c r="G80" s="42">
        <f>2300.91899804177*Deflactores!$W$5</f>
        <v>2941.3747161370129</v>
      </c>
      <c r="H80" s="42">
        <f>2627.88533386949*Deflactores!$X$5</f>
        <v>3074.0770579701702</v>
      </c>
      <c r="I80" s="42">
        <f>3056.49474455984*Deflactores!$Y$5</f>
        <v>3398.726769726582</v>
      </c>
      <c r="J80" s="42">
        <f>3325.97780088275*Deflactores!$Z$5</f>
        <v>3518.8845133339501</v>
      </c>
      <c r="K80" s="42">
        <f>972.285656321629*Deflactores!$AA$5</f>
        <v>972.28565632162895</v>
      </c>
      <c r="L80" s="42"/>
      <c r="M80" s="47">
        <f t="shared" si="31"/>
        <v>95.510170197286428</v>
      </c>
      <c r="N80" s="47">
        <f t="shared" si="32"/>
        <v>96.503721428904328</v>
      </c>
      <c r="O80" s="47">
        <f t="shared" si="33"/>
        <v>91.410184574954783</v>
      </c>
      <c r="P80" s="47">
        <f t="shared" si="34"/>
        <v>92.44946803582755</v>
      </c>
      <c r="Q80" s="47">
        <f t="shared" si="35"/>
        <v>93.137392594620678</v>
      </c>
      <c r="R80" s="47">
        <f t="shared" si="36"/>
        <v>93.256302459713851</v>
      </c>
      <c r="S80" s="47">
        <f t="shared" si="37"/>
        <v>95.336892974889992</v>
      </c>
      <c r="T80" s="47">
        <f t="shared" si="38"/>
        <v>22.848737480243798</v>
      </c>
    </row>
    <row r="81" spans="2:20" x14ac:dyDescent="0.2">
      <c r="B81" s="40"/>
      <c r="C81" s="77" t="s">
        <v>93</v>
      </c>
      <c r="D81" s="42">
        <f>712.056124095219*Deflactores!$T$5</f>
        <v>1105.0584807784728</v>
      </c>
      <c r="E81" s="42">
        <f>648.24061833601*Deflactores!$U$5</f>
        <v>990.0812243511923</v>
      </c>
      <c r="F81" s="42">
        <f>784.060510290659*Deflactores!$V$5</f>
        <v>1133.804045661539</v>
      </c>
      <c r="G81" s="42">
        <f>835.7171789664*Deflactores!$W$5</f>
        <v>1068.3372088044689</v>
      </c>
      <c r="H81" s="42">
        <f>922.743946829239*Deflactores!$X$5</f>
        <v>1079.4177206932443</v>
      </c>
      <c r="I81" s="42">
        <f>1157.33588166117*Deflactores!$Y$5</f>
        <v>1286.9213825961888</v>
      </c>
      <c r="J81" s="42">
        <f>1401.82325657843*Deflactores!$Z$5</f>
        <v>1483.129005459979</v>
      </c>
      <c r="K81" s="42">
        <f>329.261080244239*Deflactores!$AA$5</f>
        <v>329.261080244239</v>
      </c>
      <c r="L81" s="42"/>
      <c r="M81" s="47">
        <f t="shared" si="31"/>
        <v>90.042587797974406</v>
      </c>
      <c r="N81" s="47">
        <f t="shared" si="32"/>
        <v>79.322312375798816</v>
      </c>
      <c r="O81" s="47">
        <f t="shared" si="33"/>
        <v>85.324761285814205</v>
      </c>
      <c r="P81" s="47">
        <f t="shared" si="34"/>
        <v>86.507916393718105</v>
      </c>
      <c r="Q81" s="47">
        <f t="shared" si="35"/>
        <v>81.736535168560579</v>
      </c>
      <c r="R81" s="47">
        <f t="shared" si="36"/>
        <v>88.702239616734047</v>
      </c>
      <c r="S81" s="47">
        <f t="shared" si="37"/>
        <v>87.637698584245072</v>
      </c>
      <c r="T81" s="47">
        <f t="shared" si="38"/>
        <v>22.424050447940054</v>
      </c>
    </row>
    <row r="82" spans="2:20" x14ac:dyDescent="0.2">
      <c r="B82" s="40"/>
      <c r="C82" s="77" t="s">
        <v>58</v>
      </c>
      <c r="D82" s="42">
        <f>2065.15477798075*Deflactores!$T$5</f>
        <v>3204.9675921650219</v>
      </c>
      <c r="E82" s="42">
        <f>2209.70690164954*Deflactores!$U$5</f>
        <v>3374.9648706962612</v>
      </c>
      <c r="F82" s="42">
        <f>2318.27067858402*Deflactores!$V$5</f>
        <v>3352.3747718689283</v>
      </c>
      <c r="G82" s="42">
        <f>2455.81387675348*Deflactores!$W$5</f>
        <v>3139.3842420218793</v>
      </c>
      <c r="H82" s="42">
        <f>3608.61932743485*Deflactores!$X$5</f>
        <v>4221.3310232531421</v>
      </c>
      <c r="I82" s="42">
        <f>5790.88007783567*Deflactores!$Y$5</f>
        <v>6439.2779264047967</v>
      </c>
      <c r="J82" s="42">
        <f>4942.63343202682*Deflactores!$Z$5</f>
        <v>5229.3061710843758</v>
      </c>
      <c r="K82" s="42">
        <f>2413.07517815111*Deflactores!$AA$5</f>
        <v>2413.0751781511099</v>
      </c>
      <c r="L82" s="42"/>
      <c r="M82" s="47">
        <f t="shared" si="31"/>
        <v>89.15018471918448</v>
      </c>
      <c r="N82" s="47">
        <f t="shared" si="32"/>
        <v>91.110223222981261</v>
      </c>
      <c r="O82" s="47">
        <f t="shared" si="33"/>
        <v>67.061933359607934</v>
      </c>
      <c r="P82" s="47">
        <f t="shared" si="34"/>
        <v>84.281458232635174</v>
      </c>
      <c r="Q82" s="47">
        <f t="shared" si="35"/>
        <v>83.867375960992661</v>
      </c>
      <c r="R82" s="47">
        <f t="shared" si="36"/>
        <v>87.149570701087526</v>
      </c>
      <c r="S82" s="47">
        <f t="shared" si="37"/>
        <v>94.480471849124626</v>
      </c>
      <c r="T82" s="47">
        <f t="shared" si="38"/>
        <v>42.617071071703869</v>
      </c>
    </row>
    <row r="83" spans="2:20" x14ac:dyDescent="0.2">
      <c r="B83" s="40"/>
      <c r="C83" s="77" t="s">
        <v>94</v>
      </c>
      <c r="D83" s="42">
        <f>1276.78228807442*Deflactores!$T$5</f>
        <v>1981.471751734709</v>
      </c>
      <c r="E83" s="42">
        <f>1135.38322764875*Deflactores!$U$5</f>
        <v>1734.1116621538272</v>
      </c>
      <c r="F83" s="42">
        <f>1299.14074657603*Deflactores!$V$5</f>
        <v>1878.6445880377398</v>
      </c>
      <c r="G83" s="42">
        <f>1490.56013321123*Deflactores!$W$5</f>
        <v>1905.4542521664812</v>
      </c>
      <c r="H83" s="42">
        <f>1491.71701789337*Deflactores!$X$5</f>
        <v>1744.9973948967693</v>
      </c>
      <c r="I83" s="42">
        <f>1716.91769330227*Deflactores!$Y$5</f>
        <v>1909.1588938701002</v>
      </c>
      <c r="J83" s="42">
        <f>1731.67057523641*Deflactores!$Z$5</f>
        <v>1832.1074686001218</v>
      </c>
      <c r="K83" s="42">
        <f>389.74755884014*Deflactores!$AA$5</f>
        <v>389.74755884014002</v>
      </c>
      <c r="L83" s="42"/>
      <c r="M83" s="47">
        <f t="shared" si="31"/>
        <v>92.665712595970135</v>
      </c>
      <c r="N83" s="47">
        <f t="shared" si="32"/>
        <v>88.768156325830532</v>
      </c>
      <c r="O83" s="47">
        <f t="shared" si="33"/>
        <v>75.636342396925144</v>
      </c>
      <c r="P83" s="47">
        <f t="shared" si="34"/>
        <v>82.522004642903298</v>
      </c>
      <c r="Q83" s="47">
        <f t="shared" si="35"/>
        <v>84.11709336251252</v>
      </c>
      <c r="R83" s="47">
        <f t="shared" si="36"/>
        <v>86.708388528975561</v>
      </c>
      <c r="S83" s="47">
        <f t="shared" si="37"/>
        <v>90.667776969660935</v>
      </c>
      <c r="T83" s="47">
        <f t="shared" si="38"/>
        <v>19.657905560359833</v>
      </c>
    </row>
    <row r="84" spans="2:20" x14ac:dyDescent="0.2">
      <c r="B84" s="40"/>
      <c r="C84" s="77" t="s">
        <v>95</v>
      </c>
      <c r="D84" s="42">
        <f>76.38493438415*Deflactores!$T$5</f>
        <v>118.54377300970241</v>
      </c>
      <c r="E84" s="42">
        <f>94.13545400243*Deflactores!$U$5</f>
        <v>143.77646651149976</v>
      </c>
      <c r="F84" s="42">
        <f>96.30619608708*Deflactores!$V$5</f>
        <v>139.26521398881076</v>
      </c>
      <c r="G84" s="42">
        <f>164.77276731703*Deflactores!$W$5</f>
        <v>210.636902953435</v>
      </c>
      <c r="H84" s="42">
        <f>97.9376440831799*Deflactores!$X$5</f>
        <v>114.56659120831466</v>
      </c>
      <c r="I84" s="42">
        <f>119.6500671094*Deflactores!$Y$5</f>
        <v>133.04714062018184</v>
      </c>
      <c r="J84" s="42">
        <f>155.35662822622*Deflactores!$Z$5</f>
        <v>164.36731266334078</v>
      </c>
      <c r="K84" s="42">
        <f>25.29971822438*Deflactores!$AA$5</f>
        <v>25.299718224380001</v>
      </c>
      <c r="L84" s="42"/>
      <c r="M84" s="47">
        <f t="shared" si="31"/>
        <v>94.567242370788748</v>
      </c>
      <c r="N84" s="47">
        <f t="shared" si="32"/>
        <v>91.292047874984661</v>
      </c>
      <c r="O84" s="47">
        <f t="shared" si="33"/>
        <v>91.420581860478194</v>
      </c>
      <c r="P84" s="47">
        <f t="shared" si="34"/>
        <v>96.860893753787664</v>
      </c>
      <c r="Q84" s="47">
        <f t="shared" si="35"/>
        <v>51.623664493496001</v>
      </c>
      <c r="R84" s="47">
        <f t="shared" si="36"/>
        <v>93.496856522406219</v>
      </c>
      <c r="S84" s="47">
        <f t="shared" si="37"/>
        <v>95.616802039641655</v>
      </c>
      <c r="T84" s="47">
        <f t="shared" si="38"/>
        <v>19.033191302050671</v>
      </c>
    </row>
    <row r="85" spans="2:20" x14ac:dyDescent="0.2">
      <c r="B85" s="40"/>
      <c r="C85" s="77" t="s">
        <v>96</v>
      </c>
      <c r="D85" s="42">
        <f>7.59070268202*Deflactores!$T$5</f>
        <v>11.780209578974704</v>
      </c>
      <c r="E85" s="42">
        <f>6.85472104864999*Deflactores!$U$5</f>
        <v>10.469462135610001</v>
      </c>
      <c r="F85" s="42">
        <f>8.14563549441*Deflactores!$V$5</f>
        <v>11.779134845883995</v>
      </c>
      <c r="G85" s="42">
        <f>10.81918451553*Deflactores!$W$5</f>
        <v>13.830680615130161</v>
      </c>
      <c r="H85" s="42">
        <f>7.86689177436*Deflactores!$X$5</f>
        <v>9.2026205289120711</v>
      </c>
      <c r="I85" s="42">
        <f>9.99873387698*Deflactores!$Y$5</f>
        <v>11.118280033541428</v>
      </c>
      <c r="J85" s="42">
        <f>8.960916642*Deflactores!$Z$5</f>
        <v>9.4806498072360021</v>
      </c>
      <c r="K85" s="42">
        <f>2.427461169*Deflactores!$AA$5</f>
        <v>2.4274611689999999</v>
      </c>
      <c r="L85" s="42"/>
      <c r="M85" s="47">
        <f t="shared" si="31"/>
        <v>90.827747350310361</v>
      </c>
      <c r="N85" s="47">
        <f t="shared" si="32"/>
        <v>95.921888119740998</v>
      </c>
      <c r="O85" s="47">
        <f t="shared" si="33"/>
        <v>41.035947075113341</v>
      </c>
      <c r="P85" s="47">
        <f t="shared" si="34"/>
        <v>60.428867937500009</v>
      </c>
      <c r="Q85" s="47">
        <f t="shared" si="35"/>
        <v>70.744570766092323</v>
      </c>
      <c r="R85" s="47">
        <f t="shared" si="36"/>
        <v>84.355362828784592</v>
      </c>
      <c r="S85" s="47">
        <f t="shared" si="37"/>
        <v>83.13876738920068</v>
      </c>
      <c r="T85" s="47">
        <f t="shared" si="38"/>
        <v>12.942318026231606</v>
      </c>
    </row>
    <row r="86" spans="2:20" x14ac:dyDescent="0.2">
      <c r="B86" s="40"/>
      <c r="C86" s="77" t="s">
        <v>97</v>
      </c>
      <c r="D86" s="42">
        <f>75.44287210446*Deflactores!$T$5</f>
        <v>117.08176197382269</v>
      </c>
      <c r="E86" s="42">
        <f>85.15273777239*Deflactores!$U$5</f>
        <v>130.05684075607169</v>
      </c>
      <c r="F86" s="42">
        <f>96.8618908563699*Deflactores!$V$5</f>
        <v>140.06878586789989</v>
      </c>
      <c r="G86" s="42">
        <f>97.1259552932899*Deflactores!$W$5</f>
        <v>124.16075030171514</v>
      </c>
      <c r="H86" s="42">
        <f>88.9189046155*Deflactores!$X$5</f>
        <v>104.01654941916946</v>
      </c>
      <c r="I86" s="42">
        <f>109.9148123653*Deflactores!$Y$5</f>
        <v>122.22184115982067</v>
      </c>
      <c r="J86" s="42">
        <f>130.03314435884*Deflactores!$Z$5</f>
        <v>137.57506673165273</v>
      </c>
      <c r="K86" s="42">
        <f>24.57420496823*Deflactores!$AA$5</f>
        <v>24.574204968229999</v>
      </c>
      <c r="L86" s="42"/>
      <c r="M86" s="47">
        <f t="shared" si="31"/>
        <v>86.252469379452378</v>
      </c>
      <c r="N86" s="47">
        <f t="shared" si="32"/>
        <v>94.255080971864004</v>
      </c>
      <c r="O86" s="47">
        <f t="shared" si="33"/>
        <v>92.169764497248991</v>
      </c>
      <c r="P86" s="47">
        <f t="shared" si="34"/>
        <v>77.33813634082712</v>
      </c>
      <c r="Q86" s="47">
        <f t="shared" si="35"/>
        <v>78.00865950369959</v>
      </c>
      <c r="R86" s="47">
        <f t="shared" si="36"/>
        <v>90.802444083385566</v>
      </c>
      <c r="S86" s="47">
        <f t="shared" si="37"/>
        <v>92.190063870470937</v>
      </c>
      <c r="T86" s="47">
        <f t="shared" si="38"/>
        <v>18.160790200288695</v>
      </c>
    </row>
    <row r="87" spans="2:20" x14ac:dyDescent="0.2">
      <c r="B87" s="34" t="s">
        <v>41</v>
      </c>
      <c r="C87" s="76" t="s">
        <v>42</v>
      </c>
      <c r="D87" s="41">
        <f>+D88+D92</f>
        <v>1.9472947881790523</v>
      </c>
      <c r="E87" s="41">
        <f>+E88+E92</f>
        <v>1.5204274992131628</v>
      </c>
      <c r="F87" s="41">
        <f>+F88+F92</f>
        <v>1.856750053248956</v>
      </c>
      <c r="G87" s="41">
        <f>+G88+G92</f>
        <v>21.996903365495818</v>
      </c>
      <c r="H87" s="41">
        <f>+H88+H92</f>
        <v>61.541498588740659</v>
      </c>
      <c r="I87" s="41">
        <f>(+I88+I92)/1000000000</f>
        <v>0</v>
      </c>
      <c r="J87" s="41">
        <f>(+J88+J92)/1000000000</f>
        <v>0</v>
      </c>
      <c r="K87" s="41">
        <f>(+K88+K92)/1000000000</f>
        <v>0</v>
      </c>
      <c r="L87" s="71"/>
      <c r="M87" s="46">
        <f t="shared" si="31"/>
        <v>95.346504559270514</v>
      </c>
      <c r="N87" s="46">
        <f t="shared" si="32"/>
        <v>85.448650042918473</v>
      </c>
      <c r="O87" s="46">
        <f t="shared" si="33"/>
        <v>99.999999972741435</v>
      </c>
      <c r="P87" s="46">
        <f t="shared" si="34"/>
        <v>99.932132737468109</v>
      </c>
      <c r="Q87" s="46">
        <f t="shared" si="35"/>
        <v>99.998261539034289</v>
      </c>
      <c r="R87" s="46">
        <f t="shared" si="36"/>
        <v>0</v>
      </c>
      <c r="S87" s="46">
        <f t="shared" si="37"/>
        <v>0</v>
      </c>
      <c r="T87" s="46">
        <f t="shared" si="38"/>
        <v>0</v>
      </c>
    </row>
    <row r="88" spans="2:20" ht="11.25" hidden="1" customHeight="1" x14ac:dyDescent="0.2">
      <c r="B88" s="34"/>
      <c r="C88" s="76" t="s">
        <v>43</v>
      </c>
      <c r="D88" s="41">
        <f>+SUM(D89:D91)</f>
        <v>0</v>
      </c>
      <c r="E88" s="41">
        <f>+SUM(E89:E91)</f>
        <v>0</v>
      </c>
      <c r="F88" s="41"/>
      <c r="G88" s="41"/>
      <c r="H88" s="41"/>
      <c r="I88" s="41">
        <f>0*Deflactores!$Y$5</f>
        <v>0</v>
      </c>
      <c r="J88" s="41">
        <f>0*Deflactores!$Z$5</f>
        <v>0</v>
      </c>
      <c r="K88" s="41">
        <f>0*Deflactores!$AA$5</f>
        <v>0</v>
      </c>
      <c r="L88" s="71"/>
      <c r="M88" s="46">
        <f t="shared" si="31"/>
        <v>0</v>
      </c>
      <c r="N88" s="46">
        <f t="shared" si="32"/>
        <v>0</v>
      </c>
      <c r="O88" s="46">
        <f t="shared" si="33"/>
        <v>0</v>
      </c>
      <c r="P88" s="46">
        <f t="shared" si="34"/>
        <v>0</v>
      </c>
      <c r="Q88" s="46">
        <f t="shared" si="35"/>
        <v>0</v>
      </c>
      <c r="R88" s="46">
        <f t="shared" si="36"/>
        <v>0</v>
      </c>
      <c r="S88" s="46">
        <f t="shared" si="37"/>
        <v>0</v>
      </c>
      <c r="T88" s="46">
        <f t="shared" si="38"/>
        <v>0</v>
      </c>
    </row>
    <row r="89" spans="2:20" ht="11.25" hidden="1" customHeight="1" x14ac:dyDescent="0.2">
      <c r="B89" s="34"/>
      <c r="C89" s="86" t="s">
        <v>98</v>
      </c>
      <c r="D89" s="50">
        <f>0*Deflactores!$T$5</f>
        <v>0</v>
      </c>
      <c r="E89" s="50">
        <f>0*Deflactores!$U$5</f>
        <v>0</v>
      </c>
      <c r="F89" s="50"/>
      <c r="G89" s="50"/>
      <c r="H89" s="50"/>
      <c r="I89" s="50">
        <f>0*Deflactores!$Y$5</f>
        <v>0</v>
      </c>
      <c r="J89" s="50">
        <f>0*Deflactores!$Z$5</f>
        <v>0</v>
      </c>
      <c r="K89" s="50">
        <f>0*Deflactores!$AA$5</f>
        <v>0</v>
      </c>
      <c r="L89" s="42"/>
      <c r="M89" s="116">
        <f t="shared" si="31"/>
        <v>0</v>
      </c>
      <c r="N89" s="116">
        <f t="shared" si="32"/>
        <v>0</v>
      </c>
      <c r="O89" s="116">
        <f t="shared" si="33"/>
        <v>0</v>
      </c>
      <c r="P89" s="116">
        <f t="shared" si="34"/>
        <v>0</v>
      </c>
      <c r="Q89" s="116">
        <f t="shared" si="35"/>
        <v>0</v>
      </c>
      <c r="R89" s="116">
        <f t="shared" si="36"/>
        <v>0</v>
      </c>
      <c r="S89" s="116">
        <f t="shared" si="37"/>
        <v>0</v>
      </c>
      <c r="T89" s="116">
        <f t="shared" si="38"/>
        <v>0</v>
      </c>
    </row>
    <row r="90" spans="2:20" ht="11.25" hidden="1" customHeight="1" x14ac:dyDescent="0.2">
      <c r="B90" s="34"/>
      <c r="C90" s="86" t="s">
        <v>61</v>
      </c>
      <c r="D90" s="50">
        <f>0*Deflactores!$T$5</f>
        <v>0</v>
      </c>
      <c r="E90" s="50">
        <f>0*Deflactores!$U$5</f>
        <v>0</v>
      </c>
      <c r="F90" s="50"/>
      <c r="G90" s="50"/>
      <c r="H90" s="50"/>
      <c r="I90" s="50">
        <f>0*Deflactores!$Y$5</f>
        <v>0</v>
      </c>
      <c r="J90" s="50">
        <f>0*Deflactores!$Z$5</f>
        <v>0</v>
      </c>
      <c r="K90" s="50">
        <f>0*Deflactores!$AA$5</f>
        <v>0</v>
      </c>
      <c r="L90" s="42"/>
      <c r="M90" s="116">
        <f t="shared" si="31"/>
        <v>0</v>
      </c>
      <c r="N90" s="116">
        <f t="shared" si="32"/>
        <v>0</v>
      </c>
      <c r="O90" s="116">
        <f t="shared" si="33"/>
        <v>0</v>
      </c>
      <c r="P90" s="116">
        <f t="shared" si="34"/>
        <v>0</v>
      </c>
      <c r="Q90" s="116">
        <f t="shared" si="35"/>
        <v>0</v>
      </c>
      <c r="R90" s="116">
        <f t="shared" si="36"/>
        <v>0</v>
      </c>
      <c r="S90" s="116">
        <f t="shared" si="37"/>
        <v>0</v>
      </c>
      <c r="T90" s="116">
        <f t="shared" si="38"/>
        <v>0</v>
      </c>
    </row>
    <row r="91" spans="2:20" ht="11.25" hidden="1" customHeight="1" x14ac:dyDescent="0.2">
      <c r="B91" s="34"/>
      <c r="C91" s="86" t="s">
        <v>103</v>
      </c>
      <c r="D91" s="50">
        <f>0*Deflactores!$T$5</f>
        <v>0</v>
      </c>
      <c r="E91" s="50">
        <f>0*Deflactores!$U$5</f>
        <v>0</v>
      </c>
      <c r="F91" s="50"/>
      <c r="G91" s="50"/>
      <c r="H91" s="50"/>
      <c r="I91" s="50">
        <f>0*Deflactores!$Y$5</f>
        <v>0</v>
      </c>
      <c r="J91" s="50">
        <f>0*Deflactores!$Z$5</f>
        <v>0</v>
      </c>
      <c r="K91" s="50">
        <f>0*Deflactores!$AA$5</f>
        <v>0</v>
      </c>
      <c r="L91" s="42"/>
      <c r="M91" s="116">
        <f t="shared" si="31"/>
        <v>0</v>
      </c>
      <c r="N91" s="116">
        <f t="shared" si="32"/>
        <v>0</v>
      </c>
      <c r="O91" s="116">
        <f t="shared" si="33"/>
        <v>0</v>
      </c>
      <c r="P91" s="116">
        <f t="shared" si="34"/>
        <v>0</v>
      </c>
      <c r="Q91" s="116">
        <f t="shared" si="35"/>
        <v>0</v>
      </c>
      <c r="R91" s="116">
        <f t="shared" si="36"/>
        <v>0</v>
      </c>
      <c r="S91" s="116">
        <f t="shared" si="37"/>
        <v>0</v>
      </c>
      <c r="T91" s="116">
        <f t="shared" si="38"/>
        <v>0</v>
      </c>
    </row>
    <row r="92" spans="2:20" x14ac:dyDescent="0.2">
      <c r="B92" s="34"/>
      <c r="C92" s="76" t="s">
        <v>44</v>
      </c>
      <c r="D92" s="41">
        <f>+SUM(D93:D96)</f>
        <v>1.9472947881790523</v>
      </c>
      <c r="E92" s="41">
        <f>+SUM(E93:E96)</f>
        <v>1.5204274992131628</v>
      </c>
      <c r="F92" s="41">
        <f>+SUM(F93:F96)</f>
        <v>1.856750053248956</v>
      </c>
      <c r="G92" s="41">
        <f>+SUM(G93:G96)</f>
        <v>21.996903365495818</v>
      </c>
      <c r="H92" s="41">
        <f>+SUM(H93:H96)</f>
        <v>61.541498588740659</v>
      </c>
      <c r="I92" s="41">
        <f>(+SUM(I93:I96))/1000000000</f>
        <v>0</v>
      </c>
      <c r="J92" s="41">
        <f>(+SUM(J93:J96))/1000000000</f>
        <v>0</v>
      </c>
      <c r="K92" s="41">
        <f>(+SUM(K93:K96))/1000000000</f>
        <v>0</v>
      </c>
      <c r="L92" s="71"/>
      <c r="M92" s="46">
        <f t="shared" si="31"/>
        <v>95.346504559270514</v>
      </c>
      <c r="N92" s="46">
        <f t="shared" si="32"/>
        <v>85.448650042918473</v>
      </c>
      <c r="O92" s="46">
        <f t="shared" si="33"/>
        <v>99.999999972741435</v>
      </c>
      <c r="P92" s="46">
        <f t="shared" si="34"/>
        <v>99.932132737468109</v>
      </c>
      <c r="Q92" s="46">
        <f t="shared" si="35"/>
        <v>99.998261539034289</v>
      </c>
      <c r="R92" s="46">
        <f t="shared" si="36"/>
        <v>0</v>
      </c>
      <c r="S92" s="46">
        <f t="shared" si="37"/>
        <v>0</v>
      </c>
      <c r="T92" s="46">
        <f t="shared" si="38"/>
        <v>0</v>
      </c>
    </row>
    <row r="93" spans="2:20" x14ac:dyDescent="0.2">
      <c r="B93" s="32"/>
      <c r="C93" s="77" t="s">
        <v>98</v>
      </c>
      <c r="D93" s="42">
        <f>1.207*Deflactores!$T$5</f>
        <v>1.8731747978355353</v>
      </c>
      <c r="E93" s="42">
        <f>0.929799059*Deflactores!$U$5</f>
        <v>1.4201155631042754</v>
      </c>
      <c r="F93" s="42">
        <f>1.28399999965*Deflactores!$V$5</f>
        <v>1.856750053248956</v>
      </c>
      <c r="G93" s="42">
        <f>1.39735526252999*Deflactores!$W$5</f>
        <v>1.7863060117130192</v>
      </c>
      <c r="H93" s="42">
        <f>0*Deflactores!$X$5</f>
        <v>0</v>
      </c>
      <c r="I93" s="42">
        <f>0*Deflactores!$Y$5</f>
        <v>0</v>
      </c>
      <c r="J93" s="42">
        <f>0*Deflactores!$Z$5</f>
        <v>0</v>
      </c>
      <c r="K93" s="42">
        <f>0*Deflactores!$AA$5</f>
        <v>0</v>
      </c>
      <c r="L93" s="42"/>
      <c r="M93" s="47">
        <f t="shared" si="31"/>
        <v>100</v>
      </c>
      <c r="N93" s="47">
        <f t="shared" si="32"/>
        <v>84.604100000000003</v>
      </c>
      <c r="O93" s="47">
        <f t="shared" si="33"/>
        <v>99.999999972741435</v>
      </c>
      <c r="P93" s="47">
        <f t="shared" si="34"/>
        <v>99.173545956706178</v>
      </c>
      <c r="Q93" s="47">
        <f t="shared" si="35"/>
        <v>0</v>
      </c>
      <c r="R93" s="47">
        <f t="shared" si="36"/>
        <v>0</v>
      </c>
      <c r="S93" s="47">
        <f t="shared" si="37"/>
        <v>0</v>
      </c>
      <c r="T93" s="47">
        <f t="shared" si="38"/>
        <v>0</v>
      </c>
    </row>
    <row r="94" spans="2:20" ht="11.25" hidden="1" customHeight="1" x14ac:dyDescent="0.2">
      <c r="B94" s="32"/>
      <c r="C94" s="77" t="s">
        <v>61</v>
      </c>
      <c r="D94" s="42">
        <f>0.04776*Deflactores!$T$5</f>
        <v>7.4119990343517114E-2</v>
      </c>
      <c r="E94" s="42">
        <f>0.065677714*Deflactores!$U$5</f>
        <v>0.10031193610888731</v>
      </c>
      <c r="F94" s="42">
        <f>0*Deflactores!$V$5</f>
        <v>0</v>
      </c>
      <c r="G94" s="42">
        <f>0*Deflactores!$W$5</f>
        <v>0</v>
      </c>
      <c r="H94" s="42">
        <f>0*Deflactores!$X$5</f>
        <v>0</v>
      </c>
      <c r="I94" s="42">
        <f>0*Deflactores!$Y$5</f>
        <v>0</v>
      </c>
      <c r="J94" s="42">
        <f>0*Deflactores!$Z$5</f>
        <v>0</v>
      </c>
      <c r="K94" s="42">
        <f>0*Deflactores!$AA$5</f>
        <v>0</v>
      </c>
      <c r="L94" s="42"/>
      <c r="M94" s="47">
        <f t="shared" si="31"/>
        <v>43.816513761467888</v>
      </c>
      <c r="N94" s="47">
        <f t="shared" si="32"/>
        <v>99.511687878787868</v>
      </c>
      <c r="O94" s="47">
        <f t="shared" si="33"/>
        <v>0</v>
      </c>
      <c r="P94" s="47">
        <f t="shared" si="34"/>
        <v>0</v>
      </c>
      <c r="Q94" s="47">
        <f t="shared" si="35"/>
        <v>0</v>
      </c>
      <c r="R94" s="47">
        <f t="shared" si="36"/>
        <v>0</v>
      </c>
      <c r="S94" s="47">
        <f t="shared" si="37"/>
        <v>0</v>
      </c>
      <c r="T94" s="47">
        <f t="shared" si="38"/>
        <v>0</v>
      </c>
    </row>
    <row r="95" spans="2:20" ht="11.25" hidden="1" customHeight="1" x14ac:dyDescent="0.2">
      <c r="B95" s="32"/>
      <c r="C95" s="77" t="s">
        <v>103</v>
      </c>
      <c r="D95" s="42">
        <f>0*Deflactores!$T$5</f>
        <v>0</v>
      </c>
      <c r="E95" s="42">
        <f>0*Deflactores!$U$5</f>
        <v>0</v>
      </c>
      <c r="F95" s="42">
        <f>0*Deflactores!$V$5</f>
        <v>0</v>
      </c>
      <c r="G95" s="42">
        <f>0*Deflactores!$W$5</f>
        <v>0</v>
      </c>
      <c r="H95" s="42">
        <f>0*Deflactores!$X$5</f>
        <v>0</v>
      </c>
      <c r="I95" s="42">
        <f>0*Deflactores!$Y$5</f>
        <v>0</v>
      </c>
      <c r="J95" s="42">
        <f>0*Deflactores!$Z$5</f>
        <v>0</v>
      </c>
      <c r="K95" s="42">
        <f>0*Deflactores!$AA$5</f>
        <v>0</v>
      </c>
      <c r="L95" s="42"/>
      <c r="M95" s="47">
        <f t="shared" si="31"/>
        <v>0</v>
      </c>
      <c r="N95" s="47">
        <f t="shared" si="32"/>
        <v>0</v>
      </c>
      <c r="O95" s="47">
        <f t="shared" si="33"/>
        <v>0</v>
      </c>
      <c r="P95" s="47">
        <f t="shared" si="34"/>
        <v>0</v>
      </c>
      <c r="Q95" s="47">
        <f t="shared" si="35"/>
        <v>0</v>
      </c>
      <c r="R95" s="47">
        <f t="shared" si="36"/>
        <v>0</v>
      </c>
      <c r="S95" s="47">
        <f t="shared" si="37"/>
        <v>0</v>
      </c>
      <c r="T95" s="47">
        <f t="shared" si="38"/>
        <v>0</v>
      </c>
    </row>
    <row r="96" spans="2:20" x14ac:dyDescent="0.2">
      <c r="B96" s="32"/>
      <c r="C96" s="77" t="s">
        <v>104</v>
      </c>
      <c r="D96" s="42">
        <f>0*Deflactores!$T$5</f>
        <v>0</v>
      </c>
      <c r="E96" s="42">
        <f>0*Deflactores!$U$5</f>
        <v>0</v>
      </c>
      <c r="F96" s="42">
        <f>0*Deflactores!$V$5</f>
        <v>0</v>
      </c>
      <c r="G96" s="42">
        <f>15.80993647561*Deflactores!$W$5</f>
        <v>20.210597353782799</v>
      </c>
      <c r="H96" s="42">
        <f>52.60896149184*Deflactores!$X$5</f>
        <v>61.541498588740659</v>
      </c>
      <c r="I96" s="42">
        <f>0*Deflactores!$Y$5</f>
        <v>0</v>
      </c>
      <c r="J96" s="42">
        <f>0*Deflactores!$Z$5</f>
        <v>0</v>
      </c>
      <c r="K96" s="42">
        <f>0*Deflactores!$AA$5</f>
        <v>0</v>
      </c>
      <c r="L96" s="42"/>
      <c r="M96" s="47">
        <f t="shared" si="31"/>
        <v>0</v>
      </c>
      <c r="N96" s="47">
        <f t="shared" si="32"/>
        <v>0</v>
      </c>
      <c r="O96" s="47">
        <f t="shared" si="33"/>
        <v>0</v>
      </c>
      <c r="P96" s="47">
        <f t="shared" si="34"/>
        <v>99.999738700518378</v>
      </c>
      <c r="Q96" s="47">
        <f t="shared" si="35"/>
        <v>99.998261539034289</v>
      </c>
      <c r="R96" s="47">
        <f t="shared" si="36"/>
        <v>0</v>
      </c>
      <c r="S96" s="47">
        <f t="shared" si="37"/>
        <v>0</v>
      </c>
      <c r="T96" s="47">
        <f t="shared" si="38"/>
        <v>0</v>
      </c>
    </row>
    <row r="97" spans="2:20" x14ac:dyDescent="0.2">
      <c r="B97" s="34" t="s">
        <v>45</v>
      </c>
      <c r="C97" s="76" t="s">
        <v>46</v>
      </c>
      <c r="D97" s="41">
        <f>6959.40172850088*Deflactores!$T$5</f>
        <v>10800.477154797773</v>
      </c>
      <c r="E97" s="41">
        <f>6729.4852342876*Deflactores!$U$5</f>
        <v>10278.184969524949</v>
      </c>
      <c r="F97" s="41">
        <f>7598.02360959152*Deflactores!$V$5</f>
        <v>10987.251359455933</v>
      </c>
      <c r="G97" s="41">
        <f>7662.11537174356*Deflactores!$W$5</f>
        <v>9794.8482522643444</v>
      </c>
      <c r="H97" s="41">
        <f>8358.6898277071*Deflactores!$X$5</f>
        <v>9777.9215488856444</v>
      </c>
      <c r="I97" s="41">
        <f>10193.5715379068*Deflactores!$Y$5</f>
        <v>11334.933432053387</v>
      </c>
      <c r="J97" s="41">
        <f>10549.6319339336*Deflactores!$Z$5</f>
        <v>11161.510586101749</v>
      </c>
      <c r="K97" s="41">
        <f>2176.99943425068*Deflactores!$AA$5</f>
        <v>2176.9994342506802</v>
      </c>
      <c r="L97" s="71"/>
      <c r="M97" s="46">
        <f t="shared" si="31"/>
        <v>83.560200571574711</v>
      </c>
      <c r="N97" s="46">
        <f t="shared" si="32"/>
        <v>82.763814479801752</v>
      </c>
      <c r="O97" s="46">
        <f t="shared" si="33"/>
        <v>74.532166565740098</v>
      </c>
      <c r="P97" s="46">
        <f t="shared" si="34"/>
        <v>73.737791153056833</v>
      </c>
      <c r="Q97" s="46">
        <f t="shared" si="35"/>
        <v>73.422092826627662</v>
      </c>
      <c r="R97" s="46">
        <f t="shared" si="36"/>
        <v>75.414525697772746</v>
      </c>
      <c r="S97" s="46">
        <f t="shared" si="37"/>
        <v>76.536563096068761</v>
      </c>
      <c r="T97" s="46">
        <f t="shared" si="38"/>
        <v>13.604623689944198</v>
      </c>
    </row>
    <row r="98" spans="2:20" x14ac:dyDescent="0.2">
      <c r="B98" s="36" t="s">
        <v>47</v>
      </c>
      <c r="C98" s="78" t="s">
        <v>48</v>
      </c>
      <c r="D98" s="43">
        <f t="shared" ref="D98:K98" si="39">+D79+D97</f>
        <v>20101.117133618158</v>
      </c>
      <c r="E98" s="43">
        <f t="shared" si="39"/>
        <v>19541.815399107931</v>
      </c>
      <c r="F98" s="43">
        <f t="shared" si="39"/>
        <v>20574.338443250526</v>
      </c>
      <c r="G98" s="43">
        <f t="shared" si="39"/>
        <v>19198.027005264466</v>
      </c>
      <c r="H98" s="43">
        <f t="shared" si="39"/>
        <v>20125.530506855364</v>
      </c>
      <c r="I98" s="43">
        <f t="shared" si="39"/>
        <v>24635.405666464598</v>
      </c>
      <c r="J98" s="43">
        <f t="shared" si="39"/>
        <v>23536.360773782406</v>
      </c>
      <c r="K98" s="43">
        <f t="shared" si="39"/>
        <v>6333.6702921694086</v>
      </c>
      <c r="L98" s="71"/>
      <c r="M98" s="48">
        <f t="shared" si="31"/>
        <v>87.200538224514915</v>
      </c>
      <c r="N98" s="48">
        <f t="shared" si="32"/>
        <v>86.408679619437251</v>
      </c>
      <c r="O98" s="48">
        <f t="shared" si="33"/>
        <v>75.940409945614874</v>
      </c>
      <c r="P98" s="48">
        <f t="shared" si="34"/>
        <v>79.545294240649937</v>
      </c>
      <c r="Q98" s="48">
        <f t="shared" si="35"/>
        <v>79.188538065649198</v>
      </c>
      <c r="R98" s="48">
        <f t="shared" si="36"/>
        <v>82.101128618604079</v>
      </c>
      <c r="S98" s="48">
        <f t="shared" si="37"/>
        <v>84.49721498317669</v>
      </c>
      <c r="T98" s="48">
        <f t="shared" si="38"/>
        <v>21.356096661039846</v>
      </c>
    </row>
    <row r="99" spans="2:20" x14ac:dyDescent="0.2">
      <c r="B99" s="38" t="s">
        <v>49</v>
      </c>
      <c r="C99" s="79" t="s">
        <v>63</v>
      </c>
      <c r="D99" s="44">
        <f t="shared" ref="D99:K99" si="40">+D79+D87+D97</f>
        <v>20103.064428406338</v>
      </c>
      <c r="E99" s="44">
        <f t="shared" si="40"/>
        <v>19543.335826607145</v>
      </c>
      <c r="F99" s="44">
        <f t="shared" si="40"/>
        <v>20576.195193303778</v>
      </c>
      <c r="G99" s="44">
        <f t="shared" si="40"/>
        <v>19220.023908629963</v>
      </c>
      <c r="H99" s="44">
        <f t="shared" si="40"/>
        <v>20187.072005444104</v>
      </c>
      <c r="I99" s="44">
        <f t="shared" si="40"/>
        <v>24635.405666464598</v>
      </c>
      <c r="J99" s="44">
        <f t="shared" si="40"/>
        <v>23536.360773782406</v>
      </c>
      <c r="K99" s="44">
        <f t="shared" si="40"/>
        <v>6333.6702921694086</v>
      </c>
      <c r="L99" s="71"/>
      <c r="M99" s="45">
        <f t="shared" si="31"/>
        <v>87.201259880190022</v>
      </c>
      <c r="N99" s="45">
        <f t="shared" si="32"/>
        <v>86.408604092231542</v>
      </c>
      <c r="O99" s="45">
        <f t="shared" si="33"/>
        <v>75.942058711386835</v>
      </c>
      <c r="P99" s="45">
        <f t="shared" si="34"/>
        <v>79.563870927228592</v>
      </c>
      <c r="Q99" s="45">
        <f t="shared" si="35"/>
        <v>79.238807792718262</v>
      </c>
      <c r="R99" s="45">
        <f t="shared" si="36"/>
        <v>82.101128618604079</v>
      </c>
      <c r="S99" s="45">
        <f t="shared" si="37"/>
        <v>84.49721498317669</v>
      </c>
      <c r="T99" s="45">
        <f t="shared" si="38"/>
        <v>21.356096661039846</v>
      </c>
    </row>
    <row r="100" spans="2:20" s="5" customFormat="1" x14ac:dyDescent="0.2">
      <c r="B100" s="72" t="str">
        <f>+'C1 Aprop Resumen 2000-2026'!B20</f>
        <v>* Información con corte a 30 de abril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0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0" x14ac:dyDescent="0.2">
      <c r="M102" s="109"/>
      <c r="N102" s="109"/>
      <c r="O102" s="109"/>
      <c r="P102" s="109"/>
      <c r="Q102" s="109"/>
      <c r="R102" s="109"/>
      <c r="S102" s="109"/>
    </row>
    <row r="103" spans="2:20" x14ac:dyDescent="0.2">
      <c r="M103" s="109"/>
      <c r="N103" s="109"/>
      <c r="O103" s="109"/>
      <c r="P103" s="109"/>
      <c r="Q103" s="109"/>
      <c r="R103" s="109"/>
      <c r="S103" s="109"/>
    </row>
    <row r="104" spans="2:20" x14ac:dyDescent="0.2">
      <c r="M104" s="109"/>
      <c r="N104" s="109"/>
      <c r="O104" s="109"/>
      <c r="P104" s="109"/>
      <c r="Q104" s="109"/>
      <c r="R104" s="109"/>
      <c r="S104" s="109"/>
    </row>
    <row r="105" spans="2:20" x14ac:dyDescent="0.2">
      <c r="M105" s="109"/>
      <c r="N105" s="109"/>
      <c r="O105" s="109"/>
      <c r="P105" s="109"/>
      <c r="Q105" s="109"/>
      <c r="R105" s="109"/>
      <c r="S105" s="109"/>
    </row>
    <row r="106" spans="2:20" x14ac:dyDescent="0.2">
      <c r="M106" s="109"/>
      <c r="N106" s="109"/>
      <c r="O106" s="109"/>
      <c r="P106" s="109"/>
      <c r="Q106" s="109"/>
      <c r="R106" s="109"/>
      <c r="S106" s="109"/>
    </row>
    <row r="107" spans="2:20" ht="18" customHeight="1" x14ac:dyDescent="0.2">
      <c r="C107" s="131"/>
      <c r="D107" s="155" t="s">
        <v>118</v>
      </c>
      <c r="E107" s="156"/>
      <c r="F107" s="156"/>
      <c r="G107" s="156"/>
      <c r="H107" s="156"/>
      <c r="I107" s="156"/>
      <c r="J107" s="156"/>
      <c r="K107" s="169"/>
      <c r="L107" s="169"/>
      <c r="M107" s="156"/>
      <c r="N107" s="156"/>
      <c r="O107" s="156"/>
      <c r="P107" s="156"/>
      <c r="Q107" s="156"/>
      <c r="R107" s="156"/>
      <c r="S107" s="156"/>
      <c r="T107" s="156"/>
    </row>
    <row r="109" spans="2:20" ht="12" customHeight="1" thickBot="1" x14ac:dyDescent="0.3">
      <c r="B109" s="115"/>
      <c r="C109" s="92"/>
      <c r="D109" s="167"/>
      <c r="E109" s="154"/>
      <c r="F109" s="154"/>
      <c r="G109" s="154"/>
      <c r="H109" s="154"/>
      <c r="I109" s="154"/>
      <c r="J109" s="154"/>
      <c r="K109" s="136"/>
      <c r="M109" s="167" t="s">
        <v>108</v>
      </c>
      <c r="N109" s="154"/>
      <c r="O109" s="154"/>
      <c r="P109" s="154"/>
      <c r="Q109" s="154"/>
      <c r="R109" s="154"/>
      <c r="S109" s="154"/>
      <c r="T109" s="154"/>
    </row>
    <row r="110" spans="2:20" x14ac:dyDescent="0.2">
      <c r="B110" s="49"/>
      <c r="C110" s="171" t="s">
        <v>38</v>
      </c>
      <c r="D110" s="153">
        <v>2019</v>
      </c>
      <c r="E110" s="153">
        <v>2020</v>
      </c>
      <c r="F110" s="153">
        <v>2021</v>
      </c>
      <c r="G110" s="153">
        <v>2022</v>
      </c>
      <c r="H110" s="153">
        <v>2023</v>
      </c>
      <c r="I110" s="153">
        <v>2024</v>
      </c>
      <c r="J110" s="153">
        <v>2025</v>
      </c>
      <c r="K110" s="153" t="s">
        <v>10</v>
      </c>
      <c r="L110" s="114"/>
      <c r="M110" s="153">
        <v>2019</v>
      </c>
      <c r="N110" s="153">
        <v>2020</v>
      </c>
      <c r="O110" s="153">
        <v>2021</v>
      </c>
      <c r="P110" s="153">
        <v>2022</v>
      </c>
      <c r="Q110" s="153">
        <v>2023</v>
      </c>
      <c r="R110" s="153">
        <v>2024</v>
      </c>
      <c r="S110" s="153">
        <v>2025</v>
      </c>
      <c r="T110" s="153" t="s">
        <v>10</v>
      </c>
    </row>
    <row r="111" spans="2:20" ht="12" customHeight="1" thickBot="1" x14ac:dyDescent="0.25">
      <c r="B111" s="84"/>
      <c r="C111" s="154"/>
      <c r="D111" s="154"/>
      <c r="E111" s="154"/>
      <c r="F111" s="154"/>
      <c r="G111" s="154"/>
      <c r="H111" s="154"/>
      <c r="I111" s="154"/>
      <c r="J111" s="154"/>
      <c r="K111" s="154"/>
      <c r="L111" s="114"/>
      <c r="M111" s="154"/>
      <c r="N111" s="154"/>
      <c r="O111" s="154"/>
      <c r="P111" s="154"/>
      <c r="Q111" s="154"/>
      <c r="R111" s="154"/>
      <c r="S111" s="154"/>
      <c r="T111" s="154"/>
    </row>
    <row r="112" spans="2:20" x14ac:dyDescent="0.2">
      <c r="B112" s="34" t="s">
        <v>39</v>
      </c>
      <c r="C112" s="76" t="s">
        <v>40</v>
      </c>
      <c r="D112" s="41">
        <f t="shared" ref="D112:K112" si="41">+SUM(D113:D119)</f>
        <v>8918.2058220255694</v>
      </c>
      <c r="E112" s="41">
        <f t="shared" si="41"/>
        <v>9008.5507707816778</v>
      </c>
      <c r="F112" s="41">
        <f t="shared" si="41"/>
        <v>9431.1659678643118</v>
      </c>
      <c r="G112" s="41">
        <f t="shared" si="41"/>
        <v>9272.697434683485</v>
      </c>
      <c r="H112" s="41">
        <f t="shared" si="41"/>
        <v>10158.975909338735</v>
      </c>
      <c r="I112" s="41">
        <f t="shared" si="41"/>
        <v>13010.735552370263</v>
      </c>
      <c r="J112" s="41">
        <f t="shared" si="41"/>
        <v>12173.164515569164</v>
      </c>
      <c r="K112" s="41">
        <f t="shared" si="41"/>
        <v>3992.8621784348488</v>
      </c>
      <c r="M112" s="46">
        <f t="shared" ref="M112:M132" si="42">+IFERROR(D112/D14*100,0)</f>
        <v>88.070493047418793</v>
      </c>
      <c r="N112" s="46">
        <f t="shared" ref="N112:N132" si="43">+IFERROR(E112/E14*100,0)</f>
        <v>88.346184766888612</v>
      </c>
      <c r="O112" s="46">
        <f t="shared" ref="O112:O132" si="44">+IFERROR(F112/F14*100,0)</f>
        <v>76.358807886629762</v>
      </c>
      <c r="P112" s="46">
        <f t="shared" ref="P112:P132" si="45">+IFERROR(G112/G14*100,0)</f>
        <v>85.451922301375348</v>
      </c>
      <c r="Q112" s="46">
        <f t="shared" ref="Q112:Q132" si="46">+IFERROR(H112/H14*100,0)</f>
        <v>83.977280819168257</v>
      </c>
      <c r="R112" s="46">
        <f t="shared" ref="R112:R132" si="47">+IFERROR(I112/I14*100,0)</f>
        <v>86.877245917030692</v>
      </c>
      <c r="S112" s="46">
        <f t="shared" ref="S112:S132" si="48">+IFERROR(J112/J14*100,0)</f>
        <v>91.725074968849569</v>
      </c>
      <c r="T112" s="46">
        <f t="shared" ref="T112:T132" si="49">+IFERROR(K112/K14*100,0)</f>
        <v>29.239901095730538</v>
      </c>
    </row>
    <row r="113" spans="2:20" x14ac:dyDescent="0.2">
      <c r="B113" s="40"/>
      <c r="C113" s="77" t="s">
        <v>92</v>
      </c>
      <c r="D113" s="42">
        <f>1777.81986384859*Deflactores!$T$5</f>
        <v>2759.0450406400842</v>
      </c>
      <c r="E113" s="42">
        <f>1876.23022912936*Deflactores!$U$5</f>
        <v>2865.6339480693155</v>
      </c>
      <c r="F113" s="42">
        <f>2016.35645920928*Deflactores!$V$5</f>
        <v>2915.7865763444179</v>
      </c>
      <c r="G113" s="42">
        <f>2285.93848297032*Deflactores!$W$5</f>
        <v>2922.2244078022241</v>
      </c>
      <c r="H113" s="42">
        <f>2623.89421298016*Deflactores!$X$5</f>
        <v>3069.4082799974994</v>
      </c>
      <c r="I113" s="42">
        <f>3042.42943149226*Deflactores!$Y$5</f>
        <v>3383.086580541747</v>
      </c>
      <c r="J113" s="42">
        <f>3321.09448975875*Deflactores!$Z$5</f>
        <v>3513.7179701647578</v>
      </c>
      <c r="K113" s="42">
        <f>967.547287900129*Deflactores!$AA$5</f>
        <v>967.54728790012905</v>
      </c>
      <c r="L113" s="42"/>
      <c r="M113" s="47">
        <f t="shared" si="42"/>
        <v>95.417093571800692</v>
      </c>
      <c r="N113" s="47">
        <f t="shared" si="43"/>
        <v>96.01667594529917</v>
      </c>
      <c r="O113" s="47">
        <f t="shared" si="44"/>
        <v>90.931047439274948</v>
      </c>
      <c r="P113" s="47">
        <f t="shared" si="45"/>
        <v>91.847560428285973</v>
      </c>
      <c r="Q113" s="47">
        <f t="shared" si="46"/>
        <v>92.995939469413429</v>
      </c>
      <c r="R113" s="47">
        <f t="shared" si="47"/>
        <v>92.827157573417068</v>
      </c>
      <c r="S113" s="47">
        <f t="shared" si="48"/>
        <v>95.196916180736906</v>
      </c>
      <c r="T113" s="47">
        <f t="shared" si="49"/>
        <v>22.737385702663207</v>
      </c>
    </row>
    <row r="114" spans="2:20" x14ac:dyDescent="0.2">
      <c r="B114" s="40"/>
      <c r="C114" s="77" t="s">
        <v>93</v>
      </c>
      <c r="D114" s="42">
        <f>677.85449709817*Deflactores!$T$5</f>
        <v>1051.9800833171275</v>
      </c>
      <c r="E114" s="42">
        <f>626.86868298353*Deflactores!$U$5</f>
        <v>957.43909838436514</v>
      </c>
      <c r="F114" s="42">
        <f>769.325592788099*Deflactores!$V$5</f>
        <v>1112.4963674178048</v>
      </c>
      <c r="G114" s="42">
        <f>818.668765471919*Deflactores!$W$5</f>
        <v>1046.5434070906351</v>
      </c>
      <c r="H114" s="42">
        <f>883.698180045949*Deflactores!$X$5</f>
        <v>1033.7423275045221</v>
      </c>
      <c r="I114" s="42">
        <f>1094.58546687968*Deflactores!$Y$5</f>
        <v>1217.144879656378</v>
      </c>
      <c r="J114" s="42">
        <f>1370.90945881626*Deflactores!$Z$5</f>
        <v>1450.4222074276031</v>
      </c>
      <c r="K114" s="42">
        <f>323.42720918067*Deflactores!$AA$5</f>
        <v>323.42720918066999</v>
      </c>
      <c r="L114" s="42"/>
      <c r="M114" s="47">
        <f t="shared" si="42"/>
        <v>85.717643601154975</v>
      </c>
      <c r="N114" s="47">
        <f t="shared" si="43"/>
        <v>76.70712399643368</v>
      </c>
      <c r="O114" s="47">
        <f t="shared" si="44"/>
        <v>83.721245610721709</v>
      </c>
      <c r="P114" s="47">
        <f t="shared" si="45"/>
        <v>84.743177357181693</v>
      </c>
      <c r="Q114" s="47">
        <f t="shared" si="46"/>
        <v>78.277866378770725</v>
      </c>
      <c r="R114" s="47">
        <f t="shared" si="47"/>
        <v>83.892829992271416</v>
      </c>
      <c r="S114" s="47">
        <f t="shared" si="48"/>
        <v>85.705062584905164</v>
      </c>
      <c r="T114" s="47">
        <f t="shared" si="49"/>
        <v>22.026739539103787</v>
      </c>
    </row>
    <row r="115" spans="2:20" x14ac:dyDescent="0.2">
      <c r="B115" s="40"/>
      <c r="C115" s="77" t="s">
        <v>58</v>
      </c>
      <c r="D115" s="42">
        <f>2035.26367946193*Deflactores!$T$5</f>
        <v>3158.5788163364609</v>
      </c>
      <c r="E115" s="42">
        <f>2180.11323424623*Deflactores!$U$5</f>
        <v>3329.7653974961358</v>
      </c>
      <c r="F115" s="42">
        <f>2296.62704005753*Deflactores!$V$5</f>
        <v>3321.0766200017038</v>
      </c>
      <c r="G115" s="42">
        <f>2415.72274837126*Deflactores!$W$5</f>
        <v>3088.133836655491</v>
      </c>
      <c r="H115" s="42">
        <f>3592.07949941069*Deflactores!$X$5</f>
        <v>4201.9828784857391</v>
      </c>
      <c r="I115" s="42">
        <f>5785.70547408869*Deflactores!$Y$5</f>
        <v>6433.5239285257258</v>
      </c>
      <c r="J115" s="42">
        <f>4932.61669579893*Deflactores!$Z$5</f>
        <v>5218.7084641552683</v>
      </c>
      <c r="K115" s="42">
        <f>2360.78740862626*Deflactores!$AA$5</f>
        <v>2360.78740862626</v>
      </c>
      <c r="L115" s="42"/>
      <c r="M115" s="47">
        <f t="shared" si="42"/>
        <v>87.859822862133868</v>
      </c>
      <c r="N115" s="47">
        <f t="shared" si="43"/>
        <v>89.890022642945283</v>
      </c>
      <c r="O115" s="47">
        <f t="shared" si="44"/>
        <v>66.435835528180647</v>
      </c>
      <c r="P115" s="47">
        <f t="shared" si="45"/>
        <v>82.905564564865799</v>
      </c>
      <c r="Q115" s="47">
        <f t="shared" si="46"/>
        <v>83.482976319643285</v>
      </c>
      <c r="R115" s="47">
        <f t="shared" si="47"/>
        <v>87.071695751332726</v>
      </c>
      <c r="S115" s="47">
        <f t="shared" si="48"/>
        <v>94.288997814439597</v>
      </c>
      <c r="T115" s="47">
        <f t="shared" si="49"/>
        <v>41.693622183663528</v>
      </c>
    </row>
    <row r="116" spans="2:20" x14ac:dyDescent="0.2">
      <c r="B116" s="40"/>
      <c r="C116" s="77" t="s">
        <v>94</v>
      </c>
      <c r="D116" s="42">
        <f>1099.49360443077*Deflactores!$T$5</f>
        <v>1706.3328170679961</v>
      </c>
      <c r="E116" s="42">
        <f>1035.7869693662*Deflactores!$U$5</f>
        <v>1581.9947127495984</v>
      </c>
      <c r="F116" s="42">
        <f>1241.63256146731*Deflactores!$V$5</f>
        <v>1795.4838981686021</v>
      </c>
      <c r="G116" s="42">
        <f>1462.52516368401*Deflactores!$W$5</f>
        <v>1869.6158108283826</v>
      </c>
      <c r="H116" s="42">
        <f>1394.46766281418*Deflactores!$X$5</f>
        <v>1631.2359580873731</v>
      </c>
      <c r="I116" s="42">
        <f>1540.36849746059*Deflactores!$Y$5</f>
        <v>1712.8416977915481</v>
      </c>
      <c r="J116" s="42">
        <f>1587.20455910097*Deflactores!$Z$5</f>
        <v>1679.2624235288265</v>
      </c>
      <c r="K116" s="42">
        <f>291.35925390818*Deflactores!$AA$5</f>
        <v>291.35925390817999</v>
      </c>
      <c r="L116" s="42"/>
      <c r="M116" s="47">
        <f t="shared" si="42"/>
        <v>79.798536759894631</v>
      </c>
      <c r="N116" s="47">
        <f t="shared" si="43"/>
        <v>80.981379130784376</v>
      </c>
      <c r="O116" s="47">
        <f t="shared" si="44"/>
        <v>72.288199564077487</v>
      </c>
      <c r="P116" s="47">
        <f t="shared" si="45"/>
        <v>80.969902292960029</v>
      </c>
      <c r="Q116" s="47">
        <f t="shared" si="46"/>
        <v>78.633256292534753</v>
      </c>
      <c r="R116" s="47">
        <f t="shared" si="47"/>
        <v>77.792238193268432</v>
      </c>
      <c r="S116" s="47">
        <f t="shared" si="48"/>
        <v>83.103744457948778</v>
      </c>
      <c r="T116" s="47">
        <f t="shared" si="49"/>
        <v>14.695442133129861</v>
      </c>
    </row>
    <row r="117" spans="2:20" x14ac:dyDescent="0.2">
      <c r="B117" s="40"/>
      <c r="C117" s="77" t="s">
        <v>95</v>
      </c>
      <c r="D117" s="42">
        <f>73.17248509815*Deflactores!$T$5</f>
        <v>113.5582891307795</v>
      </c>
      <c r="E117" s="42">
        <f>88.66551612843*Deflactores!$U$5</f>
        <v>135.42203355215116</v>
      </c>
      <c r="F117" s="42">
        <f>93.4329775578699*Deflactores!$V$5</f>
        <v>135.11034743229914</v>
      </c>
      <c r="G117" s="42">
        <f>162.94144234403*Deflactores!$W$5</f>
        <v>208.29583272141167</v>
      </c>
      <c r="H117" s="42">
        <f>93.51852258297*Deflactores!$X$5</f>
        <v>109.39714190050378</v>
      </c>
      <c r="I117" s="42">
        <f>119.4216127413*Deflactores!$Y$5</f>
        <v>132.79310649239397</v>
      </c>
      <c r="J117" s="42">
        <f>155.02019612622*Deflactores!$Z$5</f>
        <v>164.01136750154075</v>
      </c>
      <c r="K117" s="42">
        <f>23.0065883773799*Deflactores!$AA$5</f>
        <v>23.006588377379899</v>
      </c>
      <c r="L117" s="42"/>
      <c r="M117" s="47">
        <f t="shared" si="42"/>
        <v>90.590116872385934</v>
      </c>
      <c r="N117" s="47">
        <f t="shared" si="43"/>
        <v>85.987332074139758</v>
      </c>
      <c r="O117" s="47">
        <f t="shared" si="44"/>
        <v>88.693121734079</v>
      </c>
      <c r="P117" s="47">
        <f t="shared" si="45"/>
        <v>95.784358009885779</v>
      </c>
      <c r="Q117" s="47">
        <f t="shared" si="46"/>
        <v>49.294312508174862</v>
      </c>
      <c r="R117" s="47">
        <f t="shared" si="47"/>
        <v>93.318337898955448</v>
      </c>
      <c r="S117" s="47">
        <f t="shared" si="48"/>
        <v>95.409739348639874</v>
      </c>
      <c r="T117" s="47">
        <f t="shared" si="49"/>
        <v>17.308050386594299</v>
      </c>
    </row>
    <row r="118" spans="2:20" x14ac:dyDescent="0.2">
      <c r="B118" s="40"/>
      <c r="C118" s="77" t="s">
        <v>96</v>
      </c>
      <c r="D118" s="42">
        <f>7.50318300614*Deflactores!$T$5</f>
        <v>11.644385510065716</v>
      </c>
      <c r="E118" s="42">
        <f>6.84796501064999*Deflactores!$U$5</f>
        <v>10.45914339564586</v>
      </c>
      <c r="F118" s="42">
        <f>7.74970486141*Deflactores!$V$5</f>
        <v>11.20659261527182</v>
      </c>
      <c r="G118" s="42">
        <f>10.74657216953*Deflactores!$W$5</f>
        <v>13.737856783093671</v>
      </c>
      <c r="H118" s="42">
        <f>7.86639170135999*Deflactores!$X$5</f>
        <v>9.2020355479325637</v>
      </c>
      <c r="I118" s="42">
        <f>9.99702953998*Deflactores!$Y$5</f>
        <v>11.116384863985896</v>
      </c>
      <c r="J118" s="42">
        <f>8.948030302*Deflactores!$Z$5</f>
        <v>9.4670160595160002</v>
      </c>
      <c r="K118" s="42">
        <f>2.23541545*Deflactores!$AA$5</f>
        <v>2.2354154500000001</v>
      </c>
      <c r="L118" s="42"/>
      <c r="M118" s="47">
        <f t="shared" si="42"/>
        <v>89.780516897214255</v>
      </c>
      <c r="N118" s="47">
        <f t="shared" si="43"/>
        <v>95.827347157888667</v>
      </c>
      <c r="O118" s="47">
        <f t="shared" si="44"/>
        <v>39.041334314408054</v>
      </c>
      <c r="P118" s="47">
        <f t="shared" si="45"/>
        <v>60.023303002289985</v>
      </c>
      <c r="Q118" s="47">
        <f t="shared" si="46"/>
        <v>70.740073761334642</v>
      </c>
      <c r="R118" s="47">
        <f t="shared" si="47"/>
        <v>84.34098401164772</v>
      </c>
      <c r="S118" s="47">
        <f t="shared" si="48"/>
        <v>83.019208814273554</v>
      </c>
      <c r="T118" s="47">
        <f t="shared" si="49"/>
        <v>11.918401844743016</v>
      </c>
    </row>
    <row r="119" spans="2:20" x14ac:dyDescent="0.2">
      <c r="B119" s="40"/>
      <c r="C119" s="77" t="s">
        <v>97</v>
      </c>
      <c r="D119" s="42">
        <f>75.4329670253399*Deflactores!$T$5</f>
        <v>117.06639002305359</v>
      </c>
      <c r="E119" s="42">
        <f>83.69896228284*Deflactores!$U$5</f>
        <v>127.83643713446565</v>
      </c>
      <c r="F119" s="42">
        <f>96.8181722853699*Deflactores!$V$5</f>
        <v>140.0055658842127</v>
      </c>
      <c r="G119" s="42">
        <f>97.11463795103*Deflactores!$W$5</f>
        <v>124.14628280224841</v>
      </c>
      <c r="H119" s="42">
        <f>88.9109873015*Deflactores!$X$5</f>
        <v>104.00728781516625</v>
      </c>
      <c r="I119" s="42">
        <f>108.12261579003*Deflactores!$Y$5</f>
        <v>120.22897449848453</v>
      </c>
      <c r="J119" s="42">
        <f>130.03314435884*Deflactores!$Z$5</f>
        <v>137.57506673165273</v>
      </c>
      <c r="K119" s="42">
        <f>24.49901499223*Deflactores!$AA$5</f>
        <v>24.499014992229998</v>
      </c>
      <c r="L119" s="42"/>
      <c r="M119" s="47">
        <f t="shared" si="42"/>
        <v>86.24114508187894</v>
      </c>
      <c r="N119" s="47">
        <f t="shared" si="43"/>
        <v>92.645905153598349</v>
      </c>
      <c r="O119" s="47">
        <f t="shared" si="44"/>
        <v>92.128163715376985</v>
      </c>
      <c r="P119" s="47">
        <f t="shared" si="45"/>
        <v>77.329124721264989</v>
      </c>
      <c r="Q119" s="47">
        <f t="shared" si="46"/>
        <v>78.001713634824128</v>
      </c>
      <c r="R119" s="47">
        <f t="shared" si="47"/>
        <v>89.321880856187946</v>
      </c>
      <c r="S119" s="47">
        <f t="shared" si="48"/>
        <v>92.190063870470937</v>
      </c>
      <c r="T119" s="47">
        <f t="shared" si="49"/>
        <v>18.105223422805306</v>
      </c>
    </row>
    <row r="120" spans="2:20" x14ac:dyDescent="0.2">
      <c r="B120" s="34" t="s">
        <v>41</v>
      </c>
      <c r="C120" s="76" t="s">
        <v>42</v>
      </c>
      <c r="D120" s="41">
        <f t="shared" ref="D120:K120" si="50">+D121+D125</f>
        <v>1.9472947881790523</v>
      </c>
      <c r="E120" s="41">
        <f t="shared" si="50"/>
        <v>1.5204274992131628</v>
      </c>
      <c r="F120" s="41">
        <f t="shared" si="50"/>
        <v>1.856750053248956</v>
      </c>
      <c r="G120" s="41">
        <f t="shared" si="50"/>
        <v>21.996903365495818</v>
      </c>
      <c r="H120" s="41">
        <f t="shared" si="50"/>
        <v>61.541498588740659</v>
      </c>
      <c r="I120" s="41">
        <f t="shared" si="50"/>
        <v>0</v>
      </c>
      <c r="J120" s="41">
        <f t="shared" si="50"/>
        <v>0</v>
      </c>
      <c r="K120" s="41">
        <f t="shared" si="50"/>
        <v>0</v>
      </c>
      <c r="L120" s="71"/>
      <c r="M120" s="46">
        <f t="shared" si="42"/>
        <v>95.346504559270514</v>
      </c>
      <c r="N120" s="46">
        <f t="shared" si="43"/>
        <v>85.448650042918473</v>
      </c>
      <c r="O120" s="46">
        <f t="shared" si="44"/>
        <v>99.999999972741435</v>
      </c>
      <c r="P120" s="46">
        <f t="shared" si="45"/>
        <v>99.932132737468109</v>
      </c>
      <c r="Q120" s="46">
        <f t="shared" si="46"/>
        <v>99.998261539034289</v>
      </c>
      <c r="R120" s="46">
        <f t="shared" si="47"/>
        <v>0</v>
      </c>
      <c r="S120" s="46">
        <f t="shared" si="48"/>
        <v>0</v>
      </c>
      <c r="T120" s="46">
        <f t="shared" si="49"/>
        <v>0</v>
      </c>
    </row>
    <row r="121" spans="2:20" ht="11.25" hidden="1" customHeight="1" x14ac:dyDescent="0.2">
      <c r="B121" s="34"/>
      <c r="C121" s="76" t="s">
        <v>43</v>
      </c>
      <c r="D121" s="41">
        <f>+SUM(D122:D124)</f>
        <v>0</v>
      </c>
      <c r="E121" s="41">
        <f>+SUM(E122:E124)</f>
        <v>0</v>
      </c>
      <c r="F121" s="41"/>
      <c r="G121" s="41"/>
      <c r="H121" s="41"/>
      <c r="I121" s="41"/>
      <c r="J121" s="41"/>
      <c r="K121" s="41"/>
      <c r="L121" s="71"/>
      <c r="M121" s="46">
        <f t="shared" si="42"/>
        <v>0</v>
      </c>
      <c r="N121" s="46">
        <f t="shared" si="43"/>
        <v>0</v>
      </c>
      <c r="O121" s="46">
        <f t="shared" si="44"/>
        <v>0</v>
      </c>
      <c r="P121" s="46">
        <f t="shared" si="45"/>
        <v>0</v>
      </c>
      <c r="Q121" s="46">
        <f t="shared" si="46"/>
        <v>0</v>
      </c>
      <c r="R121" s="46">
        <f t="shared" si="47"/>
        <v>0</v>
      </c>
      <c r="S121" s="46">
        <f t="shared" si="48"/>
        <v>0</v>
      </c>
      <c r="T121" s="46">
        <f t="shared" si="49"/>
        <v>0</v>
      </c>
    </row>
    <row r="122" spans="2:20" ht="11.25" hidden="1" customHeight="1" x14ac:dyDescent="0.2">
      <c r="B122" s="34"/>
      <c r="C122" s="86" t="s">
        <v>98</v>
      </c>
      <c r="D122" s="50">
        <f>0*Deflactores!$T$5</f>
        <v>0</v>
      </c>
      <c r="E122" s="50">
        <f>0*Deflactores!$U$5</f>
        <v>0</v>
      </c>
      <c r="F122" s="50"/>
      <c r="G122" s="50"/>
      <c r="H122" s="50"/>
      <c r="I122" s="50"/>
      <c r="J122" s="50"/>
      <c r="K122" s="50"/>
      <c r="L122" s="42"/>
      <c r="M122" s="116">
        <f t="shared" si="42"/>
        <v>0</v>
      </c>
      <c r="N122" s="116">
        <f t="shared" si="43"/>
        <v>0</v>
      </c>
      <c r="O122" s="116">
        <f t="shared" si="44"/>
        <v>0</v>
      </c>
      <c r="P122" s="116">
        <f t="shared" si="45"/>
        <v>0</v>
      </c>
      <c r="Q122" s="116">
        <f t="shared" si="46"/>
        <v>0</v>
      </c>
      <c r="R122" s="116">
        <f t="shared" si="47"/>
        <v>0</v>
      </c>
      <c r="S122" s="116">
        <f t="shared" si="48"/>
        <v>0</v>
      </c>
      <c r="T122" s="116">
        <f t="shared" si="49"/>
        <v>0</v>
      </c>
    </row>
    <row r="123" spans="2:20" ht="11.25" hidden="1" customHeight="1" x14ac:dyDescent="0.2">
      <c r="B123" s="34"/>
      <c r="C123" s="86" t="s">
        <v>61</v>
      </c>
      <c r="D123" s="50">
        <f>0*Deflactores!$T$5</f>
        <v>0</v>
      </c>
      <c r="E123" s="50">
        <f>0*Deflactores!$U$5</f>
        <v>0</v>
      </c>
      <c r="F123" s="50"/>
      <c r="G123" s="50"/>
      <c r="H123" s="50"/>
      <c r="I123" s="50"/>
      <c r="J123" s="50"/>
      <c r="K123" s="50"/>
      <c r="L123" s="42"/>
      <c r="M123" s="116">
        <f t="shared" si="42"/>
        <v>0</v>
      </c>
      <c r="N123" s="116">
        <f t="shared" si="43"/>
        <v>0</v>
      </c>
      <c r="O123" s="116">
        <f t="shared" si="44"/>
        <v>0</v>
      </c>
      <c r="P123" s="116">
        <f t="shared" si="45"/>
        <v>0</v>
      </c>
      <c r="Q123" s="116">
        <f t="shared" si="46"/>
        <v>0</v>
      </c>
      <c r="R123" s="116">
        <f t="shared" si="47"/>
        <v>0</v>
      </c>
      <c r="S123" s="116">
        <f t="shared" si="48"/>
        <v>0</v>
      </c>
      <c r="T123" s="116">
        <f t="shared" si="49"/>
        <v>0</v>
      </c>
    </row>
    <row r="124" spans="2:20" ht="11.25" hidden="1" customHeight="1" x14ac:dyDescent="0.2">
      <c r="B124" s="34"/>
      <c r="C124" s="86" t="s">
        <v>103</v>
      </c>
      <c r="D124" s="50">
        <f>0*Deflactores!$T$5</f>
        <v>0</v>
      </c>
      <c r="E124" s="50">
        <f>0*Deflactores!$U$5</f>
        <v>0</v>
      </c>
      <c r="F124" s="50"/>
      <c r="G124" s="50"/>
      <c r="H124" s="50"/>
      <c r="I124" s="50"/>
      <c r="J124" s="50"/>
      <c r="K124" s="50"/>
      <c r="L124" s="42"/>
      <c r="M124" s="116">
        <f t="shared" si="42"/>
        <v>0</v>
      </c>
      <c r="N124" s="116">
        <f t="shared" si="43"/>
        <v>0</v>
      </c>
      <c r="O124" s="116">
        <f t="shared" si="44"/>
        <v>0</v>
      </c>
      <c r="P124" s="116">
        <f t="shared" si="45"/>
        <v>0</v>
      </c>
      <c r="Q124" s="116">
        <f t="shared" si="46"/>
        <v>0</v>
      </c>
      <c r="R124" s="116">
        <f t="shared" si="47"/>
        <v>0</v>
      </c>
      <c r="S124" s="116">
        <f t="shared" si="48"/>
        <v>0</v>
      </c>
      <c r="T124" s="116">
        <f t="shared" si="49"/>
        <v>0</v>
      </c>
    </row>
    <row r="125" spans="2:20" x14ac:dyDescent="0.2">
      <c r="B125" s="34"/>
      <c r="C125" s="76" t="s">
        <v>44</v>
      </c>
      <c r="D125" s="41">
        <f t="shared" ref="D125:K125" si="51">+SUM(D126:D129)</f>
        <v>1.9472947881790523</v>
      </c>
      <c r="E125" s="41">
        <f t="shared" si="51"/>
        <v>1.5204274992131628</v>
      </c>
      <c r="F125" s="41">
        <f t="shared" si="51"/>
        <v>1.856750053248956</v>
      </c>
      <c r="G125" s="41">
        <f t="shared" si="51"/>
        <v>21.996903365495818</v>
      </c>
      <c r="H125" s="41">
        <f t="shared" si="51"/>
        <v>61.541498588740659</v>
      </c>
      <c r="I125" s="41">
        <f t="shared" si="51"/>
        <v>0</v>
      </c>
      <c r="J125" s="41">
        <f t="shared" si="51"/>
        <v>0</v>
      </c>
      <c r="K125" s="41">
        <f t="shared" si="51"/>
        <v>0</v>
      </c>
      <c r="L125" s="71"/>
      <c r="M125" s="46">
        <f t="shared" si="42"/>
        <v>95.346504559270514</v>
      </c>
      <c r="N125" s="46">
        <f t="shared" si="43"/>
        <v>85.448650042918473</v>
      </c>
      <c r="O125" s="46">
        <f t="shared" si="44"/>
        <v>99.999999972741435</v>
      </c>
      <c r="P125" s="46">
        <f t="shared" si="45"/>
        <v>99.932132737468109</v>
      </c>
      <c r="Q125" s="46">
        <f t="shared" si="46"/>
        <v>99.998261539034289</v>
      </c>
      <c r="R125" s="46">
        <f t="shared" si="47"/>
        <v>0</v>
      </c>
      <c r="S125" s="46">
        <f t="shared" si="48"/>
        <v>0</v>
      </c>
      <c r="T125" s="46">
        <f t="shared" si="49"/>
        <v>0</v>
      </c>
    </row>
    <row r="126" spans="2:20" x14ac:dyDescent="0.2">
      <c r="B126" s="32"/>
      <c r="C126" s="77" t="s">
        <v>98</v>
      </c>
      <c r="D126" s="42">
        <f>1.207*Deflactores!$T$5</f>
        <v>1.8731747978355353</v>
      </c>
      <c r="E126" s="42">
        <f>0.929799059*Deflactores!$U$5</f>
        <v>1.4201155631042754</v>
      </c>
      <c r="F126" s="42">
        <f>1.28399999965*Deflactores!$V$5</f>
        <v>1.856750053248956</v>
      </c>
      <c r="G126" s="42">
        <f>1.39735526252999*Deflactores!$W$5</f>
        <v>1.7863060117130192</v>
      </c>
      <c r="H126" s="42">
        <f>0*Deflactores!$X$5</f>
        <v>0</v>
      </c>
      <c r="I126" s="42">
        <f>0*Deflactores!$Y$5</f>
        <v>0</v>
      </c>
      <c r="J126" s="42">
        <f>0*Deflactores!$Z$5</f>
        <v>0</v>
      </c>
      <c r="K126" s="42">
        <f>0*Deflactores!$AA$5</f>
        <v>0</v>
      </c>
      <c r="L126" s="42"/>
      <c r="M126" s="47">
        <f t="shared" si="42"/>
        <v>100</v>
      </c>
      <c r="N126" s="47">
        <f t="shared" si="43"/>
        <v>84.604100000000003</v>
      </c>
      <c r="O126" s="47">
        <f t="shared" si="44"/>
        <v>99.999999972741435</v>
      </c>
      <c r="P126" s="47">
        <f t="shared" si="45"/>
        <v>99.173545956706178</v>
      </c>
      <c r="Q126" s="47">
        <f t="shared" si="46"/>
        <v>0</v>
      </c>
      <c r="R126" s="47">
        <f t="shared" si="47"/>
        <v>0</v>
      </c>
      <c r="S126" s="47">
        <f t="shared" si="48"/>
        <v>0</v>
      </c>
      <c r="T126" s="47">
        <f t="shared" si="49"/>
        <v>0</v>
      </c>
    </row>
    <row r="127" spans="2:20" ht="11.25" hidden="1" customHeight="1" x14ac:dyDescent="0.2">
      <c r="B127" s="32"/>
      <c r="C127" s="77" t="s">
        <v>61</v>
      </c>
      <c r="D127" s="42">
        <f>0.04776*Deflactores!$T$5</f>
        <v>7.4119990343517114E-2</v>
      </c>
      <c r="E127" s="42">
        <f>0.065677714*Deflactores!$U$5</f>
        <v>0.10031193610888731</v>
      </c>
      <c r="F127" s="42">
        <f>0*Deflactores!$V$5</f>
        <v>0</v>
      </c>
      <c r="G127" s="42">
        <f>0*Deflactores!$W$5</f>
        <v>0</v>
      </c>
      <c r="H127" s="42">
        <f>0*Deflactores!$X$5</f>
        <v>0</v>
      </c>
      <c r="I127" s="42">
        <f>0*Deflactores!$Y$5</f>
        <v>0</v>
      </c>
      <c r="J127" s="42">
        <f>0*Deflactores!$Z$5</f>
        <v>0</v>
      </c>
      <c r="K127" s="42">
        <f>0*Deflactores!$AA$5</f>
        <v>0</v>
      </c>
      <c r="L127" s="42"/>
      <c r="M127" s="47">
        <f t="shared" si="42"/>
        <v>43.816513761467888</v>
      </c>
      <c r="N127" s="47">
        <f t="shared" si="43"/>
        <v>99.511687878787868</v>
      </c>
      <c r="O127" s="47">
        <f t="shared" si="44"/>
        <v>0</v>
      </c>
      <c r="P127" s="47">
        <f t="shared" si="45"/>
        <v>0</v>
      </c>
      <c r="Q127" s="47">
        <f t="shared" si="46"/>
        <v>0</v>
      </c>
      <c r="R127" s="47">
        <f t="shared" si="47"/>
        <v>0</v>
      </c>
      <c r="S127" s="47">
        <f t="shared" si="48"/>
        <v>0</v>
      </c>
      <c r="T127" s="47">
        <f t="shared" si="49"/>
        <v>0</v>
      </c>
    </row>
    <row r="128" spans="2:20" ht="11.25" hidden="1" customHeight="1" x14ac:dyDescent="0.2">
      <c r="B128" s="32"/>
      <c r="C128" s="77" t="s">
        <v>103</v>
      </c>
      <c r="D128" s="42">
        <f>0*Deflactores!$T$5</f>
        <v>0</v>
      </c>
      <c r="E128" s="42">
        <f>0*Deflactores!$U$5</f>
        <v>0</v>
      </c>
      <c r="F128" s="42">
        <f>0*Deflactores!$V$5</f>
        <v>0</v>
      </c>
      <c r="G128" s="42">
        <f>0*Deflactores!$W$5</f>
        <v>0</v>
      </c>
      <c r="H128" s="42">
        <f>0*Deflactores!$X$5</f>
        <v>0</v>
      </c>
      <c r="I128" s="42">
        <f>0*Deflactores!$Y$5</f>
        <v>0</v>
      </c>
      <c r="J128" s="42">
        <f>0*Deflactores!$Z$5</f>
        <v>0</v>
      </c>
      <c r="K128" s="42">
        <f>0*Deflactores!$AA$5</f>
        <v>0</v>
      </c>
      <c r="L128" s="42"/>
      <c r="M128" s="47">
        <f t="shared" si="42"/>
        <v>0</v>
      </c>
      <c r="N128" s="47">
        <f t="shared" si="43"/>
        <v>0</v>
      </c>
      <c r="O128" s="47">
        <f t="shared" si="44"/>
        <v>0</v>
      </c>
      <c r="P128" s="47">
        <f t="shared" si="45"/>
        <v>0</v>
      </c>
      <c r="Q128" s="47">
        <f t="shared" si="46"/>
        <v>0</v>
      </c>
      <c r="R128" s="47">
        <f t="shared" si="47"/>
        <v>0</v>
      </c>
      <c r="S128" s="47">
        <f t="shared" si="48"/>
        <v>0</v>
      </c>
      <c r="T128" s="47">
        <f t="shared" si="49"/>
        <v>0</v>
      </c>
    </row>
    <row r="129" spans="2:20" x14ac:dyDescent="0.2">
      <c r="B129" s="32"/>
      <c r="C129" s="77" t="s">
        <v>104</v>
      </c>
      <c r="D129" s="42">
        <f>0*Deflactores!$T$5</f>
        <v>0</v>
      </c>
      <c r="E129" s="42">
        <f>0*Deflactores!$U$5</f>
        <v>0</v>
      </c>
      <c r="F129" s="42">
        <f>0*Deflactores!$V$5</f>
        <v>0</v>
      </c>
      <c r="G129" s="42">
        <f>15.80993647561*Deflactores!$W$5</f>
        <v>20.210597353782799</v>
      </c>
      <c r="H129" s="42">
        <f>52.60896149184*Deflactores!$X$5</f>
        <v>61.541498588740659</v>
      </c>
      <c r="I129" s="42">
        <f>0*Deflactores!$Y$5</f>
        <v>0</v>
      </c>
      <c r="J129" s="42">
        <f>0*Deflactores!$Z$5</f>
        <v>0</v>
      </c>
      <c r="K129" s="42">
        <f>0*Deflactores!$AA$5</f>
        <v>0</v>
      </c>
      <c r="L129" s="42"/>
      <c r="M129" s="47">
        <f t="shared" si="42"/>
        <v>0</v>
      </c>
      <c r="N129" s="47">
        <f t="shared" si="43"/>
        <v>0</v>
      </c>
      <c r="O129" s="47">
        <f t="shared" si="44"/>
        <v>0</v>
      </c>
      <c r="P129" s="47">
        <f t="shared" si="45"/>
        <v>99.999738700518378</v>
      </c>
      <c r="Q129" s="47">
        <f t="shared" si="46"/>
        <v>99.998261539034289</v>
      </c>
      <c r="R129" s="47">
        <f t="shared" si="47"/>
        <v>0</v>
      </c>
      <c r="S129" s="47">
        <f t="shared" si="48"/>
        <v>0</v>
      </c>
      <c r="T129" s="47">
        <f t="shared" si="49"/>
        <v>0</v>
      </c>
    </row>
    <row r="130" spans="2:20" x14ac:dyDescent="0.2">
      <c r="B130" s="34" t="s">
        <v>45</v>
      </c>
      <c r="C130" s="76" t="s">
        <v>46</v>
      </c>
      <c r="D130" s="41">
        <f>6532.93259677042*Deflactores!$T$5</f>
        <v>10138.628580139693</v>
      </c>
      <c r="E130" s="41">
        <f>6233.86656176937*Deflactores!$U$5</f>
        <v>9521.2087353639927</v>
      </c>
      <c r="F130" s="41">
        <f>7315.66648140949*Deflactores!$V$5</f>
        <v>10578.944028513477</v>
      </c>
      <c r="G130" s="41">
        <f>7321.85827349704*Deflactores!$W$5</f>
        <v>9359.8813426859415</v>
      </c>
      <c r="H130" s="41">
        <f>7908.28377368452*Deflactores!$X$5</f>
        <v>9251.0405242090746</v>
      </c>
      <c r="I130" s="41">
        <f>9391.88622206542*Deflactores!$Y$5</f>
        <v>10443.484379606482</v>
      </c>
      <c r="J130" s="41">
        <f>10207.098206267*Deflactores!$Z$5</f>
        <v>10799.109902230486</v>
      </c>
      <c r="K130" s="41">
        <f>2128.70802224655*Deflactores!$AA$5</f>
        <v>2128.7080222465502</v>
      </c>
      <c r="L130" s="71"/>
      <c r="M130" s="46">
        <f t="shared" si="42"/>
        <v>78.439667575319731</v>
      </c>
      <c r="N130" s="46">
        <f t="shared" si="43"/>
        <v>76.668356887291438</v>
      </c>
      <c r="O130" s="46">
        <f t="shared" si="44"/>
        <v>71.76240832464687</v>
      </c>
      <c r="P130" s="46">
        <f t="shared" si="45"/>
        <v>70.46326373711976</v>
      </c>
      <c r="Q130" s="46">
        <f t="shared" si="46"/>
        <v>69.465760459980629</v>
      </c>
      <c r="R130" s="46">
        <f t="shared" si="47"/>
        <v>69.483462416545024</v>
      </c>
      <c r="S130" s="46">
        <f t="shared" si="48"/>
        <v>74.051513909114689</v>
      </c>
      <c r="T130" s="46">
        <f t="shared" si="49"/>
        <v>13.30283836219634</v>
      </c>
    </row>
    <row r="131" spans="2:20" x14ac:dyDescent="0.2">
      <c r="B131" s="36" t="s">
        <v>47</v>
      </c>
      <c r="C131" s="78" t="s">
        <v>48</v>
      </c>
      <c r="D131" s="43">
        <f t="shared" ref="D131:K131" si="52">+D112+D130</f>
        <v>19056.834402165263</v>
      </c>
      <c r="E131" s="43">
        <f t="shared" si="52"/>
        <v>18529.75950614567</v>
      </c>
      <c r="F131" s="43">
        <f t="shared" si="52"/>
        <v>20010.109996377789</v>
      </c>
      <c r="G131" s="43">
        <f t="shared" si="52"/>
        <v>18632.578777369425</v>
      </c>
      <c r="H131" s="43">
        <f t="shared" si="52"/>
        <v>19410.016433547811</v>
      </c>
      <c r="I131" s="43">
        <f t="shared" si="52"/>
        <v>23454.219931976746</v>
      </c>
      <c r="J131" s="43">
        <f t="shared" si="52"/>
        <v>22972.27441779965</v>
      </c>
      <c r="K131" s="43">
        <f t="shared" si="52"/>
        <v>6121.570200681399</v>
      </c>
      <c r="L131" s="71"/>
      <c r="M131" s="48">
        <f t="shared" si="42"/>
        <v>82.670341438140184</v>
      </c>
      <c r="N131" s="48">
        <f t="shared" si="43"/>
        <v>81.933639218844206</v>
      </c>
      <c r="O131" s="48">
        <f t="shared" si="44"/>
        <v>73.857828302628931</v>
      </c>
      <c r="P131" s="48">
        <f t="shared" si="45"/>
        <v>77.202410482155841</v>
      </c>
      <c r="Q131" s="48">
        <f t="shared" si="46"/>
        <v>76.3731830412774</v>
      </c>
      <c r="R131" s="48">
        <f t="shared" si="47"/>
        <v>78.164652669208252</v>
      </c>
      <c r="S131" s="48">
        <f t="shared" si="48"/>
        <v>82.472104705990375</v>
      </c>
      <c r="T131" s="48">
        <f t="shared" si="49"/>
        <v>20.640929965161547</v>
      </c>
    </row>
    <row r="132" spans="2:20" x14ac:dyDescent="0.2">
      <c r="B132" s="38" t="s">
        <v>49</v>
      </c>
      <c r="C132" s="79" t="s">
        <v>63</v>
      </c>
      <c r="D132" s="44">
        <f t="shared" ref="D132:K132" si="53">+D112+D120+D130</f>
        <v>19058.78169695344</v>
      </c>
      <c r="E132" s="44">
        <f t="shared" si="53"/>
        <v>18531.279933644884</v>
      </c>
      <c r="F132" s="44">
        <f t="shared" si="53"/>
        <v>20011.966746431037</v>
      </c>
      <c r="G132" s="44">
        <f t="shared" si="53"/>
        <v>18654.575680734924</v>
      </c>
      <c r="H132" s="44">
        <f t="shared" si="53"/>
        <v>19471.557932136551</v>
      </c>
      <c r="I132" s="44">
        <f t="shared" si="53"/>
        <v>23454.219931976746</v>
      </c>
      <c r="J132" s="44">
        <f t="shared" si="53"/>
        <v>22972.27441779965</v>
      </c>
      <c r="K132" s="44">
        <f t="shared" si="53"/>
        <v>6121.570200681399</v>
      </c>
      <c r="L132" s="71"/>
      <c r="M132" s="45">
        <f t="shared" si="42"/>
        <v>82.671464426460886</v>
      </c>
      <c r="N132" s="45">
        <f t="shared" si="43"/>
        <v>81.933915750892851</v>
      </c>
      <c r="O132" s="45">
        <f t="shared" si="44"/>
        <v>73.859619784437456</v>
      </c>
      <c r="P132" s="45">
        <f t="shared" si="45"/>
        <v>77.223122027323711</v>
      </c>
      <c r="Q132" s="45">
        <f t="shared" si="46"/>
        <v>76.430253777925444</v>
      </c>
      <c r="R132" s="45">
        <f t="shared" si="47"/>
        <v>78.164652669208252</v>
      </c>
      <c r="S132" s="45">
        <f t="shared" si="48"/>
        <v>82.472104705990375</v>
      </c>
      <c r="T132" s="45">
        <f t="shared" si="49"/>
        <v>20.640929965161547</v>
      </c>
    </row>
    <row r="133" spans="2:20" s="5" customFormat="1" x14ac:dyDescent="0.2">
      <c r="B133" s="72" t="str">
        <f>+'C1 Aprop Resumen 2000-2026'!B20</f>
        <v>* Información con corte a 30 de abril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95">
    <mergeCell ref="A5:C6"/>
    <mergeCell ref="M76:T76"/>
    <mergeCell ref="O6:O7"/>
    <mergeCell ref="I110:I111"/>
    <mergeCell ref="Q45:Q46"/>
    <mergeCell ref="S45:S46"/>
    <mergeCell ref="S110:S111"/>
    <mergeCell ref="D9:T9"/>
    <mergeCell ref="C110:C111"/>
    <mergeCell ref="E110:E111"/>
    <mergeCell ref="E45:E46"/>
    <mergeCell ref="F77:F78"/>
    <mergeCell ref="G45:G46"/>
    <mergeCell ref="G110:G111"/>
    <mergeCell ref="I12:I13"/>
    <mergeCell ref="K12:K13"/>
    <mergeCell ref="M6:M7"/>
    <mergeCell ref="D2:T2"/>
    <mergeCell ref="E6:E7"/>
    <mergeCell ref="T6:T7"/>
    <mergeCell ref="T77:T78"/>
    <mergeCell ref="D4:K4"/>
    <mergeCell ref="P45:P46"/>
    <mergeCell ref="M4:T4"/>
    <mergeCell ref="J110:J111"/>
    <mergeCell ref="C77:C78"/>
    <mergeCell ref="D110:D111"/>
    <mergeCell ref="D6:D7"/>
    <mergeCell ref="N45:N46"/>
    <mergeCell ref="N110:N111"/>
    <mergeCell ref="F6:F7"/>
    <mergeCell ref="C45:C46"/>
    <mergeCell ref="D77:D78"/>
    <mergeCell ref="D12:D13"/>
    <mergeCell ref="G77:G78"/>
    <mergeCell ref="M109:T109"/>
    <mergeCell ref="H45:H46"/>
    <mergeCell ref="K77:K78"/>
    <mergeCell ref="J45:J46"/>
    <mergeCell ref="D107:T107"/>
    <mergeCell ref="P110:P111"/>
    <mergeCell ref="F12:F13"/>
    <mergeCell ref="H6:H7"/>
    <mergeCell ref="S77:S78"/>
    <mergeCell ref="J6:J7"/>
    <mergeCell ref="I45:I46"/>
    <mergeCell ref="J77:J78"/>
    <mergeCell ref="O45:O46"/>
    <mergeCell ref="R45:R46"/>
    <mergeCell ref="H12:H13"/>
    <mergeCell ref="J12:J13"/>
    <mergeCell ref="L6:L7"/>
    <mergeCell ref="N6:N7"/>
    <mergeCell ref="O77:O78"/>
    <mergeCell ref="D42:T42"/>
    <mergeCell ref="Q77:Q78"/>
    <mergeCell ref="O110:O111"/>
    <mergeCell ref="Q110:Q111"/>
    <mergeCell ref="D74:T74"/>
    <mergeCell ref="E12:E13"/>
    <mergeCell ref="G12:G13"/>
    <mergeCell ref="F110:F111"/>
    <mergeCell ref="H110:H111"/>
    <mergeCell ref="R110:R111"/>
    <mergeCell ref="T110:T111"/>
    <mergeCell ref="I77:I78"/>
    <mergeCell ref="T45:T46"/>
    <mergeCell ref="D44:K44"/>
    <mergeCell ref="M44:T44"/>
    <mergeCell ref="K45:K46"/>
    <mergeCell ref="K110:K111"/>
    <mergeCell ref="M110:M111"/>
    <mergeCell ref="D109:J109"/>
    <mergeCell ref="M45:M46"/>
    <mergeCell ref="R77:R78"/>
    <mergeCell ref="D76:K76"/>
    <mergeCell ref="M77:M78"/>
    <mergeCell ref="E77:E78"/>
    <mergeCell ref="H77:H78"/>
    <mergeCell ref="B12:B13"/>
    <mergeCell ref="N77:N78"/>
    <mergeCell ref="P6:P7"/>
    <mergeCell ref="P77:P78"/>
    <mergeCell ref="R6:R7"/>
    <mergeCell ref="D45:D46"/>
    <mergeCell ref="F45:F46"/>
    <mergeCell ref="M11:T11"/>
    <mergeCell ref="I6:I7"/>
    <mergeCell ref="K6:K7"/>
    <mergeCell ref="A7:C7"/>
    <mergeCell ref="C12:C13"/>
    <mergeCell ref="D11:K11"/>
    <mergeCell ref="G6:G7"/>
    <mergeCell ref="Q6:Q7"/>
    <mergeCell ref="S6:S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2026-05-12T19:14:43Z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