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0\Ejecución mensual\Febrero\"/>
    </mc:Choice>
  </mc:AlternateContent>
  <bookViews>
    <workbookView xWindow="0" yWindow="0" windowWidth="28800" windowHeight="11700"/>
  </bookViews>
  <sheets>
    <sheet name="CUA10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C19" i="1"/>
  <c r="C10" i="1"/>
  <c r="D18" i="1"/>
  <c r="D12" i="1"/>
  <c r="C18" i="1"/>
  <c r="C12" i="1"/>
  <c r="D14" i="1"/>
  <c r="C14" i="1"/>
  <c r="D19" i="1"/>
  <c r="D13" i="1"/>
  <c r="D10" i="1"/>
  <c r="C13" i="1"/>
  <c r="D15" i="1"/>
  <c r="D9" i="1"/>
  <c r="C15" i="1"/>
  <c r="C9" i="1"/>
  <c r="D11" i="1"/>
  <c r="C11" i="1"/>
  <c r="E11" i="1" l="1"/>
  <c r="F11" i="1"/>
  <c r="F9" i="1"/>
  <c r="C8" i="1"/>
  <c r="E9" i="1"/>
  <c r="E8" i="1" s="1"/>
  <c r="F15" i="1"/>
  <c r="E15" i="1"/>
  <c r="D8" i="1"/>
  <c r="F13" i="1"/>
  <c r="E13" i="1"/>
  <c r="F14" i="1"/>
  <c r="E14" i="1"/>
  <c r="E12" i="1"/>
  <c r="F12" i="1"/>
  <c r="F18" i="1"/>
  <c r="E18" i="1"/>
  <c r="C17" i="1"/>
  <c r="D17" i="1"/>
  <c r="D16" i="1" s="1"/>
  <c r="F10" i="1"/>
  <c r="E10" i="1"/>
  <c r="F19" i="1"/>
  <c r="E19" i="1"/>
  <c r="E17" i="1" l="1"/>
  <c r="C16" i="1"/>
  <c r="F17" i="1"/>
  <c r="F8" i="1"/>
  <c r="C21" i="1"/>
  <c r="C20" i="1"/>
  <c r="E21" i="1"/>
  <c r="E20" i="1"/>
  <c r="D21" i="1"/>
  <c r="D20" i="1"/>
  <c r="F16" i="1" l="1"/>
  <c r="F20" i="1" s="1"/>
  <c r="F21" i="1" s="1"/>
  <c r="E16" i="1"/>
</calcChain>
</file>

<file path=xl/sharedStrings.xml><?xml version="1.0" encoding="utf-8"?>
<sst xmlns="http://schemas.openxmlformats.org/spreadsheetml/2006/main" count="33" uniqueCount="32">
  <si>
    <t>Cuadro No. 10</t>
  </si>
  <si>
    <t>Rezago presupuestal del los Estapúblicos del Orden Nacional de 2019 ejecutado en 2020</t>
  </si>
  <si>
    <t>Miles de millones de pesos corrientes</t>
  </si>
  <si>
    <t>Concepto</t>
  </si>
  <si>
    <t>Rezago</t>
  </si>
  <si>
    <t>Pago</t>
  </si>
  <si>
    <t>Cuentas Sin Pagar</t>
  </si>
  <si>
    <t>Ejecución %</t>
  </si>
  <si>
    <t>Pago/Rezago</t>
  </si>
  <si>
    <t>(1)</t>
  </si>
  <si>
    <t>(2)</t>
  </si>
  <si>
    <t>(3)=(1-2)</t>
  </si>
  <si>
    <t>(4)=(2/1)</t>
  </si>
  <si>
    <t>I.</t>
  </si>
  <si>
    <t>FUNCIONAMIENTO</t>
  </si>
  <si>
    <t>Gastos de Personal</t>
  </si>
  <si>
    <t>Adquisiciones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</si>
  <si>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</si>
  <si>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</si>
  <si>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</si>
  <si>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</si>
  <si>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</si>
  <si>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</si>
  <si>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</si>
  <si>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Interna</t>
  </si>
  <si>
    <t>Intereses</t>
  </si>
  <si>
    <t>INVERSION</t>
  </si>
  <si>
    <t>III.</t>
  </si>
  <si>
    <t>TOTAL (I + II + III)</t>
  </si>
  <si>
    <t>IV.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</si>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</sst>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(* #,##0.00_);_(* \(#,##0.00\);_(* &quot;-&quot;??_);_(@_)"/>
    <numFmt numFmtId="166" formatCode="_-* #,##0.0_-;\-* #,##0.0_-;_-* &quot;-&quot;_-;_-@_-"/>
    <numFmt numFmtId="167" formatCode="_(* #,##0_);_(* \(#,##0\);_(* &quot;-&quot;??_);_(@_)"/>
    <numFmt numFmtId="168" formatCode="[$-240A]d&quot; de &quot;mmmm&quot; de &quot;yyyy;@"/>
    <numFmt numFmtId="169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7" fillId="0" borderId="0"/>
  </cellStyleXfs>
  <cellXfs count="3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/>
    </xf>
    <xf numFmtId="0" fontId="3" fillId="0" borderId="0" xfId="0" applyFont="1"/>
    <xf numFmtId="164" fontId="2" fillId="0" borderId="0" xfId="1" applyNumberFormat="1" applyFont="1" applyFill="1" applyBorder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"/>
    </xf>
    <xf numFmtId="164" fontId="5" fillId="2" borderId="0" xfId="1" applyNumberFormat="1" applyFont="1" applyFill="1" applyBorder="1"/>
    <xf numFmtId="164" fontId="6" fillId="2" borderId="0" xfId="1" applyNumberFormat="1" applyFont="1" applyFill="1" applyBorder="1" applyAlignment="1" applyProtection="1">
      <alignment horizontal="left" vertical="center"/>
    </xf>
    <xf numFmtId="164" fontId="6" fillId="2" borderId="0" xfId="1" applyNumberFormat="1" applyFont="1" applyFill="1" applyBorder="1" applyAlignment="1" applyProtection="1">
      <alignment horizontal="center" vertical="top" wrapText="1"/>
    </xf>
    <xf numFmtId="164" fontId="6" fillId="2" borderId="0" xfId="1" applyNumberFormat="1" applyFont="1" applyFill="1" applyBorder="1" applyAlignment="1" applyProtection="1">
      <alignment horizontal="center" vertical="top"/>
    </xf>
    <xf numFmtId="164" fontId="6" fillId="2" borderId="0" xfId="1" applyNumberFormat="1" applyFont="1" applyFill="1" applyBorder="1" applyAlignment="1" applyProtection="1">
      <alignment horizontal="center"/>
    </xf>
    <xf numFmtId="164" fontId="6" fillId="2" borderId="0" xfId="1" quotePrefix="1" applyNumberFormat="1" applyFont="1" applyFill="1" applyBorder="1" applyAlignment="1" applyProtection="1">
      <alignment horizontal="center"/>
    </xf>
    <xf numFmtId="164" fontId="6" fillId="2" borderId="0" xfId="1" quotePrefix="1" applyNumberFormat="1" applyFont="1" applyFill="1" applyBorder="1" applyAlignment="1">
      <alignment horizontal="center"/>
    </xf>
    <xf numFmtId="164" fontId="2" fillId="3" borderId="0" xfId="1" applyNumberFormat="1" applyFont="1" applyFill="1" applyBorder="1"/>
    <xf numFmtId="41" fontId="2" fillId="3" borderId="0" xfId="2" applyFont="1" applyFill="1" applyBorder="1"/>
    <xf numFmtId="164" fontId="4" fillId="0" borderId="0" xfId="1" applyNumberFormat="1" applyFont="1" applyFill="1" applyBorder="1"/>
    <xf numFmtId="164" fontId="4" fillId="0" borderId="0" xfId="3" applyNumberFormat="1" applyFont="1" applyFill="1" applyBorder="1"/>
    <xf numFmtId="41" fontId="4" fillId="0" borderId="0" xfId="2" applyFont="1" applyFill="1" applyBorder="1"/>
    <xf numFmtId="41" fontId="4" fillId="0" borderId="0" xfId="2" applyFont="1" applyFill="1" applyBorder="1" applyAlignment="1">
      <alignment horizontal="right"/>
    </xf>
    <xf numFmtId="166" fontId="4" fillId="0" borderId="0" xfId="2" applyNumberFormat="1" applyFont="1" applyFill="1" applyBorder="1"/>
    <xf numFmtId="166" fontId="4" fillId="0" borderId="0" xfId="2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vertical="center" wrapText="1"/>
    </xf>
    <xf numFmtId="166" fontId="4" fillId="0" borderId="0" xfId="2" applyNumberFormat="1" applyFont="1" applyFill="1" applyBorder="1" applyAlignment="1">
      <alignment vertical="top"/>
    </xf>
    <xf numFmtId="164" fontId="4" fillId="0" borderId="0" xfId="1" applyNumberFormat="1" applyFont="1" applyFill="1" applyBorder="1" applyAlignment="1">
      <alignment vertical="top"/>
    </xf>
    <xf numFmtId="41" fontId="2" fillId="3" borderId="0" xfId="2" applyFont="1" applyFill="1" applyBorder="1" applyAlignment="1"/>
    <xf numFmtId="164" fontId="2" fillId="0" borderId="0" xfId="3" applyNumberFormat="1" applyFont="1" applyFill="1" applyBorder="1"/>
    <xf numFmtId="41" fontId="2" fillId="0" borderId="0" xfId="2" applyFont="1" applyFill="1" applyBorder="1"/>
    <xf numFmtId="164" fontId="4" fillId="0" borderId="0" xfId="3" applyNumberFormat="1" applyFont="1" applyFill="1" applyBorder="1" applyAlignment="1">
      <alignment horizontal="left" indent="1"/>
    </xf>
    <xf numFmtId="167" fontId="3" fillId="0" borderId="0" xfId="0" applyNumberFormat="1" applyFont="1"/>
    <xf numFmtId="164" fontId="6" fillId="2" borderId="1" xfId="1" applyNumberFormat="1" applyFont="1" applyFill="1" applyBorder="1"/>
    <xf numFmtId="41" fontId="6" fillId="2" borderId="1" xfId="2" applyFont="1" applyFill="1" applyBorder="1"/>
    <xf numFmtId="167" fontId="6" fillId="2" borderId="1" xfId="1" applyNumberFormat="1" applyFont="1" applyFill="1" applyBorder="1"/>
    <xf numFmtId="164" fontId="6" fillId="2" borderId="0" xfId="1" applyNumberFormat="1" applyFont="1" applyFill="1" applyBorder="1"/>
    <xf numFmtId="41" fontId="6" fillId="2" borderId="0" xfId="2" applyFont="1" applyFill="1" applyBorder="1"/>
    <xf numFmtId="167" fontId="6" fillId="2" borderId="0" xfId="1" applyNumberFormat="1" applyFont="1" applyFill="1" applyBorder="1"/>
    <xf numFmtId="168" fontId="4" fillId="0" borderId="0" xfId="4" applyNumberFormat="1" applyFont="1" applyFill="1" applyBorder="1" applyAlignment="1" applyProtection="1">
      <alignment horizontal="left" shrinkToFit="1"/>
    </xf>
    <xf numFmtId="169" fontId="3" fillId="0" borderId="0" xfId="1" applyNumberFormat="1" applyFont="1"/>
    <xf numFmtId="41" fontId="3" fillId="0" borderId="0" xfId="0" applyNumberFormat="1" applyFont="1"/>
  </cellXfs>
  <cellStyles count="5">
    <cellStyle name="Millares" xfId="1" builtinId="3"/>
    <cellStyle name="Millares [0]" xfId="2" builtinId="6"/>
    <cellStyle name="Millares 2 4 2" xfId="3"/>
    <cellStyle name="Millares_CIFRAS PAGINA WEB 1995 - 200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FEBRE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>
        <row r="3">
          <cell r="A3" t="str">
            <v>Acumulada a febrero de 2020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9">
          <cell r="A9" t="str">
            <v>Etiquetas de fila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</sheetPr>
  <dimension ref="A1:O26"/>
  <sheetViews>
    <sheetView showGridLines="0" tabSelected="1" workbookViewId="0">
      <selection activeCell="A25" sqref="A25:XFD1048576"/>
    </sheetView>
  </sheetViews>
  <sheetFormatPr baseColWidth="10" defaultColWidth="0" defaultRowHeight="11.25" customHeight="1" zeroHeight="1" x14ac:dyDescent="0.2"/>
  <cols>
    <col min="1" max="1" width="3.28515625" style="2" customWidth="1"/>
    <col min="2" max="2" width="36.5703125" style="2" customWidth="1"/>
    <col min="3" max="3" width="9.140625" style="2" customWidth="1"/>
    <col min="4" max="4" width="7.28515625" style="2" customWidth="1"/>
    <col min="5" max="5" width="12.28515625" style="2" customWidth="1"/>
    <col min="6" max="6" width="10.85546875" style="2" customWidth="1"/>
    <col min="7" max="7" width="11.42578125" style="2" customWidth="1"/>
    <col min="8" max="15" width="11.42578125" style="2" hidden="1" customWidth="1"/>
    <col min="16" max="16384" width="0" style="2" hidden="1"/>
  </cols>
  <sheetData>
    <row r="1" spans="1:6" ht="11.25" customHeight="1" x14ac:dyDescent="0.2">
      <c r="A1" s="1" t="s">
        <v>0</v>
      </c>
      <c r="B1" s="1"/>
      <c r="C1" s="1"/>
      <c r="D1" s="1"/>
      <c r="E1" s="1"/>
      <c r="F1" s="1"/>
    </row>
    <row r="2" spans="1:6" ht="15.75" customHeight="1" x14ac:dyDescent="0.2">
      <c r="A2" s="3" t="s">
        <v>1</v>
      </c>
      <c r="B2" s="3"/>
      <c r="C2" s="3"/>
      <c r="D2" s="3"/>
      <c r="E2" s="3"/>
      <c r="F2" s="3"/>
    </row>
    <row r="3" spans="1:6" ht="11.25" customHeight="1" x14ac:dyDescent="0.2">
      <c r="A3" s="1" t="str">
        <f>+[1]CUA1!A3:L3</f>
        <v>Acumulada a febrero de 2020</v>
      </c>
      <c r="B3" s="1"/>
      <c r="C3" s="1"/>
      <c r="D3" s="1"/>
      <c r="E3" s="1"/>
      <c r="F3" s="1"/>
    </row>
    <row r="4" spans="1:6" ht="11.25" customHeight="1" x14ac:dyDescent="0.2">
      <c r="A4" s="4" t="s">
        <v>2</v>
      </c>
      <c r="B4" s="4"/>
      <c r="C4" s="4"/>
      <c r="D4" s="4"/>
      <c r="E4" s="4"/>
      <c r="F4" s="4"/>
    </row>
    <row r="5" spans="1:6" ht="11.25" customHeight="1" x14ac:dyDescent="0.2">
      <c r="A5" s="5"/>
      <c r="B5" s="6" t="s">
        <v>3</v>
      </c>
      <c r="C5" s="7" t="s">
        <v>4</v>
      </c>
      <c r="D5" s="8" t="s">
        <v>5</v>
      </c>
      <c r="E5" s="7" t="s">
        <v>6</v>
      </c>
      <c r="F5" s="9" t="s">
        <v>7</v>
      </c>
    </row>
    <row r="6" spans="1:6" ht="11.25" customHeight="1" x14ac:dyDescent="0.2">
      <c r="A6" s="5"/>
      <c r="B6" s="6"/>
      <c r="C6" s="7"/>
      <c r="D6" s="8"/>
      <c r="E6" s="7"/>
      <c r="F6" s="9" t="s">
        <v>8</v>
      </c>
    </row>
    <row r="7" spans="1:6" ht="11.25" customHeight="1" x14ac:dyDescent="0.2">
      <c r="A7" s="5"/>
      <c r="B7" s="9"/>
      <c r="C7" s="10" t="s">
        <v>9</v>
      </c>
      <c r="D7" s="10" t="s">
        <v>10</v>
      </c>
      <c r="E7" s="10" t="s">
        <v>11</v>
      </c>
      <c r="F7" s="11" t="s">
        <v>12</v>
      </c>
    </row>
    <row r="8" spans="1:6" ht="11.25" customHeight="1" x14ac:dyDescent="0.2">
      <c r="A8" s="12" t="s">
        <v>13</v>
      </c>
      <c r="B8" s="12" t="s">
        <v>14</v>
      </c>
      <c r="C8" s="13">
        <f>SUM(C9:C15)</f>
        <v>349.75255214421003</v>
      </c>
      <c r="D8" s="13">
        <f>SUM(D9:D15)</f>
        <v>254.40439262530001</v>
      </c>
      <c r="E8" s="13">
        <f>SUM(E9:E15)</f>
        <v>95.348159518910023</v>
      </c>
      <c r="F8" s="12">
        <f>IFERROR(IF(C8&gt;0,+(D8/C8)*100,0),0)</f>
        <v>72.738394921105225</v>
      </c>
    </row>
    <row r="9" spans="1:6" ht="11.25" customHeight="1" x14ac:dyDescent="0.2">
      <c r="A9" s="14"/>
      <c r="B9" s="15" t="s">
        <v>15</v>
      </c>
      <c r="C9" s="16">
        <f>+GETPIVOTDATA("Suma de Apropiación vigencias",'[1]CUA10.TD'!$A$9,"Tipo","1Funcionamiento","Cuentas","A-Gastos de Personal")/1000000000</f>
        <v>3.5996342497699998</v>
      </c>
      <c r="D9" s="16">
        <f>+GETPIVOTDATA("Suma de Pago",'[1]CUA10.TD'!$A$9,"Tipo","1Funcionamiento","Cuentas","A-Gastos de Personal")/1000000000</f>
        <v>2.5002281293899999</v>
      </c>
      <c r="E9" s="16">
        <f>+C9-D9</f>
        <v>1.0994061203799999</v>
      </c>
      <c r="F9" s="14">
        <f t="shared" ref="F9:F10" si="0">IFERROR(IF(C9&gt;0,+(D9/C9)*100,0),0)</f>
        <v>69.457838099794529</v>
      </c>
    </row>
    <row r="10" spans="1:6" ht="11.25" customHeight="1" x14ac:dyDescent="0.2">
      <c r="A10" s="14"/>
      <c r="B10" s="15" t="s">
        <v>16</v>
      </c>
      <c r="C10" s="16">
        <f>+GETPIVOTDATA("Suma de Apropiación vigencias",'[1]CUA10.TD'!$A$9,"Tipo","1Funcionamiento","Cuentas","B-Adquisiciones de Bienes y Servicios")/1000000000</f>
        <v>62.179433419640006</v>
      </c>
      <c r="D10" s="16">
        <f>+GETPIVOTDATA("Suma de Pago",'[1]CUA10.TD'!$A$9,"Tipo","1Funcionamiento","Cuentas","B-Adquisiciones de Bienes y Servicios")/1000000000</f>
        <v>44.904112330309999</v>
      </c>
      <c r="E10" s="16">
        <f t="shared" ref="E10:E15" si="1">+C10-D10</f>
        <v>17.275321089330006</v>
      </c>
      <c r="F10" s="14">
        <f t="shared" si="0"/>
        <v>72.21698536115413</v>
      </c>
    </row>
    <row r="11" spans="1:6" ht="11.25" customHeight="1" x14ac:dyDescent="0.2">
      <c r="A11" s="14"/>
      <c r="B11" s="15" t="s">
        <v>17</v>
      </c>
      <c r="C11" s="16">
        <f>+GETPIVOTDATA("Suma de Apropiación vigencias",'[1]CUA10.TD'!$A$9,"Tipo","1Funcionamiento","Cuentas","C-Transferencias")/1000000000</f>
        <v>51.65986898640999</v>
      </c>
      <c r="D11" s="16">
        <f>+GETPIVOTDATA("Suma de Pago",'[1]CUA10.TD'!$A$9,"Tipo","1Funcionamiento","Cuentas","C-Transferencias")/1000000000</f>
        <v>41.479010165169996</v>
      </c>
      <c r="E11" s="16">
        <f t="shared" si="1"/>
        <v>10.180858821239994</v>
      </c>
      <c r="F11" s="14">
        <f>IFERROR(IF(C11&gt;0,+(D11/C11)*100,0),0)</f>
        <v>80.292519084943393</v>
      </c>
    </row>
    <row r="12" spans="1:6" ht="11.25" customHeight="1" x14ac:dyDescent="0.2">
      <c r="B12" s="15" t="s">
        <v>18</v>
      </c>
      <c r="C12" s="16">
        <f>+GETPIVOTDATA("Suma de Apropiación vigencias",'[1]CUA10.TD'!$A$9,"Tipo","1Funcionamiento","Cuentas","D-Gastos de Comercialización y Producción")/1000000000</f>
        <v>228.41579888888003</v>
      </c>
      <c r="D12" s="16">
        <f>+GETPIVOTDATA("Suma de Pago",'[1]CUA10.TD'!$A$9,"Tipo","1Funcionamiento","Cuentas","D-Gastos de Comercialización y Producción")/1000000000</f>
        <v>162.33838525143</v>
      </c>
      <c r="E12" s="16">
        <f t="shared" si="1"/>
        <v>66.077413637450036</v>
      </c>
      <c r="F12" s="14">
        <f t="shared" ref="F12:F18" si="2">IFERROR(IF(C12&gt;0,+(D12/C12)*100,0),0)</f>
        <v>71.071434656060958</v>
      </c>
    </row>
    <row r="13" spans="1:6" ht="11.25" customHeight="1" x14ac:dyDescent="0.2">
      <c r="B13" s="15" t="s">
        <v>19</v>
      </c>
      <c r="C13" s="16">
        <f>+GETPIVOTDATA("Suma de Apropiación vigencias",'[1]CUA10.TD'!$A$9,"Tipo","1Funcionamiento","Cuentas","E-Adquisición de Activos Financieros")/1000000000</f>
        <v>3.4244492860000002</v>
      </c>
      <c r="D13" s="16">
        <f>+GETPIVOTDATA("Suma de Pago",'[1]CUA10.TD'!$A$9,"Tipo","1Funcionamiento","Cuentas","E-Adquisición de Activos Financieros")/1000000000</f>
        <v>2.9014492860000001</v>
      </c>
      <c r="E13" s="17">
        <f t="shared" si="1"/>
        <v>0.52300000000000013</v>
      </c>
      <c r="F13" s="14">
        <f t="shared" si="2"/>
        <v>84.727471300621843</v>
      </c>
    </row>
    <row r="14" spans="1:6" ht="11.25" customHeight="1" x14ac:dyDescent="0.2">
      <c r="B14" s="15" t="s">
        <v>20</v>
      </c>
      <c r="C14" s="18">
        <f>+GETPIVOTDATA("Suma de Apropiación vigencias",'[1]CUA10.TD'!$A$9,"Tipo","1Funcionamiento","Cuentas","F-Disminución de Pasivos")/1000000000</f>
        <v>8.7519675879999995E-2</v>
      </c>
      <c r="D14" s="18">
        <f>+GETPIVOTDATA("Suma de Pago",'[1]CUA10.TD'!$A$9,"Tipo","1Funcionamiento","Cuentas","F-Disminución de Pasivos")/1000000000</f>
        <v>8.7519675879999995E-2</v>
      </c>
      <c r="E14" s="19">
        <f t="shared" si="1"/>
        <v>0</v>
      </c>
      <c r="F14" s="14">
        <f t="shared" si="2"/>
        <v>100</v>
      </c>
    </row>
    <row r="15" spans="1:6" ht="21" customHeight="1" x14ac:dyDescent="0.2">
      <c r="B15" s="20" t="s">
        <v>21</v>
      </c>
      <c r="C15" s="21">
        <f>+GETPIVOTDATA("Suma de Apropiación vigencias",'[1]CUA10.TD'!$A$9,"Tipo","1Funcionamiento","Cuentas","G-Gastos por Tributos, Multas, Sanciones e Intereses de Mora")/1000000000</f>
        <v>0.38584763763000002</v>
      </c>
      <c r="D15" s="21">
        <f>+GETPIVOTDATA("Suma de Pago",'[1]CUA10.TD'!$A$9,"Tipo","1Funcionamiento","Cuentas","G-Gastos por Tributos, Multas, Sanciones e Intereses de Mora")/1000000000</f>
        <v>0.19368778712000001</v>
      </c>
      <c r="E15" s="21">
        <f t="shared" si="1"/>
        <v>0.19215985051000001</v>
      </c>
      <c r="F15" s="22">
        <f t="shared" si="2"/>
        <v>50.197997403766038</v>
      </c>
    </row>
    <row r="16" spans="1:6" ht="9.75" hidden="1" customHeight="1" x14ac:dyDescent="0.2">
      <c r="A16" s="12" t="s">
        <v>22</v>
      </c>
      <c r="B16" s="12" t="s">
        <v>23</v>
      </c>
      <c r="C16" s="13" t="e">
        <f>+C17</f>
        <v>#REF!</v>
      </c>
      <c r="D16" s="23" t="e">
        <f>+D17</f>
        <v>#REF!</v>
      </c>
      <c r="E16" s="13" t="e">
        <f>+C16-D16</f>
        <v>#REF!</v>
      </c>
      <c r="F16" s="13">
        <f t="shared" si="2"/>
        <v>0</v>
      </c>
    </row>
    <row r="17" spans="1:8" ht="9.75" hidden="1" customHeight="1" x14ac:dyDescent="0.2">
      <c r="A17" s="14"/>
      <c r="B17" s="24" t="s">
        <v>24</v>
      </c>
      <c r="C17" s="16" t="e">
        <f>+C18</f>
        <v>#REF!</v>
      </c>
      <c r="D17" s="16" t="e">
        <f>+D18</f>
        <v>#REF!</v>
      </c>
      <c r="E17" s="16" t="e">
        <f>+C17-D17</f>
        <v>#REF!</v>
      </c>
      <c r="F17" s="25">
        <f t="shared" si="2"/>
        <v>0</v>
      </c>
    </row>
    <row r="18" spans="1:8" ht="9.75" hidden="1" customHeight="1" x14ac:dyDescent="0.2">
      <c r="A18" s="14"/>
      <c r="B18" s="26" t="s">
        <v>25</v>
      </c>
      <c r="C18" s="16" t="e">
        <f>+GETPIVOTDATA("Suma de Apropiación vigencias",'[1]CUA10.TD'!$A$9,"Tipo","2Servicio de la Deuda","Cuentas","B-Servicio de la Deuda Pública Interna","Detalle Programas","B-Intereses")/1000000000</f>
        <v>#REF!</v>
      </c>
      <c r="D18" s="16" t="e">
        <f>+GETPIVOTDATA("Suma de Pago",'[1]CUA10.TD'!$A$9,"Tipo","2Servicio de la Deuda","Cuentas","B-Servicio de la Deuda Pública Interna","Detalle Programas","B-Intereses")/1000000000</f>
        <v>#REF!</v>
      </c>
      <c r="E18" s="16" t="e">
        <f>+C18-D18</f>
        <v>#REF!</v>
      </c>
      <c r="F18" s="16">
        <f t="shared" si="2"/>
        <v>0</v>
      </c>
    </row>
    <row r="19" spans="1:8" ht="11.25" customHeight="1" x14ac:dyDescent="0.2">
      <c r="A19" s="12" t="s">
        <v>22</v>
      </c>
      <c r="B19" s="12" t="s">
        <v>26</v>
      </c>
      <c r="C19" s="13">
        <f>+GETPIVOTDATA("Suma de Apropiación vigencias",'[1]CUA10.TD'!$A$9,"Tipo","3Inversión","Cuentas","A-Inversión")/1000000000</f>
        <v>1449.8551904792209</v>
      </c>
      <c r="D19" s="13">
        <f>+GETPIVOTDATA("Suma de Pago",'[1]CUA10.TD'!$A$9,"Tipo","3Inversión","Cuentas","A-Inversión")/1000000000</f>
        <v>491.55544981346981</v>
      </c>
      <c r="E19" s="13">
        <f>+C19-D19</f>
        <v>958.29974066575119</v>
      </c>
      <c r="F19" s="12">
        <f>IFERROR(IF(C19&gt;0,+(D19/C19)*100,0),0)</f>
        <v>33.903761771614988</v>
      </c>
      <c r="H19" s="27"/>
    </row>
    <row r="20" spans="1:8" ht="11.25" customHeight="1" x14ac:dyDescent="0.2">
      <c r="A20" s="28" t="s">
        <v>27</v>
      </c>
      <c r="B20" s="28" t="s">
        <v>28</v>
      </c>
      <c r="C20" s="29">
        <f>+C8+C19</f>
        <v>1799.607742623431</v>
      </c>
      <c r="D20" s="29">
        <f>+D8+D19</f>
        <v>745.95984243876978</v>
      </c>
      <c r="E20" s="29">
        <f>+E8+E19</f>
        <v>1053.6479001846612</v>
      </c>
      <c r="F20" s="30">
        <f>+F8+F16+F19</f>
        <v>106.64215669272022</v>
      </c>
    </row>
    <row r="21" spans="1:8" ht="11.25" customHeight="1" x14ac:dyDescent="0.2">
      <c r="A21" s="31" t="s">
        <v>29</v>
      </c>
      <c r="B21" s="31" t="s">
        <v>30</v>
      </c>
      <c r="C21" s="32">
        <f>+C8+C19</f>
        <v>1799.607742623431</v>
      </c>
      <c r="D21" s="32">
        <f>+D8+D19</f>
        <v>745.95984243876978</v>
      </c>
      <c r="E21" s="32">
        <f>+E8+E19</f>
        <v>1053.6479001846612</v>
      </c>
      <c r="F21" s="33">
        <f>+F20-F16</f>
        <v>106.64215669272022</v>
      </c>
    </row>
    <row r="22" spans="1:8" ht="11.25" customHeight="1" x14ac:dyDescent="0.2">
      <c r="A22" s="34" t="s">
        <v>31</v>
      </c>
      <c r="B22" s="34"/>
      <c r="C22" s="34"/>
      <c r="D22" s="34"/>
      <c r="E22" s="34"/>
      <c r="F22" s="34"/>
    </row>
    <row r="23" spans="1:8" ht="11.25" customHeight="1" x14ac:dyDescent="0.2">
      <c r="C23" s="27"/>
      <c r="D23" s="27"/>
      <c r="E23" s="27"/>
      <c r="F23" s="27"/>
    </row>
    <row r="24" spans="1:8" ht="11.25" customHeight="1" x14ac:dyDescent="0.2">
      <c r="C24" s="27"/>
      <c r="D24" s="27"/>
      <c r="E24" s="35"/>
    </row>
    <row r="25" spans="1:8" ht="11.25" hidden="1" customHeight="1" x14ac:dyDescent="0.2"/>
    <row r="26" spans="1:8" ht="11.25" hidden="1" customHeight="1" x14ac:dyDescent="0.2">
      <c r="C26" s="36"/>
    </row>
  </sheetData>
  <mergeCells count="9">
    <mergeCell ref="A22:F22"/>
    <mergeCell ref="A1:F1"/>
    <mergeCell ref="A2:F2"/>
    <mergeCell ref="A3:F3"/>
    <mergeCell ref="A4:F4"/>
    <mergeCell ref="B5:B6"/>
    <mergeCell ref="C5:C6"/>
    <mergeCell ref="D5:D6"/>
    <mergeCell ref="E5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CUA10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dcterms:created xsi:type="dcterms:W3CDTF">2020-03-13T21:41:41Z</dcterms:created>
  <dcterms:modified xsi:type="dcterms:W3CDTF">2020-03-13T21:42:44Z</dcterms:modified>
</cp:coreProperties>
</file>