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OneDrive\Escritorio\Publicaciones MHCP\INFORME DE EJECUCIÓN PNG\"/>
    </mc:Choice>
  </mc:AlternateContent>
  <xr:revisionPtr revIDLastSave="0" documentId="8_{C2AA90EE-8493-472E-82B1-D5535FA63528}" xr6:coauthVersionLast="44" xr6:coauthVersionMax="44" xr10:uidLastSave="{00000000-0000-0000-0000-000000000000}"/>
  <bookViews>
    <workbookView xWindow="-120" yWindow="-120" windowWidth="20730" windowHeight="11160" xr2:uid="{0438763E-91A5-4B3A-8942-A7E1A1E62944}"/>
  </bookViews>
  <sheets>
    <sheet name="CUA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C9" i="1"/>
  <c r="D9" i="1"/>
  <c r="E9" i="1" l="1"/>
  <c r="F9" i="1"/>
  <c r="C10" i="1"/>
  <c r="D10" i="1"/>
  <c r="E10" i="1" l="1"/>
  <c r="F10" i="1"/>
  <c r="C11" i="1"/>
  <c r="D11" i="1"/>
  <c r="E11" i="1" l="1"/>
  <c r="F11" i="1"/>
  <c r="C12" i="1"/>
  <c r="D12" i="1"/>
  <c r="E12" i="1" l="1"/>
  <c r="F12" i="1"/>
  <c r="C13" i="1"/>
  <c r="D13" i="1"/>
  <c r="E13" i="1" l="1"/>
  <c r="F13" i="1"/>
  <c r="C14" i="1"/>
  <c r="D14" i="1"/>
  <c r="E14" i="1"/>
  <c r="F14" i="1"/>
  <c r="C15" i="1"/>
  <c r="D15" i="1"/>
  <c r="D8" i="1" l="1"/>
  <c r="C8" i="1"/>
  <c r="F8" i="1" s="1"/>
  <c r="E15" i="1"/>
  <c r="E8" i="1" s="1"/>
  <c r="F15" i="1"/>
  <c r="C18" i="1"/>
  <c r="D18" i="1"/>
  <c r="E18" i="1"/>
  <c r="F18" i="1"/>
  <c r="C19" i="1"/>
  <c r="D19" i="1"/>
  <c r="E19" i="1"/>
  <c r="F19" i="1"/>
  <c r="C20" i="1"/>
  <c r="D20" i="1"/>
  <c r="D17" i="1" l="1"/>
  <c r="C17" i="1"/>
  <c r="E20" i="1"/>
  <c r="F20" i="1"/>
  <c r="C22" i="1"/>
  <c r="D22" i="1"/>
  <c r="F17" i="1" l="1"/>
  <c r="E17" i="1"/>
  <c r="E22" i="1"/>
  <c r="F22" i="1"/>
  <c r="C23" i="1"/>
  <c r="D23" i="1"/>
  <c r="E23" i="1" l="1"/>
  <c r="F23" i="1"/>
  <c r="C24" i="1"/>
  <c r="D24" i="1"/>
  <c r="D21" i="1" l="1"/>
  <c r="D16" i="1" s="1"/>
  <c r="C21" i="1"/>
  <c r="E21" i="1"/>
  <c r="E24" i="1"/>
  <c r="F24" i="1"/>
  <c r="C25" i="1"/>
  <c r="D25" i="1"/>
  <c r="C16" i="1" l="1"/>
  <c r="F21" i="1"/>
  <c r="E25" i="1"/>
  <c r="E27" i="1" s="1"/>
  <c r="F25" i="1"/>
  <c r="C26" i="1"/>
  <c r="D26" i="1"/>
  <c r="F26" i="1"/>
  <c r="C27" i="1"/>
  <c r="D27" i="1"/>
  <c r="F27" i="1"/>
  <c r="E16" i="1" l="1"/>
  <c r="E26" i="1" s="1"/>
  <c r="F16" i="1"/>
</calcChain>
</file>

<file path=xl/sharedStrings.xml><?xml version="1.0" encoding="utf-8"?>
<sst xmlns="http://schemas.openxmlformats.org/spreadsheetml/2006/main" count="39" uniqueCount="36">
  <si>
    <t>Fuente: Dirección General del Presupuesto Público Nacional- Subdirección de Análisis y Consolidación Presupuestal</t>
  </si>
  <si>
    <t>TOTAL SIN DEUDA (I + III)</t>
  </si>
  <si>
    <t>V.</t>
  </si>
  <si>
    <t>TOTAL (I + II + III)</t>
  </si>
  <si>
    <t>IV.</t>
  </si>
  <si>
    <t>INVERSION</t>
  </si>
  <si>
    <t>III.</t>
  </si>
  <si>
    <t>Comisiones y Otros Gastos</t>
  </si>
  <si>
    <t>Intereses</t>
  </si>
  <si>
    <t>Principal</t>
  </si>
  <si>
    <t>Servicio de la Deuda Pública Interna</t>
  </si>
  <si>
    <t>Servicio de la Deuda Pública Externa</t>
  </si>
  <si>
    <t>SERVICIO DE LA DEUDA</t>
  </si>
  <si>
    <t>II.</t>
  </si>
  <si>
    <t>Gastos por Tributos, Multas, Sanciones 
 e Intereses de Mora</t>
  </si>
  <si>
    <t>Disminución de Pasivos</t>
  </si>
  <si>
    <t>Adquisición de Activos Financieros</t>
  </si>
  <si>
    <t>Gastos de Comercialización y Producción</t>
  </si>
  <si>
    <t>Transferencias</t>
  </si>
  <si>
    <t>Adquisiciones de Bienes y Servicios</t>
  </si>
  <si>
    <t>Gastos de Personal</t>
  </si>
  <si>
    <t>FUNCIONAMIENTO</t>
  </si>
  <si>
    <t>I.</t>
  </si>
  <si>
    <t>(4)=(2/1)</t>
  </si>
  <si>
    <t>(3)=(1-2)</t>
  </si>
  <si>
    <t>(2)</t>
  </si>
  <si>
    <t>(1)</t>
  </si>
  <si>
    <t>Pago/Rezago</t>
  </si>
  <si>
    <t>Ejecución %</t>
  </si>
  <si>
    <t>Rezago 
por pagar</t>
  </si>
  <si>
    <t>Pago</t>
  </si>
  <si>
    <t>Rezago</t>
  </si>
  <si>
    <t>Concepto</t>
  </si>
  <si>
    <t>Miles de millones de pesos corrientes</t>
  </si>
  <si>
    <t>Rezago presupuestal del Presupuesto General de la Nación de 2019 ejecutado en 2020</t>
  </si>
  <si>
    <t>CUADRO No.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</si>
</sst>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[$-240A]d&quot; de &quot;mmmm&quot; de &quot;yyyy;@"/>
    <numFmt numFmtId="167" formatCode="_-* #,##0.0_-;\-* #,##0.0_-;_-* &quot;-&quot;?_-;_-@_-"/>
    <numFmt numFmtId="168" formatCode="_(* #,##0.00_);_(* \(#,##0.00\);_(* &quot;-&quot;??_);_(@_)"/>
    <numFmt numFmtId="169" formatCode="_-* #,##0.0_-;\-* #,##0.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/>
    <xf numFmtId="168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3" fillId="0" borderId="0" xfId="1" applyNumberFormat="1" applyFont="1"/>
    <xf numFmtId="164" fontId="3" fillId="0" borderId="0" xfId="1" applyNumberFormat="1" applyFont="1"/>
    <xf numFmtId="166" fontId="3" fillId="0" borderId="0" xfId="3" applyFont="1" applyAlignment="1">
      <alignment horizontal="left" shrinkToFit="1"/>
    </xf>
    <xf numFmtId="0" fontId="5" fillId="0" borderId="0" xfId="0" applyFont="1"/>
    <xf numFmtId="165" fontId="6" fillId="2" borderId="0" xfId="1" applyNumberFormat="1" applyFont="1" applyFill="1"/>
    <xf numFmtId="41" fontId="6" fillId="2" borderId="0" xfId="2" applyFont="1" applyFill="1"/>
    <xf numFmtId="167" fontId="2" fillId="0" borderId="0" xfId="0" applyNumberFormat="1" applyFont="1"/>
    <xf numFmtId="165" fontId="6" fillId="2" borderId="1" xfId="1" applyNumberFormat="1" applyFont="1" applyFill="1" applyBorder="1"/>
    <xf numFmtId="41" fontId="6" fillId="2" borderId="1" xfId="2" applyFont="1" applyFill="1" applyBorder="1"/>
    <xf numFmtId="165" fontId="7" fillId="3" borderId="0" xfId="1" applyNumberFormat="1" applyFont="1" applyFill="1"/>
    <xf numFmtId="41" fontId="7" fillId="3" borderId="0" xfId="2" applyFont="1" applyFill="1"/>
    <xf numFmtId="41" fontId="3" fillId="0" borderId="0" xfId="2" applyFont="1" applyAlignment="1">
      <alignment horizontal="right"/>
    </xf>
    <xf numFmtId="41" fontId="3" fillId="0" borderId="0" xfId="2" applyFont="1" applyAlignment="1">
      <alignment vertical="top"/>
    </xf>
    <xf numFmtId="41" fontId="3" fillId="0" borderId="0" xfId="2" applyFont="1"/>
    <xf numFmtId="165" fontId="3" fillId="0" borderId="0" xfId="4" applyNumberFormat="1" applyFont="1" applyAlignment="1">
      <alignment horizontal="left" indent="1"/>
    </xf>
    <xf numFmtId="169" fontId="3" fillId="0" borderId="0" xfId="2" applyNumberFormat="1" applyFont="1" applyAlignment="1">
      <alignment vertical="top"/>
    </xf>
    <xf numFmtId="169" fontId="3" fillId="0" borderId="0" xfId="2" applyNumberFormat="1" applyFont="1"/>
    <xf numFmtId="165" fontId="7" fillId="0" borderId="0" xfId="1" applyNumberFormat="1" applyFont="1"/>
    <xf numFmtId="41" fontId="7" fillId="0" borderId="0" xfId="2" applyFont="1" applyAlignment="1">
      <alignment horizontal="right"/>
    </xf>
    <xf numFmtId="41" fontId="7" fillId="0" borderId="0" xfId="2" applyFont="1"/>
    <xf numFmtId="165" fontId="7" fillId="0" borderId="0" xfId="4" applyNumberFormat="1" applyFont="1"/>
    <xf numFmtId="0" fontId="2" fillId="0" borderId="0" xfId="0" applyFont="1" applyAlignment="1">
      <alignment vertical="center"/>
    </xf>
    <xf numFmtId="165" fontId="3" fillId="0" borderId="0" xfId="1" applyNumberFormat="1" applyFont="1" applyAlignment="1">
      <alignment vertical="top"/>
    </xf>
    <xf numFmtId="165" fontId="3" fillId="0" borderId="0" xfId="4" applyNumberFormat="1" applyFont="1" applyAlignment="1">
      <alignment vertical="top" wrapText="1"/>
    </xf>
    <xf numFmtId="165" fontId="3" fillId="0" borderId="0" xfId="1" applyNumberFormat="1" applyFont="1" applyAlignment="1">
      <alignment vertical="center"/>
    </xf>
    <xf numFmtId="165" fontId="3" fillId="0" borderId="0" xfId="4" applyNumberFormat="1" applyFont="1"/>
    <xf numFmtId="165" fontId="6" fillId="2" borderId="0" xfId="1" quotePrefix="1" applyNumberFormat="1" applyFont="1" applyFill="1" applyAlignment="1">
      <alignment horizontal="center"/>
    </xf>
    <xf numFmtId="164" fontId="6" fillId="2" borderId="0" xfId="1" quotePrefix="1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center"/>
    </xf>
    <xf numFmtId="165" fontId="8" fillId="2" borderId="0" xfId="1" applyNumberFormat="1" applyFont="1" applyFill="1"/>
    <xf numFmtId="165" fontId="6" fillId="2" borderId="0" xfId="1" applyNumberFormat="1" applyFont="1" applyFill="1" applyAlignment="1">
      <alignment horizontal="center" vertical="top" wrapText="1"/>
    </xf>
    <xf numFmtId="164" fontId="6" fillId="2" borderId="0" xfId="1" applyNumberFormat="1" applyFont="1" applyFill="1" applyAlignment="1">
      <alignment horizontal="center" vertical="top"/>
    </xf>
    <xf numFmtId="165" fontId="6" fillId="2" borderId="0" xfId="1" applyNumberFormat="1" applyFont="1" applyFill="1" applyAlignment="1">
      <alignment horizontal="left" vertical="top"/>
    </xf>
    <xf numFmtId="165" fontId="3" fillId="0" borderId="0" xfId="1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</cellXfs>
  <cellStyles count="5">
    <cellStyle name="Millares" xfId="1" builtinId="3"/>
    <cellStyle name="Millares [0]" xfId="2" builtinId="6"/>
    <cellStyle name="Millares 2 4 2" xfId="4" xr:uid="{E76EFB5C-B6C9-4DCC-BC13-9A1989DA0E1B}"/>
    <cellStyle name="Millares_CIFRAS PAGINA WEB 1995 - 2003" xfId="3" xr:uid="{7B166C10-A9C2-40B0-A6B8-1AADBED82FE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8.TD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>
        <row r="3">
          <cell r="A3" t="str">
            <v>Acumulada a marzo de 2020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A10" t="str">
            <v>Etiquetas de fila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F861-AEF9-4A97-8BCB-955F3AC8FBC9}">
  <sheetPr codeName="Hoja17">
    <tabColor theme="0"/>
  </sheetPr>
  <dimension ref="A1:XFA31"/>
  <sheetViews>
    <sheetView showGridLines="0" tabSelected="1" workbookViewId="0">
      <selection activeCell="A30" sqref="A30:XFD1048576"/>
    </sheetView>
  </sheetViews>
  <sheetFormatPr baseColWidth="10" defaultColWidth="0" defaultRowHeight="11.25" zeroHeight="1" x14ac:dyDescent="0.2"/>
  <cols>
    <col min="1" max="1" width="3.5703125" style="1" customWidth="1"/>
    <col min="2" max="2" width="32" style="1" customWidth="1"/>
    <col min="3" max="3" width="10" style="1" customWidth="1"/>
    <col min="4" max="4" width="13.7109375" style="1" bestFit="1" customWidth="1"/>
    <col min="5" max="5" width="8.5703125" style="1" bestFit="1" customWidth="1"/>
    <col min="6" max="6" width="12.140625" style="1" bestFit="1" customWidth="1"/>
    <col min="7" max="7" width="11.42578125" style="1" customWidth="1"/>
    <col min="8" max="16374" width="11.42578125" style="1" hidden="1"/>
    <col min="16375" max="16375" width="16.5703125" style="1" hidden="1"/>
    <col min="16376" max="16380" width="11.42578125" style="1" hidden="1"/>
    <col min="16381" max="16381" width="16.5703125" style="1" hidden="1"/>
    <col min="16382" max="16384" width="11.42578125" style="1" hidden="1"/>
  </cols>
  <sheetData>
    <row r="1" spans="1:6" ht="11.25" customHeight="1" x14ac:dyDescent="0.2">
      <c r="A1" s="37" t="s">
        <v>35</v>
      </c>
      <c r="B1" s="37"/>
      <c r="C1" s="37"/>
      <c r="D1" s="37"/>
      <c r="E1" s="37"/>
      <c r="F1" s="37"/>
    </row>
    <row r="2" spans="1:6" ht="12.75" customHeight="1" x14ac:dyDescent="0.2">
      <c r="A2" s="37" t="s">
        <v>34</v>
      </c>
      <c r="B2" s="37"/>
      <c r="C2" s="37"/>
      <c r="D2" s="37"/>
      <c r="E2" s="37"/>
      <c r="F2" s="37"/>
    </row>
    <row r="3" spans="1:6" ht="11.25" customHeight="1" x14ac:dyDescent="0.2">
      <c r="A3" s="37" t="str">
        <f>+[1]CUA1!A3:L3</f>
        <v>Acumulada a marzo de 2020</v>
      </c>
      <c r="B3" s="37"/>
      <c r="C3" s="37"/>
      <c r="D3" s="37"/>
      <c r="E3" s="37"/>
      <c r="F3" s="37"/>
    </row>
    <row r="4" spans="1:6" ht="12.75" customHeight="1" x14ac:dyDescent="0.2">
      <c r="A4" s="36" t="s">
        <v>33</v>
      </c>
      <c r="B4" s="36"/>
      <c r="C4" s="36"/>
      <c r="D4" s="36"/>
      <c r="E4" s="36"/>
      <c r="F4" s="36"/>
    </row>
    <row r="5" spans="1:6" ht="11.45" customHeight="1" x14ac:dyDescent="0.2">
      <c r="A5" s="32"/>
      <c r="B5" s="35" t="s">
        <v>32</v>
      </c>
      <c r="C5" s="34" t="s">
        <v>31</v>
      </c>
      <c r="D5" s="34" t="s">
        <v>30</v>
      </c>
      <c r="E5" s="33" t="s">
        <v>29</v>
      </c>
      <c r="F5" s="31" t="s">
        <v>28</v>
      </c>
    </row>
    <row r="6" spans="1:6" ht="11.25" customHeight="1" x14ac:dyDescent="0.2">
      <c r="A6" s="32"/>
      <c r="B6" s="35"/>
      <c r="C6" s="34"/>
      <c r="D6" s="34"/>
      <c r="E6" s="33"/>
      <c r="F6" s="31" t="s">
        <v>27</v>
      </c>
    </row>
    <row r="7" spans="1:6" ht="11.25" customHeight="1" x14ac:dyDescent="0.2">
      <c r="A7" s="32"/>
      <c r="B7" s="31"/>
      <c r="C7" s="30" t="s">
        <v>26</v>
      </c>
      <c r="D7" s="30" t="s">
        <v>25</v>
      </c>
      <c r="E7" s="29" t="s">
        <v>24</v>
      </c>
      <c r="F7" s="29" t="s">
        <v>23</v>
      </c>
    </row>
    <row r="8" spans="1:6" ht="11.25" customHeight="1" x14ac:dyDescent="0.2">
      <c r="A8" s="12" t="s">
        <v>22</v>
      </c>
      <c r="B8" s="12" t="s">
        <v>21</v>
      </c>
      <c r="C8" s="13">
        <f>SUM(C9:C15)</f>
        <v>8008.7334167203799</v>
      </c>
      <c r="D8" s="13">
        <f>SUM(D9:D15)</f>
        <v>4728.9523527984611</v>
      </c>
      <c r="E8" s="13">
        <f>SUM(E9:E15)</f>
        <v>3279.7810639219192</v>
      </c>
      <c r="F8" s="12">
        <f>IFERROR(IF(C8&gt;0,+(D8/C8)*100,0),0)</f>
        <v>59.047443668501984</v>
      </c>
    </row>
    <row r="9" spans="1:6" ht="11.25" customHeight="1" x14ac:dyDescent="0.2">
      <c r="A9" s="3"/>
      <c r="B9" s="28" t="s">
        <v>20</v>
      </c>
      <c r="C9" s="16">
        <f>+GETPIVOTDATA("Suma de Apropiación vigencias",'[1]CUA8.TD'!$A$10,"Tipo","1Funcionamiento","Cuentas","A-Gastos de Personal")/1000000000</f>
        <v>295.49573216956009</v>
      </c>
      <c r="D9" s="16">
        <f>+GETPIVOTDATA("Suma de Pago",'[1]CUA8.TD'!$A$10,"Tipo","1Funcionamiento","Cuentas","A-Gastos de Personal")/1000000000</f>
        <v>278.81493337682008</v>
      </c>
      <c r="E9" s="16">
        <f>+C9-D9</f>
        <v>16.680798792740006</v>
      </c>
      <c r="F9" s="3">
        <f>IFERROR(IF(C9&gt;0,+(D9/C9)*100,0),0)</f>
        <v>94.354978100608136</v>
      </c>
    </row>
    <row r="10" spans="1:6" ht="11.45" customHeight="1" x14ac:dyDescent="0.2">
      <c r="A10" s="3"/>
      <c r="B10" s="28" t="s">
        <v>19</v>
      </c>
      <c r="C10" s="16">
        <f>+GETPIVOTDATA("Suma de Apropiación vigencias",'[1]CUA8.TD'!$A$10,"Tipo","1Funcionamiento","Cuentas","B-Adquisiciones de Bienes y Servicios")/1000000000</f>
        <v>1024.9514781171463</v>
      </c>
      <c r="D10" s="16">
        <f>+GETPIVOTDATA("Suma de Pago",'[1]CUA8.TD'!$A$10,"Tipo","1Funcionamiento","Cuentas","B-Adquisiciones de Bienes y Servicios")/1000000000</f>
        <v>764.92208949870951</v>
      </c>
      <c r="E10" s="16">
        <f>(+C10-D10)</f>
        <v>260.02938861843677</v>
      </c>
      <c r="F10" s="3">
        <f>IFERROR(IF(C10&gt;0,+(D10/C10)*100,0),0)</f>
        <v>74.630078187104502</v>
      </c>
    </row>
    <row r="11" spans="1:6" ht="11.45" customHeight="1" x14ac:dyDescent="0.2">
      <c r="A11" s="3"/>
      <c r="B11" s="28" t="s">
        <v>18</v>
      </c>
      <c r="C11" s="16">
        <f>+GETPIVOTDATA("Suma de Apropiación vigencias",'[1]CUA8.TD'!$A$10,"Tipo","1Funcionamiento","Cuentas","C-Transferencias")/1000000000</f>
        <v>6422.8934590003537</v>
      </c>
      <c r="D11" s="16">
        <f>+GETPIVOTDATA("Suma de Pago",'[1]CUA8.TD'!$A$10,"Tipo","1Funcionamiento","Cuentas","C-Transferencias")/1000000000</f>
        <v>3455.2881298644706</v>
      </c>
      <c r="E11" s="16">
        <f>(+C11-D11)</f>
        <v>2967.605329135883</v>
      </c>
      <c r="F11" s="3">
        <f>IFERROR(IF(C11&gt;0,+(D11/C11)*100,0),0)</f>
        <v>53.796441618109057</v>
      </c>
    </row>
    <row r="12" spans="1:6" ht="11.45" customHeight="1" x14ac:dyDescent="0.2">
      <c r="B12" s="28" t="s">
        <v>17</v>
      </c>
      <c r="C12" s="16">
        <f>+GETPIVOTDATA("Suma de Apropiación vigencias",'[1]CUA8.TD'!$A$10,"Tipo","1Funcionamiento","Cuentas","D-Gastos de Comercialización y Producción")/1000000000</f>
        <v>241.76866603243005</v>
      </c>
      <c r="D12" s="16">
        <f>+GETPIVOTDATA("Suma de Pago",'[1]CUA8.TD'!$A$10,"Tipo","1Funcionamiento","Cuentas","D-Gastos de Comercialización y Producción")/1000000000</f>
        <v>208.4749528659701</v>
      </c>
      <c r="E12" s="16">
        <f>(+C12-D12)</f>
        <v>33.293713166459952</v>
      </c>
      <c r="F12" s="3">
        <f>IFERROR(IF(C12&gt;0,+(D12/C12)*100,0),0)</f>
        <v>86.229103335502515</v>
      </c>
    </row>
    <row r="13" spans="1:6" ht="11.45" customHeight="1" x14ac:dyDescent="0.2">
      <c r="B13" s="28" t="s">
        <v>16</v>
      </c>
      <c r="C13" s="16">
        <f>+GETPIVOTDATA("Suma de Apropiación vigencias",'[1]CUA8.TD'!$A$10,"Tipo","1Funcionamiento","Cuentas","E-Adquisición de Activos Financieros")/1000000000</f>
        <v>3.4244492860000002</v>
      </c>
      <c r="D13" s="16">
        <f>+GETPIVOTDATA("Suma de Pago",'[1]CUA8.TD'!$A$10,"Tipo","1Funcionamiento","Cuentas","E-Adquisición de Activos Financieros")/1000000000</f>
        <v>3.0319492860000001</v>
      </c>
      <c r="E13" s="16">
        <f>(+C13-D13)</f>
        <v>0.39250000000000007</v>
      </c>
      <c r="F13" s="3">
        <f>IFERROR(IF(C13&gt;0,+(D13/C13)*100,0),0)</f>
        <v>88.538303031537438</v>
      </c>
    </row>
    <row r="14" spans="1:6" ht="11.45" customHeight="1" x14ac:dyDescent="0.2">
      <c r="B14" s="28" t="s">
        <v>15</v>
      </c>
      <c r="C14" s="16">
        <f>+GETPIVOTDATA("Suma de Apropiación vigencias",'[1]CUA8.TD'!$A$10,"Tipo","1Funcionamiento","Cuentas","F-Disminución de Pasivos")/1000000000</f>
        <v>18.70843939964</v>
      </c>
      <c r="D14" s="16">
        <f>+GETPIVOTDATA("Suma de Pago",'[1]CUA8.TD'!$A$10,"Tipo","1Funcionamiento","Cuentas","F-Disminución de Pasivos")/1000000000</f>
        <v>17.175112705369997</v>
      </c>
      <c r="E14" s="16">
        <f>(+C14-D14)</f>
        <v>1.5333266942700021</v>
      </c>
      <c r="F14" s="3">
        <f>IFERROR(IF(C14&gt;0,+(D14/C14)*100,0),0)</f>
        <v>91.804090862332927</v>
      </c>
    </row>
    <row r="15" spans="1:6" ht="24" customHeight="1" x14ac:dyDescent="0.2">
      <c r="A15" s="27"/>
      <c r="B15" s="26" t="s">
        <v>14</v>
      </c>
      <c r="C15" s="15">
        <f>+GETPIVOTDATA("Suma de Apropiación vigencias",'[1]CUA8.TD'!$A$10,"Tipo","1Funcionamiento","Cuentas","G-Gastos por Tributos, Multas, Sanciones e Intereses de Mora")/1000000000</f>
        <v>1.49119271525</v>
      </c>
      <c r="D15" s="15">
        <f>+GETPIVOTDATA("Suma de Pago",'[1]CUA8.TD'!$A$10,"Tipo","1Funcionamiento","Cuentas","G-Gastos por Tributos, Multas, Sanciones e Intereses de Mora")/1000000000</f>
        <v>1.24518520112</v>
      </c>
      <c r="E15" s="15">
        <f>(+C15-D15)</f>
        <v>0.24600751412999999</v>
      </c>
      <c r="F15" s="25">
        <f>IFERROR(IF(C15&gt;0,+(D15/C15)*100,0),0)</f>
        <v>83.502634393653366</v>
      </c>
    </row>
    <row r="16" spans="1:6" s="24" customFormat="1" x14ac:dyDescent="0.2">
      <c r="A16" s="12" t="s">
        <v>13</v>
      </c>
      <c r="B16" s="12" t="s">
        <v>12</v>
      </c>
      <c r="C16" s="13">
        <f>+C21+C17</f>
        <v>43.453480172180001</v>
      </c>
      <c r="D16" s="13">
        <f>+D21+D17</f>
        <v>34.393941659120003</v>
      </c>
      <c r="E16" s="13">
        <f>+C16-D16</f>
        <v>9.0595385130599979</v>
      </c>
      <c r="F16" s="12">
        <f>IFERROR(IF(C16&gt;0,+(D16/C16)*100,0),0)</f>
        <v>79.15117850822881</v>
      </c>
    </row>
    <row r="17" spans="1:7" ht="11.25" customHeight="1" x14ac:dyDescent="0.2">
      <c r="A17" s="3"/>
      <c r="B17" s="23" t="s">
        <v>11</v>
      </c>
      <c r="C17" s="22">
        <f>+C20</f>
        <v>1.0005588009099999</v>
      </c>
      <c r="D17" s="22">
        <f>+D20</f>
        <v>7.22113957E-2</v>
      </c>
      <c r="E17" s="22">
        <f>+C17-D17</f>
        <v>0.92834740520999992</v>
      </c>
      <c r="F17" s="20">
        <f>IFERROR(IF(C17&gt;0,+(D17/C17)*100,0),0)</f>
        <v>7.2171066442396317</v>
      </c>
    </row>
    <row r="18" spans="1:7" ht="11.25" hidden="1" customHeight="1" x14ac:dyDescent="0.2">
      <c r="A18" s="3"/>
      <c r="B18" s="17" t="s">
        <v>9</v>
      </c>
      <c r="C18" s="16" t="e">
        <f>+GETPIVOTDATA("Suma de Apropiación vigencias",'[1]CUA8.TD'!$A$10,"Tipo","2Servicio de la Deuda","Cuentas","A-Servicio de la Deuda Pública Externa","Detalle Programas","A-Principal")/1000000000</f>
        <v>#REF!</v>
      </c>
      <c r="D18" s="15" t="e">
        <f>+GETPIVOTDATA("Suma de Pago",'[1]CUA8.TD'!$A$10,"Tipo","2Servicio de la Deuda","Cuentas","A-Servicio de la Deuda Pública Externa","Detalle Programas","A-Principal")/1000000000</f>
        <v>#REF!</v>
      </c>
      <c r="E18" s="16" t="e">
        <f>+C18-D18</f>
        <v>#REF!</v>
      </c>
      <c r="F18" s="3">
        <f>IFERROR(IF(C18&gt;0,+(D18/C18)*100,0),0)</f>
        <v>0</v>
      </c>
    </row>
    <row r="19" spans="1:7" ht="13.5" hidden="1" customHeight="1" x14ac:dyDescent="0.2">
      <c r="A19" s="3"/>
      <c r="B19" s="17" t="s">
        <v>8</v>
      </c>
      <c r="C19" s="16" t="e">
        <f>+GETPIVOTDATA("Suma de Apropiación vigencias",'[1]CUA8.TD'!$A$10,"Tipo","2Servicio de la Deuda","Cuentas","A-Servicio de la Deuda Pública Externa","Detalle Programas","B-Intereses")/1000000000</f>
        <v>#REF!</v>
      </c>
      <c r="D19" s="15" t="e">
        <f>+GETPIVOTDATA("Suma de Pago",'[1]CUA8.TD'!$A$10,"Tipo","2Servicio de la Deuda","Cuentas","A-Servicio de la Deuda Pública Externa","Detalle Programas","B-Intereses")/1000000000</f>
        <v>#REF!</v>
      </c>
      <c r="E19" s="16" t="e">
        <f>+C19-D19</f>
        <v>#REF!</v>
      </c>
      <c r="F19" s="3">
        <f>IFERROR(IF(C19&gt;0,+(D19/C19)*100,0),0)</f>
        <v>0</v>
      </c>
    </row>
    <row r="20" spans="1:7" ht="12.75" customHeight="1" x14ac:dyDescent="0.2">
      <c r="A20" s="3"/>
      <c r="B20" s="17" t="s">
        <v>7</v>
      </c>
      <c r="C20" s="16">
        <f>+GETPIVOTDATA("Suma de Apropiación vigencias",'[1]CUA8.TD'!$A$10,"Tipo","2Servicio de la Deuda","Cuentas","A-Servicio de la Deuda Pública Externa","Detalle Programas","C-Comisiones Y Otros Gastos")/1000000000</f>
        <v>1.0005588009099999</v>
      </c>
      <c r="D20" s="15">
        <f>+GETPIVOTDATA("Suma de Pago",'[1]CUA8.TD'!$A$10,"Tipo","2Servicio de la Deuda","Cuentas","A-Servicio de la Deuda Pública Externa","Detalle Programas","C-Comisiones Y Otros Gastos")/1000000000</f>
        <v>7.22113957E-2</v>
      </c>
      <c r="E20" s="16">
        <f>+C20-D20</f>
        <v>0.92834740520999992</v>
      </c>
      <c r="F20" s="3">
        <f>IFERROR(IF(C20&gt;0,+(D20/C20)*100,0),0)</f>
        <v>7.2171066442396317</v>
      </c>
    </row>
    <row r="21" spans="1:7" ht="11.25" customHeight="1" x14ac:dyDescent="0.2">
      <c r="A21" s="3"/>
      <c r="B21" s="23" t="s">
        <v>10</v>
      </c>
      <c r="C21" s="22">
        <f>+SUM(C22:C24)</f>
        <v>42.452921371270001</v>
      </c>
      <c r="D21" s="22">
        <f>+SUM(D22:D24)</f>
        <v>34.321730263420001</v>
      </c>
      <c r="E21" s="21">
        <f>+SUM(E22:E24)</f>
        <v>8.1311911078500003</v>
      </c>
      <c r="F21" s="20">
        <f>IFERROR(IF(C21&gt;0,+(D21/C21)*100,0),0)</f>
        <v>80.846568751443385</v>
      </c>
    </row>
    <row r="22" spans="1:7" ht="11.25" customHeight="1" x14ac:dyDescent="0.2">
      <c r="A22" s="3"/>
      <c r="B22" s="17" t="s">
        <v>9</v>
      </c>
      <c r="C22" s="16">
        <f>+GETPIVOTDATA("Suma de Apropiación vigencias",'[1]CUA8.TD'!$A$10,"Tipo","2Servicio de la Deuda","Cuentas","B-Servicio de la Deuda Pública Interna","Detalle Programas","A-Principal")/1000000000</f>
        <v>6.4162979392600006</v>
      </c>
      <c r="D22" s="15">
        <f>+GETPIVOTDATA("Suma de Pago",'[1]CUA8.TD'!$A$10,"Tipo","2Servicio de la Deuda","Cuentas","B-Servicio de la Deuda Pública Interna","Detalle Programas","A-Principal")/1000000000</f>
        <v>6.4162979392600006</v>
      </c>
      <c r="E22" s="14">
        <f>+C22-D22</f>
        <v>0</v>
      </c>
      <c r="F22" s="3">
        <f>IFERROR(IF(C22&gt;0,+(D22/C22)*100,0),0)</f>
        <v>100</v>
      </c>
    </row>
    <row r="23" spans="1:7" ht="11.25" customHeight="1" x14ac:dyDescent="0.2">
      <c r="A23" s="3"/>
      <c r="B23" s="17" t="s">
        <v>8</v>
      </c>
      <c r="C23" s="19">
        <f>+GETPIVOTDATA("Suma de Apropiación vigencias",'[1]CUA8.TD'!$A$10,"Tipo","2Servicio de la Deuda","Cuentas","B-Servicio de la Deuda Pública Interna","Detalle Programas","B-Intereses")/1000000000</f>
        <v>0.22984615901</v>
      </c>
      <c r="D23" s="18">
        <f>+GETPIVOTDATA("Suma de Pago",'[1]CUA8.TD'!$A$10,"Tipo","2Servicio de la Deuda","Cuentas","B-Servicio de la Deuda Pública Interna","Detalle Programas","B-Intereses")/1000000000</f>
        <v>0.22984615901</v>
      </c>
      <c r="E23" s="14">
        <f>+C23-D23</f>
        <v>0</v>
      </c>
      <c r="F23" s="3">
        <f>IFERROR(IF(C23&gt;0,+(D23/C23)*100,0),0)</f>
        <v>100</v>
      </c>
    </row>
    <row r="24" spans="1:7" ht="11.25" customHeight="1" x14ac:dyDescent="0.2">
      <c r="A24" s="3"/>
      <c r="B24" s="17" t="s">
        <v>7</v>
      </c>
      <c r="C24" s="16">
        <f>+GETPIVOTDATA("Suma de Apropiación vigencias",'[1]CUA8.TD'!$A$10,"Tipo","2Servicio de la Deuda","Cuentas","B-Servicio de la Deuda Pública Interna","Detalle Programas","C-Comisiones Y Otros Gastos")/1000000000</f>
        <v>35.806777273000002</v>
      </c>
      <c r="D24" s="15">
        <f>+GETPIVOTDATA("Suma de Pago",'[1]CUA8.TD'!$A$10,"Tipo","2Servicio de la Deuda","Cuentas","B-Servicio de la Deuda Pública Interna","Detalle Programas","C-Comisiones Y Otros Gastos")/1000000000</f>
        <v>27.675586165150001</v>
      </c>
      <c r="E24" s="14">
        <f>+C24-D24</f>
        <v>8.1311911078500003</v>
      </c>
      <c r="F24" s="3">
        <f>IFERROR(IF(C24&gt;0,+(D24/C24)*100,0),0)</f>
        <v>77.291474611480041</v>
      </c>
    </row>
    <row r="25" spans="1:7" ht="11.25" customHeight="1" x14ac:dyDescent="0.2">
      <c r="A25" s="12" t="s">
        <v>6</v>
      </c>
      <c r="B25" s="12" t="s">
        <v>5</v>
      </c>
      <c r="C25" s="13">
        <f>+GETPIVOTDATA("Suma de Apropiación vigencias",'[1]CUA8.TD'!$A$10,"Tipo","3Inversión")/1000000000</f>
        <v>8923.85893778235</v>
      </c>
      <c r="D25" s="13">
        <f>+GETPIVOTDATA("Suma de Pago",'[1]CUA8.TD'!$A$10,"Tipo","3Inversión")/1000000000</f>
        <v>3731.1792449247509</v>
      </c>
      <c r="E25" s="13">
        <f>+C25-D25</f>
        <v>5192.6796928575986</v>
      </c>
      <c r="F25" s="12">
        <f>IFERROR(IF(C25&gt;0,+(D25/C25)*100,0),0)</f>
        <v>41.811275491228002</v>
      </c>
    </row>
    <row r="26" spans="1:7" ht="11.25" customHeight="1" x14ac:dyDescent="0.2">
      <c r="A26" s="10" t="s">
        <v>4</v>
      </c>
      <c r="B26" s="10" t="s">
        <v>3</v>
      </c>
      <c r="C26" s="11">
        <f>+C25+C16+C8</f>
        <v>16976.045834674911</v>
      </c>
      <c r="D26" s="11">
        <f>+D25+D16+D8</f>
        <v>8494.5255393823318</v>
      </c>
      <c r="E26" s="11">
        <f>SUM(E8+E16+E25)</f>
        <v>8481.5202952925774</v>
      </c>
      <c r="F26" s="10">
        <f>IFERROR(IF(C26&gt;0,+(D26/C26)*100,0),0)</f>
        <v>50.038304691847578</v>
      </c>
      <c r="G26" s="9"/>
    </row>
    <row r="27" spans="1:7" ht="11.25" customHeight="1" x14ac:dyDescent="0.2">
      <c r="A27" s="7" t="s">
        <v>2</v>
      </c>
      <c r="B27" s="7" t="s">
        <v>1</v>
      </c>
      <c r="C27" s="8">
        <f>+C25+C8</f>
        <v>16932.592354502729</v>
      </c>
      <c r="D27" s="8">
        <f>+D25+D8</f>
        <v>8460.1315977232116</v>
      </c>
      <c r="E27" s="8">
        <f>SUM(E8+E25)</f>
        <v>8472.4607567795174</v>
      </c>
      <c r="F27" s="7">
        <f>IFERROR(IF(C27&gt;0,+(D27/C27)*100,0),0)</f>
        <v>49.963593409685352</v>
      </c>
    </row>
    <row r="28" spans="1:7" ht="11.25" customHeight="1" x14ac:dyDescent="0.2">
      <c r="A28" s="6" t="s">
        <v>0</v>
      </c>
      <c r="B28" s="5"/>
      <c r="C28" s="5"/>
      <c r="D28" s="5"/>
      <c r="E28" s="5"/>
      <c r="F28" s="5"/>
    </row>
    <row r="29" spans="1:7" ht="12.75" customHeight="1" x14ac:dyDescent="0.2"/>
    <row r="30" spans="1:7" hidden="1" x14ac:dyDescent="0.2">
      <c r="A30" s="3"/>
      <c r="B30" s="3"/>
      <c r="C30" s="4"/>
      <c r="D30" s="4"/>
      <c r="E30" s="4"/>
      <c r="F30" s="3"/>
    </row>
    <row r="31" spans="1:7" hidden="1" x14ac:dyDescent="0.2">
      <c r="F31" s="2"/>
    </row>
  </sheetData>
  <mergeCells count="8">
    <mergeCell ref="B5:B6"/>
    <mergeCell ref="C5:C6"/>
    <mergeCell ref="D5:D6"/>
    <mergeCell ref="E5:E6"/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Romero</dc:creator>
  <cp:lastModifiedBy>Daniel Romero</cp:lastModifiedBy>
  <dcterms:created xsi:type="dcterms:W3CDTF">2020-04-24T18:00:59Z</dcterms:created>
  <dcterms:modified xsi:type="dcterms:W3CDTF">2020-04-24T18:01:45Z</dcterms:modified>
</cp:coreProperties>
</file>