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8_{932E942B-3344-4BD5-B75D-F1F5F4058986}" xr6:coauthVersionLast="47" xr6:coauthVersionMax="47" xr10:uidLastSave="{00000000-0000-0000-0000-000000000000}"/>
  <bookViews>
    <workbookView xWindow="-120" yWindow="-120" windowWidth="20730" windowHeight="11160" xr2:uid="{1D202CB9-D206-4C95-84B9-195AED3D3E44}"/>
  </bookViews>
  <sheets>
    <sheet name="CUA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D26" i="1"/>
  <c r="D20" i="1"/>
  <c r="F15" i="1"/>
  <c r="D14" i="1"/>
  <c r="F9" i="1"/>
  <c r="C26" i="1"/>
  <c r="C20" i="1"/>
  <c r="E15" i="1"/>
  <c r="C14" i="1"/>
  <c r="E9" i="1"/>
  <c r="F22" i="1"/>
  <c r="D15" i="1"/>
  <c r="F10" i="1"/>
  <c r="D9" i="1"/>
  <c r="E22" i="1"/>
  <c r="C15" i="1"/>
  <c r="E10" i="1"/>
  <c r="C9" i="1"/>
  <c r="F23" i="1"/>
  <c r="D22" i="1"/>
  <c r="F11" i="1"/>
  <c r="D10" i="1"/>
  <c r="E23" i="1"/>
  <c r="C22" i="1"/>
  <c r="E11" i="1"/>
  <c r="C10" i="1"/>
  <c r="F24" i="1"/>
  <c r="D23" i="1"/>
  <c r="F18" i="1"/>
  <c r="F12" i="1"/>
  <c r="D11" i="1"/>
  <c r="E24" i="1"/>
  <c r="C23" i="1"/>
  <c r="E18" i="1"/>
  <c r="E12" i="1"/>
  <c r="C11" i="1"/>
  <c r="F25" i="1"/>
  <c r="D24" i="1"/>
  <c r="F19" i="1"/>
  <c r="D18" i="1"/>
  <c r="F13" i="1"/>
  <c r="D12" i="1"/>
  <c r="E25" i="1"/>
  <c r="C24" i="1"/>
  <c r="E19" i="1"/>
  <c r="C18" i="1"/>
  <c r="E13" i="1"/>
  <c r="C12" i="1"/>
  <c r="F26" i="1"/>
  <c r="D25" i="1"/>
  <c r="F20" i="1"/>
  <c r="D19" i="1"/>
  <c r="F14" i="1"/>
  <c r="D13" i="1"/>
  <c r="E26" i="1"/>
  <c r="C25" i="1"/>
  <c r="E20" i="1"/>
  <c r="C19" i="1"/>
  <c r="E14" i="1"/>
  <c r="C13" i="1"/>
  <c r="G13" i="1" l="1"/>
  <c r="K14" i="1"/>
  <c r="I14" i="1"/>
  <c r="G19" i="1"/>
  <c r="K20" i="1"/>
  <c r="I20" i="1"/>
  <c r="G25" i="1"/>
  <c r="K26" i="1"/>
  <c r="I26" i="1"/>
  <c r="H13" i="1"/>
  <c r="L14" i="1"/>
  <c r="J14" i="1"/>
  <c r="H19" i="1"/>
  <c r="L20" i="1"/>
  <c r="J20" i="1"/>
  <c r="H25" i="1"/>
  <c r="L26" i="1"/>
  <c r="J26" i="1"/>
  <c r="G12" i="1"/>
  <c r="K13" i="1"/>
  <c r="I13" i="1"/>
  <c r="G18" i="1"/>
  <c r="C17" i="1"/>
  <c r="C16" i="1" s="1"/>
  <c r="C38" i="1" s="1"/>
  <c r="K19" i="1"/>
  <c r="I19" i="1"/>
  <c r="G24" i="1"/>
  <c r="K25" i="1"/>
  <c r="I25" i="1"/>
  <c r="H12" i="1"/>
  <c r="L13" i="1"/>
  <c r="J13" i="1"/>
  <c r="H18" i="1"/>
  <c r="D17" i="1"/>
  <c r="L19" i="1"/>
  <c r="J19" i="1"/>
  <c r="H24" i="1"/>
  <c r="L25" i="1"/>
  <c r="J25" i="1"/>
  <c r="G11" i="1"/>
  <c r="K12" i="1"/>
  <c r="I12" i="1"/>
  <c r="K18" i="1"/>
  <c r="I18" i="1"/>
  <c r="E17" i="1"/>
  <c r="G23" i="1"/>
  <c r="K24" i="1"/>
  <c r="I24" i="1"/>
  <c r="H11" i="1"/>
  <c r="L12" i="1"/>
  <c r="J12" i="1"/>
  <c r="L18" i="1"/>
  <c r="J18" i="1"/>
  <c r="F17" i="1"/>
  <c r="H23" i="1"/>
  <c r="L24" i="1"/>
  <c r="J24" i="1"/>
  <c r="G10" i="1"/>
  <c r="I11" i="1"/>
  <c r="K11" i="1"/>
  <c r="G22" i="1"/>
  <c r="C21" i="1"/>
  <c r="I23" i="1"/>
  <c r="K23" i="1"/>
  <c r="H10" i="1"/>
  <c r="J11" i="1"/>
  <c r="L11" i="1"/>
  <c r="H22" i="1"/>
  <c r="D21" i="1"/>
  <c r="H21" i="1" s="1"/>
  <c r="J23" i="1"/>
  <c r="L23" i="1"/>
  <c r="C8" i="1"/>
  <c r="G9" i="1"/>
  <c r="K10" i="1"/>
  <c r="I10" i="1"/>
  <c r="G15" i="1"/>
  <c r="E21" i="1"/>
  <c r="K22" i="1"/>
  <c r="I22" i="1"/>
  <c r="D8" i="1"/>
  <c r="H9" i="1"/>
  <c r="L10" i="1"/>
  <c r="J10" i="1"/>
  <c r="H15" i="1"/>
  <c r="F21" i="1"/>
  <c r="L22" i="1"/>
  <c r="J22" i="1"/>
  <c r="K9" i="1"/>
  <c r="I9" i="1"/>
  <c r="E8" i="1"/>
  <c r="G14" i="1"/>
  <c r="K15" i="1"/>
  <c r="I15" i="1"/>
  <c r="G20" i="1"/>
  <c r="C40" i="1"/>
  <c r="G26" i="1"/>
  <c r="L9" i="1"/>
  <c r="J9" i="1"/>
  <c r="F8" i="1"/>
  <c r="H14" i="1"/>
  <c r="L15" i="1"/>
  <c r="J15" i="1"/>
  <c r="H20" i="1"/>
  <c r="H26" i="1"/>
  <c r="L21" i="1" l="1"/>
  <c r="J21" i="1"/>
  <c r="G8" i="1"/>
  <c r="C37" i="1"/>
  <c r="C27" i="1"/>
  <c r="G17" i="1"/>
  <c r="H17" i="1"/>
  <c r="D16" i="1"/>
  <c r="H16" i="1" s="1"/>
  <c r="I17" i="1"/>
  <c r="E16" i="1"/>
  <c r="K17" i="1"/>
  <c r="H8" i="1"/>
  <c r="E27" i="1"/>
  <c r="K8" i="1"/>
  <c r="I8" i="1"/>
  <c r="J17" i="1"/>
  <c r="F16" i="1"/>
  <c r="L17" i="1"/>
  <c r="K21" i="1"/>
  <c r="I21" i="1"/>
  <c r="F27" i="1"/>
  <c r="L8" i="1"/>
  <c r="J8" i="1"/>
  <c r="G21" i="1"/>
  <c r="D27" i="1" l="1"/>
  <c r="K27" i="1" s="1"/>
  <c r="E28" i="1"/>
  <c r="I27" i="1"/>
  <c r="F28" i="1"/>
  <c r="L27" i="1"/>
  <c r="J27" i="1"/>
  <c r="K16" i="1"/>
  <c r="I16" i="1"/>
  <c r="L16" i="1"/>
  <c r="J16" i="1"/>
  <c r="G16" i="1"/>
  <c r="G27" i="1" s="1"/>
  <c r="G28" i="1" s="1"/>
  <c r="G31" i="1" s="1"/>
  <c r="C28" i="1"/>
  <c r="C31" i="1"/>
  <c r="F31" i="1" l="1"/>
  <c r="L28" i="1"/>
  <c r="J28" i="1"/>
  <c r="E31" i="1"/>
  <c r="K28" i="1"/>
  <c r="I28" i="1"/>
  <c r="D28" i="1"/>
  <c r="H27" i="1"/>
  <c r="H28" i="1" l="1"/>
  <c r="D31" i="1"/>
</calcChain>
</file>

<file path=xl/sharedStrings.xml><?xml version="1.0" encoding="utf-8"?>
<sst xmlns="http://schemas.openxmlformats.org/spreadsheetml/2006/main" count="53" uniqueCount="50">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</sst>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10" fillId="0" borderId="0" xfId="9" applyFont="1"/>
    <xf numFmtId="164" fontId="10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03946ECE-240A-4F0B-9EFE-7CB26AB7BE1B}"/>
    <cellStyle name="Millares 4 3" xfId="4" xr:uid="{B15CDDF7-641C-4DE6-ABE8-FAA481A044B0}"/>
    <cellStyle name="Millares 7 2" xfId="5" xr:uid="{4A52D6AD-59DF-43C9-A805-814B895B6582}"/>
    <cellStyle name="Millares 9" xfId="8" xr:uid="{40ADC632-8299-41C1-94A6-7C9D632475D2}"/>
    <cellStyle name="Millares_CIFRAS PAGINA WEB 1995 - 2003" xfId="9" xr:uid="{DC6000E0-2528-434A-AD9A-BF9074E6B626}"/>
    <cellStyle name="Millares_Plano ejecucion principales programas julio 13 - Despues de consejo de ministros" xfId="6" xr:uid="{E6BF5E8A-E03B-4A03-AEF7-BB61D0B2A1E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junio de 2021</v>
          </cell>
        </row>
        <row r="8">
          <cell r="C8">
            <v>203742.01972858101</v>
          </cell>
        </row>
        <row r="16">
          <cell r="C16">
            <v>70519.715412512</v>
          </cell>
        </row>
        <row r="26">
          <cell r="C26">
            <v>58624.967972826998</v>
          </cell>
        </row>
        <row r="28">
          <cell r="D28">
            <v>141396.9146240165</v>
          </cell>
          <cell r="E28">
            <v>99953.328770153661</v>
          </cell>
          <cell r="F28">
            <v>98499.452282382175</v>
          </cell>
          <cell r="G28">
            <v>120970.07307739145</v>
          </cell>
        </row>
      </sheetData>
      <sheetData sheetId="3">
        <row r="10">
          <cell r="A10" t="str">
            <v>Etiquetas de fila</v>
          </cell>
        </row>
      </sheetData>
      <sheetData sheetId="4"/>
      <sheetData sheetId="5"/>
      <sheetData sheetId="6">
        <row r="26">
          <cell r="D26">
            <v>10679.5139935324</v>
          </cell>
          <cell r="E26">
            <v>5877.1453331689791</v>
          </cell>
          <cell r="F26">
            <v>5740.1102904825511</v>
          </cell>
          <cell r="G26">
            <v>7932.5228667525989</v>
          </cell>
        </row>
      </sheetData>
      <sheetData sheetId="7"/>
      <sheetData sheetId="8"/>
      <sheetData sheetId="9"/>
      <sheetData sheetId="10">
        <row r="8">
          <cell r="B8">
            <v>314273.38225363503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F028-FDAB-4666-8E29-DF1C659E64F1}">
  <sheetPr codeName="Hoja5">
    <tabColor theme="0"/>
    <pageSetUpPr fitToPage="1"/>
  </sheetPr>
  <dimension ref="A1:XFB40"/>
  <sheetViews>
    <sheetView showGridLines="0" tabSelected="1" workbookViewId="0">
      <pane ySplit="7" topLeftCell="A8" activePane="bottomLeft" state="frozen"/>
      <selection pane="bottomLeft" sqref="A1:L29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5" width="11.42578125" style="2" customWidth="1"/>
    <col min="16376" max="16376" width="8.140625" style="2" customWidth="1"/>
    <col min="16377" max="16377" width="5.85546875" style="2" customWidth="1"/>
    <col min="16378" max="16378" width="17" style="2" customWidth="1"/>
    <col min="16379" max="16379" width="10.42578125" style="2" customWidth="1"/>
    <col min="16380" max="16380" width="12.140625" style="2" customWidth="1"/>
    <col min="16381" max="16381" width="9.5703125" style="2" customWidth="1"/>
    <col min="16382" max="16382" width="25.7109375" style="2" customWidth="1"/>
    <col min="16383" max="16384" width="22.7109375" style="2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tr">
        <f>+[1]CUA1!A3:L3</f>
        <v>Acumulada a junio de 2021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f>SUM(C9:C15)</f>
        <v>195275.95097182298</v>
      </c>
      <c r="D8" s="20">
        <f>SUM(D9:D15)</f>
        <v>99618.546448621812</v>
      </c>
      <c r="E8" s="20">
        <f>SUM(E9:E15)</f>
        <v>81106.917126857763</v>
      </c>
      <c r="F8" s="20">
        <f>SUM(F9:F15)</f>
        <v>80246.639960215849</v>
      </c>
      <c r="G8" s="21">
        <f>SUM(G9:G15)</f>
        <v>95657.40452320117</v>
      </c>
      <c r="H8" s="18">
        <f t="shared" ref="H8:H25" si="0">IFERROR(IF(D8&gt;0,+D8/C8*100,0),0)</f>
        <v>51.014242129076152</v>
      </c>
      <c r="I8" s="18">
        <f t="shared" ref="I8:I25" si="1">IFERROR(IF(E8&gt;0,+E8/C8*100,0),0)</f>
        <v>41.534513965091868</v>
      </c>
      <c r="J8" s="18">
        <f t="shared" ref="J8:J25" si="2">IFERROR(IF(F8&gt;0,+F8/C8*100,0),0)</f>
        <v>41.093969616255976</v>
      </c>
      <c r="K8" s="18">
        <f t="shared" ref="K8:L23" si="3">IFERROR(IF(E8&gt;0,+E8/D8*100,0),0)</f>
        <v>81.417487022548158</v>
      </c>
      <c r="L8" s="18">
        <f t="shared" si="3"/>
        <v>98.939329471373725</v>
      </c>
      <c r="N8" s="22"/>
      <c r="O8" s="17"/>
    </row>
    <row r="9" spans="1:18" ht="11.45" customHeight="1" x14ac:dyDescent="0.2">
      <c r="A9" s="23"/>
      <c r="B9" s="24" t="s">
        <v>28</v>
      </c>
      <c r="C9" s="25">
        <f>+GETPIVOTDATA("Suma de Apropiacion Vigente",'[1]CUA2.TD'!$A$10,"Tipo","1Funcionamiento","Cuentas","A-Gastos de Personal")/1000000000</f>
        <v>33714.509969286999</v>
      </c>
      <c r="D9" s="25">
        <f>+GETPIVOTDATA("Suma de Compromisos",'[1]CUA2.TD'!$A$10,"Tipo","1Funcionamiento","Cuentas","A-Gastos de Personal")/1000000000</f>
        <v>14445.827719550583</v>
      </c>
      <c r="E9" s="25">
        <f>+GETPIVOTDATA("Suma de Obligación",'[1]CUA2.TD'!$A$10,"Tipo","1Funcionamiento","Cuentas","A-Gastos de Personal")/1000000000</f>
        <v>14026.968886403383</v>
      </c>
      <c r="F9" s="25">
        <f>+GETPIVOTDATA("Suma de Pago",'[1]CUA2.TD'!$A$10,"Tipo","1Funcionamiento","Cuentas","A-Gastos de Personal")/1000000000</f>
        <v>13801.363739200344</v>
      </c>
      <c r="G9" s="26">
        <f t="shared" ref="G9:G15" si="4">(((+C9-D9)))</f>
        <v>19268.682249736416</v>
      </c>
      <c r="H9" s="23">
        <f t="shared" si="0"/>
        <v>42.847509077576213</v>
      </c>
      <c r="I9" s="23">
        <f t="shared" si="1"/>
        <v>41.605139446432915</v>
      </c>
      <c r="J9" s="23">
        <f t="shared" si="2"/>
        <v>40.935976087960377</v>
      </c>
      <c r="K9" s="23">
        <f t="shared" si="3"/>
        <v>97.100485750772663</v>
      </c>
      <c r="L9" s="23">
        <f t="shared" si="3"/>
        <v>98.391632939161056</v>
      </c>
      <c r="N9" s="16"/>
      <c r="O9" s="17"/>
    </row>
    <row r="10" spans="1:18" ht="11.45" customHeight="1" x14ac:dyDescent="0.2">
      <c r="A10" s="23"/>
      <c r="B10" s="24" t="s">
        <v>29</v>
      </c>
      <c r="C10" s="25">
        <f>+GETPIVOTDATA("Suma de Apropiacion Vigente",'[1]CUA2.TD'!$A$10,"Tipo","1Funcionamiento","Cuentas","B-Adquisición de Bienes y Servicios")/1000000000</f>
        <v>8709.3158996130005</v>
      </c>
      <c r="D10" s="25">
        <f>+GETPIVOTDATA("Suma de Compromisos",'[1]CUA2.TD'!$A$10,"Tipo","1Funcionamiento","Cuentas","B-Adquisición de Bienes y Servicios")/1000000000</f>
        <v>6312.8423195997611</v>
      </c>
      <c r="E10" s="25">
        <f>+GETPIVOTDATA("Suma de Obligación",'[1]CUA2.TD'!$A$10,"Tipo","1Funcionamiento","Cuentas","B-Adquisición de Bienes y Servicios")/1000000000</f>
        <v>2836.9919410872608</v>
      </c>
      <c r="F10" s="25">
        <f>+GETPIVOTDATA("Suma de Pago",'[1]CUA2.TD'!$A$10,"Tipo","1Funcionamiento","Cuentas","B-Adquisición de Bienes y Servicios")/1000000000</f>
        <v>2729.6377714698106</v>
      </c>
      <c r="G10" s="26">
        <f t="shared" si="4"/>
        <v>2396.4735800132394</v>
      </c>
      <c r="H10" s="23">
        <f t="shared" si="0"/>
        <v>72.483790832300315</v>
      </c>
      <c r="I10" s="23">
        <f t="shared" si="1"/>
        <v>32.574222519742605</v>
      </c>
      <c r="J10" s="23">
        <f t="shared" si="2"/>
        <v>31.341586445280996</v>
      </c>
      <c r="K10" s="23">
        <f t="shared" si="3"/>
        <v>44.940009546557597</v>
      </c>
      <c r="L10" s="23">
        <f t="shared" si="3"/>
        <v>96.215915594870978</v>
      </c>
    </row>
    <row r="11" spans="1:18" ht="11.45" customHeight="1" x14ac:dyDescent="0.2">
      <c r="A11" s="23"/>
      <c r="B11" s="24" t="s">
        <v>30</v>
      </c>
      <c r="C11" s="25">
        <f>+GETPIVOTDATA("Suma de Apropiacion Vigente",'[1]CUA2.TD'!$A$10,"Tipo","1Funcionamiento","Cuentas","C-Transferencias")/1000000000</f>
        <v>151394.58271903399</v>
      </c>
      <c r="D11" s="25">
        <f>+GETPIVOTDATA("Suma de Compromisos",'[1]CUA2.TD'!$A$10,"Tipo","1Funcionamiento","Cuentas","C-Transferencias")/1000000000</f>
        <v>78107.222596562744</v>
      </c>
      <c r="E11" s="25">
        <f>+GETPIVOTDATA("Suma de Obligación",'[1]CUA2.TD'!$A$10,"Tipo","1Funcionamiento","Cuentas","C-Transferencias")/1000000000</f>
        <v>63539.08249722753</v>
      </c>
      <c r="F11" s="25">
        <f>+GETPIVOTDATA("Suma de Pago",'[1]CUA2.TD'!$A$10,"Tipo","1Funcionamiento","Cuentas","C-Transferencias")/1000000000</f>
        <v>63012.707518741881</v>
      </c>
      <c r="G11" s="26">
        <f t="shared" si="4"/>
        <v>73287.360122471247</v>
      </c>
      <c r="H11" s="23">
        <f t="shared" si="0"/>
        <v>51.591821314715226</v>
      </c>
      <c r="I11" s="23">
        <f t="shared" si="1"/>
        <v>41.969191602546765</v>
      </c>
      <c r="J11" s="23">
        <f t="shared" si="2"/>
        <v>41.621507445668762</v>
      </c>
      <c r="K11" s="23">
        <f t="shared" si="3"/>
        <v>81.34853651808595</v>
      </c>
      <c r="L11" s="23">
        <f t="shared" si="3"/>
        <v>99.171572900020053</v>
      </c>
      <c r="N11" s="27"/>
    </row>
    <row r="12" spans="1:18" ht="11.45" customHeight="1" x14ac:dyDescent="0.2">
      <c r="A12" s="23"/>
      <c r="B12" s="24" t="s">
        <v>31</v>
      </c>
      <c r="C12" s="25">
        <f>+GETPIVOTDATA("Suma de Apropiacion Vigente",'[1]CUA2.TD'!$A$10,"Tipo","1Funcionamiento","Cuentas","D-Gastos de Comercialización y Producción")/1000000000</f>
        <v>81.575478684999993</v>
      </c>
      <c r="D12" s="25">
        <f>+GETPIVOTDATA("Suma de Compromisos",'[1]CUA2.TD'!$A$10,"Tipo","1Funcionamiento","Cuentas","D-Gastos de Comercialización y Producción")/1000000000</f>
        <v>56.776447307699996</v>
      </c>
      <c r="E12" s="25">
        <f>+GETPIVOTDATA("Suma de Obligación",'[1]CUA2.TD'!$A$10,"Tipo","1Funcionamiento","Cuentas","D-Gastos de Comercialización y Producción")/1000000000</f>
        <v>11.120981760469999</v>
      </c>
      <c r="F12" s="25">
        <f>+GETPIVOTDATA("Suma de Pago",'[1]CUA2.TD'!$A$10,"Tipo","1Funcionamiento","Cuentas","D-Gastos de Comercialización y Producción")/1000000000</f>
        <v>10.335799264169999</v>
      </c>
      <c r="G12" s="26">
        <f t="shared" si="4"/>
        <v>24.799031377299997</v>
      </c>
      <c r="H12" s="23">
        <f t="shared" si="0"/>
        <v>69.599894751386842</v>
      </c>
      <c r="I12" s="23">
        <f t="shared" si="1"/>
        <v>13.632750845892261</v>
      </c>
      <c r="J12" s="23">
        <f t="shared" si="2"/>
        <v>12.670228150399485</v>
      </c>
      <c r="K12" s="23">
        <f t="shared" si="3"/>
        <v>19.587315317916655</v>
      </c>
      <c r="L12" s="23">
        <f t="shared" si="3"/>
        <v>92.939629672885857</v>
      </c>
      <c r="N12" s="27"/>
    </row>
    <row r="13" spans="1:18" ht="11.45" customHeight="1" x14ac:dyDescent="0.2">
      <c r="A13" s="23"/>
      <c r="B13" s="24" t="s">
        <v>32</v>
      </c>
      <c r="C13" s="25">
        <f>+GETPIVOTDATA("Suma de Apropiacion Vigente",'[1]CUA2.TD'!$A$10,"Tipo","1Funcionamiento","Cuentas","E-Adquisición de Activos Financieros")/1000000000</f>
        <v>418.96600000000001</v>
      </c>
      <c r="D13" s="25">
        <f>+GETPIVOTDATA("Suma de Compromisos",'[1]CUA2.TD'!$A$10,"Tipo","1Funcionamiento","Cuentas","E-Adquisición de Activos Financieros")/1000000000</f>
        <v>331.87494329600003</v>
      </c>
      <c r="E13" s="25">
        <f>+GETPIVOTDATA("Suma de Obligación",'[1]CUA2.TD'!$A$10,"Tipo","1Funcionamiento","Cuentas","E-Adquisición de Activos Financieros")/1000000000</f>
        <v>331.87494329600003</v>
      </c>
      <c r="F13" s="25">
        <f>+GETPIVOTDATA("Suma de Pago",'[1]CUA2.TD'!$A$10,"Tipo","1Funcionamiento","Cuentas","E-Adquisición de Activos Financieros")/1000000000</f>
        <v>331.87494329600003</v>
      </c>
      <c r="G13" s="26">
        <f t="shared" si="4"/>
        <v>87.091056703999982</v>
      </c>
      <c r="H13" s="23">
        <f t="shared" si="0"/>
        <v>79.212858154599658</v>
      </c>
      <c r="I13" s="23">
        <f t="shared" si="1"/>
        <v>79.212858154599658</v>
      </c>
      <c r="J13" s="23">
        <f t="shared" si="2"/>
        <v>79.212858154599658</v>
      </c>
      <c r="K13" s="23">
        <f t="shared" si="3"/>
        <v>100</v>
      </c>
      <c r="L13" s="23">
        <f t="shared" si="3"/>
        <v>100</v>
      </c>
      <c r="N13" s="28"/>
    </row>
    <row r="14" spans="1:18" ht="11.45" customHeight="1" x14ac:dyDescent="0.2">
      <c r="A14" s="23"/>
      <c r="B14" s="24" t="s">
        <v>33</v>
      </c>
      <c r="C14" s="25">
        <f>+GETPIVOTDATA("Suma de Apropiacion Vigente",'[1]CUA2.TD'!$A$10,"Tipo","1Funcionamiento","Cuentas","F-Disminución de Pasivos")/1000000000</f>
        <v>433.77632375299999</v>
      </c>
      <c r="D14" s="25">
        <f>+GETPIVOTDATA("Suma de Compromisos",'[1]CUA2.TD'!$A$10,"Tipo","1Funcionamiento","Cuentas","F-Disminución de Pasivos")/1000000000</f>
        <v>232.86663326083999</v>
      </c>
      <c r="E14" s="25">
        <f>+GETPIVOTDATA("Suma de Obligación",'[1]CUA2.TD'!$A$10,"Tipo","1Funcionamiento","Cuentas","F-Disminución de Pasivos")/1000000000</f>
        <v>231.25771841084</v>
      </c>
      <c r="F14" s="25">
        <f>+GETPIVOTDATA("Suma de Pago",'[1]CUA2.TD'!$A$10,"Tipo","1Funcionamiento","Cuentas","F-Disminución de Pasivos")/1000000000</f>
        <v>231.16351783934999</v>
      </c>
      <c r="G14" s="26">
        <f t="shared" si="4"/>
        <v>200.90969049216</v>
      </c>
      <c r="H14" s="23">
        <f t="shared" si="0"/>
        <v>53.683573885751869</v>
      </c>
      <c r="I14" s="23">
        <f t="shared" si="1"/>
        <v>53.312665018232366</v>
      </c>
      <c r="J14" s="23">
        <f t="shared" si="2"/>
        <v>53.290948625167154</v>
      </c>
      <c r="K14" s="23">
        <f t="shared" si="3"/>
        <v>99.309083131631908</v>
      </c>
      <c r="L14" s="23">
        <f t="shared" si="3"/>
        <v>99.959265977309926</v>
      </c>
      <c r="N14" s="28"/>
    </row>
    <row r="15" spans="1:18" s="36" customFormat="1" ht="23.25" customHeight="1" x14ac:dyDescent="0.25">
      <c r="A15" s="29"/>
      <c r="B15" s="30" t="s">
        <v>34</v>
      </c>
      <c r="C15" s="31">
        <f>+GETPIVOTDATA("Suma de Apropiacion Vigente",'[1]CUA2.TD'!$A$10,"Tipo","1Funcionamiento","Cuentas","G-Gastos por Tributos, Multas, Sanciones e Intereses de Mora")/1000000000</f>
        <v>523.22458145099995</v>
      </c>
      <c r="D15" s="32">
        <f>+GETPIVOTDATA("Suma de Compromisos",'[1]CUA2.TD'!$A$10,"Tipo","1Funcionamiento","Cuentas","G-Gastos por Tributos, Multas, Sanciones e Intereses de Mora")/1000000000</f>
        <v>131.13578904419001</v>
      </c>
      <c r="E15" s="33">
        <f>+GETPIVOTDATA("Suma de Obligación",'[1]CUA2.TD'!$A$10,"Tipo","1Funcionamiento","Cuentas","G-Gastos por Tributos, Multas, Sanciones e Intereses de Mora")/1000000000</f>
        <v>129.62015867228999</v>
      </c>
      <c r="F15" s="33">
        <f>+GETPIVOTDATA("Suma de Pago",'[1]CUA2.TD'!$A$10,"Tipo","1Funcionamiento","Cuentas","G-Gastos por Tributos, Multas, Sanciones e Intereses de Mora")/1000000000</f>
        <v>129.55667040429</v>
      </c>
      <c r="G15" s="34">
        <f t="shared" si="4"/>
        <v>392.08879240680994</v>
      </c>
      <c r="H15" s="35">
        <f t="shared" si="0"/>
        <v>25.06300233076318</v>
      </c>
      <c r="I15" s="35">
        <f t="shared" si="1"/>
        <v>24.773331236240654</v>
      </c>
      <c r="J15" s="35">
        <f t="shared" si="2"/>
        <v>24.761197198534717</v>
      </c>
      <c r="K15" s="35">
        <f t="shared" si="3"/>
        <v>98.844228274411577</v>
      </c>
      <c r="L15" s="35">
        <f t="shared" si="3"/>
        <v>99.951019757535946</v>
      </c>
      <c r="N15" s="37"/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f>+C17+C21</f>
        <v>70518.431412512</v>
      </c>
      <c r="D16" s="20">
        <f>+D17+D21</f>
        <v>27637.1328835444</v>
      </c>
      <c r="E16" s="20">
        <f>+E17+E21</f>
        <v>27509.9406298295</v>
      </c>
      <c r="F16" s="20">
        <f>+F17+F21</f>
        <v>26058.823619989278</v>
      </c>
      <c r="G16" s="20">
        <f>+G17+G21</f>
        <v>42881.2985289676</v>
      </c>
      <c r="H16" s="18">
        <f t="shared" si="0"/>
        <v>39.191360797399668</v>
      </c>
      <c r="I16" s="18">
        <f t="shared" si="1"/>
        <v>39.010993408098479</v>
      </c>
      <c r="J16" s="18">
        <f t="shared" si="2"/>
        <v>36.953209392240808</v>
      </c>
      <c r="K16" s="18">
        <f t="shared" si="3"/>
        <v>99.539777681531376</v>
      </c>
      <c r="L16" s="18">
        <f t="shared" si="3"/>
        <v>94.725117624329769</v>
      </c>
      <c r="N16" s="16"/>
    </row>
    <row r="17" spans="1:15 16382:16382" ht="11.25" customHeight="1" x14ac:dyDescent="0.2">
      <c r="A17" s="23"/>
      <c r="B17" s="39" t="s">
        <v>37</v>
      </c>
      <c r="C17" s="40">
        <f>+SUM(C18:C20)</f>
        <v>25341.975232203</v>
      </c>
      <c r="D17" s="40">
        <f>+SUM(D18:D20)</f>
        <v>15543.360677318971</v>
      </c>
      <c r="E17" s="40">
        <f>+SUM(E18:E20)</f>
        <v>15423.31701399715</v>
      </c>
      <c r="F17" s="40">
        <f>+SUM(F18:F20)</f>
        <v>13972.201282818427</v>
      </c>
      <c r="G17" s="41">
        <f>+G18+G19+G20</f>
        <v>9798.6145548840286</v>
      </c>
      <c r="H17" s="42">
        <f t="shared" si="0"/>
        <v>61.334448222360507</v>
      </c>
      <c r="I17" s="42">
        <f t="shared" si="1"/>
        <v>60.860753247040357</v>
      </c>
      <c r="J17" s="42">
        <f t="shared" si="2"/>
        <v>55.134618177131777</v>
      </c>
      <c r="K17" s="42">
        <f t="shared" si="3"/>
        <v>99.2276852746717</v>
      </c>
      <c r="L17" s="42">
        <f t="shared" si="3"/>
        <v>90.591416036759227</v>
      </c>
      <c r="N17" s="22"/>
    </row>
    <row r="18" spans="1:15 16382:16382" ht="11.25" customHeight="1" x14ac:dyDescent="0.2">
      <c r="A18" s="23"/>
      <c r="B18" s="43" t="s">
        <v>38</v>
      </c>
      <c r="C18" s="25">
        <f>+GETPIVOTDATA("Suma de Apropiacion Vigente",'[1]CUA2.TD'!$A$10,"Tipo","2Servicio de la Deuda","Cuentas","A-Servicio de la Deuda Pública Externa","Detalle Programas","A-Principal")/1000000000</f>
        <v>14652.075232203</v>
      </c>
      <c r="D18" s="25">
        <f>+GETPIVOTDATA("Suma de Compromisos",'[1]CUA2.TD'!$A$10,"Tipo","2Servicio de la Deuda","Cuentas","A-Servicio de la Deuda Pública Externa","Detalle Programas","A-Principal")/1000000000</f>
        <v>9158.4548596076602</v>
      </c>
      <c r="E18" s="25">
        <f>+GETPIVOTDATA("Suma de Obligación",'[1]CUA2.TD'!$A$10,"Tipo","2Servicio de la Deuda","Cuentas","A-Servicio de la Deuda Pública Externa","Detalle Programas","A-Principal")/1000000000</f>
        <v>9153.52620312201</v>
      </c>
      <c r="F18" s="25">
        <f>+GETPIVOTDATA("Suma de Pago",'[1]CUA2.TD'!$A$10,"Tipo","2Servicio de la Deuda","Cuentas","A-Servicio de la Deuda Pública Externa","Detalle Programas","A-Principal")/1000000000</f>
        <v>8909.3247898689679</v>
      </c>
      <c r="G18" s="26">
        <f>(((+C18-D18)))</f>
        <v>5493.6203725953401</v>
      </c>
      <c r="H18" s="23">
        <f t="shared" si="0"/>
        <v>62.506195978838477</v>
      </c>
      <c r="I18" s="23">
        <f t="shared" si="1"/>
        <v>62.472558037403267</v>
      </c>
      <c r="J18" s="23">
        <f t="shared" si="2"/>
        <v>60.805890282952177</v>
      </c>
      <c r="K18" s="23">
        <f t="shared" si="3"/>
        <v>99.946184628726101</v>
      </c>
      <c r="L18" s="23">
        <f t="shared" si="3"/>
        <v>97.332160220727275</v>
      </c>
      <c r="N18" s="16"/>
    </row>
    <row r="19" spans="1:15 16382:16382" ht="11.25" customHeight="1" x14ac:dyDescent="0.2">
      <c r="A19" s="23"/>
      <c r="B19" s="43" t="s">
        <v>39</v>
      </c>
      <c r="C19" s="25">
        <f>+GETPIVOTDATA("Suma de Apropiacion Vigente",'[1]CUA2.TD'!$A$10,"Tipo","2Servicio de la Deuda","Cuentas","A-Servicio de la Deuda Pública Externa","Detalle Programas","B-Intereses")/1000000000</f>
        <v>10555.484872722</v>
      </c>
      <c r="D19" s="25">
        <f>+GETPIVOTDATA("Suma de Compromisos",'[1]CUA2.TD'!$A$10,"Tipo","2Servicio de la Deuda","Cuentas","A-Servicio de la Deuda Pública Externa","Detalle Programas","B-Intereses")/1000000000</f>
        <v>6283.7529277428403</v>
      </c>
      <c r="E19" s="25">
        <f>+GETPIVOTDATA("Suma de Obligación",'[1]CUA2.TD'!$A$10,"Tipo","2Servicio de la Deuda","Cuentas","A-Servicio de la Deuda Pública Externa","Detalle Programas","B-Intereses")/1000000000</f>
        <v>6190.6187538886297</v>
      </c>
      <c r="F19" s="25">
        <f>+GETPIVOTDATA("Suma de Pago",'[1]CUA2.TD'!$A$10,"Tipo","2Servicio de la Deuda","Cuentas","A-Servicio de la Deuda Pública Externa","Detalle Programas","B-Intereses")/1000000000</f>
        <v>4985.8635782987894</v>
      </c>
      <c r="G19" s="26">
        <f>(((+C19-D19)))</f>
        <v>4271.7319449791594</v>
      </c>
      <c r="H19" s="23">
        <f>IFERROR(IF(D19&gt;0,+D19/C19*100,0),0)</f>
        <v>59.530689527883482</v>
      </c>
      <c r="I19" s="23">
        <f>IFERROR(IF(E19&gt;0,+E19/C19*100,0),0)</f>
        <v>58.648359867264169</v>
      </c>
      <c r="J19" s="23">
        <f>IFERROR(IF(F19&gt;0,+F19/C19*100,0),0)</f>
        <v>47.234813354557517</v>
      </c>
      <c r="K19" s="23">
        <f t="shared" si="3"/>
        <v>98.517857482221785</v>
      </c>
      <c r="L19" s="23">
        <f t="shared" si="3"/>
        <v>80.539018416647366</v>
      </c>
      <c r="N19" s="44"/>
    </row>
    <row r="20" spans="1:15 16382:16382" ht="11.25" customHeight="1" x14ac:dyDescent="0.2">
      <c r="A20" s="23"/>
      <c r="B20" s="43" t="s">
        <v>40</v>
      </c>
      <c r="C20" s="25">
        <f>+GETPIVOTDATA("Suma de Apropiacion Vigente",'[1]CUA2.TD'!$A$10,"Tipo","2Servicio de la Deuda","Cuentas","A-Servicio de la Deuda Pública Externa","Detalle Programas","C-Comisiones Y Otros Gastos")/1000000000</f>
        <v>134.415127278</v>
      </c>
      <c r="D20" s="25">
        <f>+GETPIVOTDATA("Suma de Compromisos",'[1]CUA2.TD'!$A$10,"Tipo","2Servicio de la Deuda","Cuentas","A-Servicio de la Deuda Pública Externa","Detalle Programas","C-Comisiones Y Otros Gastos")/1000000000</f>
        <v>101.15288996847001</v>
      </c>
      <c r="E20" s="25">
        <f>+GETPIVOTDATA("Suma de Obligación",'[1]CUA2.TD'!$A$10,"Tipo","2Servicio de la Deuda","Cuentas","A-Servicio de la Deuda Pública Externa","Detalle Programas","C-Comisiones Y Otros Gastos")/1000000000</f>
        <v>79.17205698651</v>
      </c>
      <c r="F20" s="25">
        <f>+GETPIVOTDATA("Suma de Pago",'[1]CUA2.TD'!$A$10,"Tipo","2Servicio de la Deuda","Cuentas","A-Servicio de la Deuda Pública Externa","Detalle Programas","C-Comisiones Y Otros Gastos")/1000000000</f>
        <v>77.012914650669998</v>
      </c>
      <c r="G20" s="26">
        <f>(((+C20-D20)))</f>
        <v>33.262237309529993</v>
      </c>
      <c r="H20" s="23">
        <f t="shared" si="0"/>
        <v>75.254096779794438</v>
      </c>
      <c r="I20" s="23">
        <f t="shared" si="1"/>
        <v>58.901150926833409</v>
      </c>
      <c r="J20" s="23">
        <f t="shared" si="2"/>
        <v>57.294827011092565</v>
      </c>
      <c r="K20" s="23">
        <f t="shared" si="3"/>
        <v>78.26969354131991</v>
      </c>
      <c r="L20" s="23">
        <f t="shared" si="3"/>
        <v>97.272847999632134</v>
      </c>
      <c r="N20" s="44"/>
    </row>
    <row r="21" spans="1:15 16382:16382" ht="11.25" customHeight="1" x14ac:dyDescent="0.2">
      <c r="A21" s="23"/>
      <c r="B21" s="39" t="s">
        <v>41</v>
      </c>
      <c r="C21" s="40">
        <f>SUM(C22:C25)</f>
        <v>45176.456180309004</v>
      </c>
      <c r="D21" s="40">
        <f>SUM(D22:D25)</f>
        <v>12093.772206225431</v>
      </c>
      <c r="E21" s="40">
        <f>SUM(E22:E25)</f>
        <v>12086.62361583235</v>
      </c>
      <c r="F21" s="40">
        <f>SUM(F22:F25)</f>
        <v>12086.622337170851</v>
      </c>
      <c r="G21" s="41">
        <f>((+C21-D21))</f>
        <v>33082.683974083571</v>
      </c>
      <c r="H21" s="23">
        <f t="shared" si="0"/>
        <v>26.770077223314221</v>
      </c>
      <c r="I21" s="23">
        <f t="shared" si="1"/>
        <v>26.754253515574622</v>
      </c>
      <c r="J21" s="23">
        <f t="shared" si="2"/>
        <v>26.754250685203214</v>
      </c>
      <c r="K21" s="23">
        <f t="shared" si="3"/>
        <v>99.940890317171664</v>
      </c>
      <c r="L21" s="23">
        <f t="shared" si="3"/>
        <v>99.99998942085449</v>
      </c>
    </row>
    <row r="22" spans="1:15 16382:16382" ht="11.25" customHeight="1" x14ac:dyDescent="0.2">
      <c r="A22" s="23"/>
      <c r="B22" s="43" t="s">
        <v>38</v>
      </c>
      <c r="C22" s="25">
        <f>+GETPIVOTDATA("Suma de Apropiacion Vigente",'[1]CUA2.TD'!$A$10,"Tipo","2Servicio de la Deuda","Cuentas","B-Servicio de la Deuda Pública Interna","Detalle Programas","A-Principal")/1000000000</f>
        <v>20316.993880309001</v>
      </c>
      <c r="D22" s="25">
        <f>+GETPIVOTDATA("Suma de Compromisos",'[1]CUA2.TD'!$A$10,"Tipo","2Servicio de la Deuda","Cuentas","B-Servicio de la Deuda Pública Interna","Detalle Programas","A-Principal")/1000000000</f>
        <v>1816.0796321681</v>
      </c>
      <c r="E22" s="25">
        <f>+GETPIVOTDATA("Suma de Obligación",'[1]CUA2.TD'!$A$10,"Tipo","2Servicio de la Deuda","Cuentas","B-Servicio de la Deuda Pública Interna","Detalle Programas","A-Principal")/1000000000</f>
        <v>1816.0796321681</v>
      </c>
      <c r="F22" s="25">
        <f>+GETPIVOTDATA("Suma de Pago",'[1]CUA2.TD'!$A$10,"Tipo","2Servicio de la Deuda","Cuentas","B-Servicio de la Deuda Pública Interna","Detalle Programas","A-Principal")/1000000000</f>
        <v>1816.0784171681</v>
      </c>
      <c r="G22" s="26">
        <f>((+C22-D22))</f>
        <v>18500.9142481409</v>
      </c>
      <c r="H22" s="23">
        <f t="shared" si="0"/>
        <v>8.9387221498758418</v>
      </c>
      <c r="I22" s="23">
        <f t="shared" si="1"/>
        <v>8.9387221498758418</v>
      </c>
      <c r="J22" s="23">
        <f t="shared" si="2"/>
        <v>8.9387161696604274</v>
      </c>
      <c r="K22" s="23">
        <f t="shared" si="3"/>
        <v>100</v>
      </c>
      <c r="L22" s="23">
        <f t="shared" si="3"/>
        <v>99.999933097647343</v>
      </c>
    </row>
    <row r="23" spans="1:15 16382:16382" ht="11.25" customHeight="1" x14ac:dyDescent="0.2">
      <c r="A23" s="23"/>
      <c r="B23" s="43" t="s">
        <v>39</v>
      </c>
      <c r="C23" s="25">
        <f>+GETPIVOTDATA("Suma de Apropiacion Vigente",'[1]CUA2.TD'!$A$10,"Tipo","2Servicio de la Deuda","Cuentas","B-Servicio de la Deuda Pública Interna","Detalle Programas","B-Intereses")/1000000000</f>
        <v>23738.863815227</v>
      </c>
      <c r="D23" s="25">
        <f>+GETPIVOTDATA("Suma de Compromisos",'[1]CUA2.TD'!$A$10,"Tipo","2Servicio de la Deuda","Cuentas","B-Servicio de la Deuda Pública Interna","Detalle Programas","B-Intereses")/1000000000</f>
        <v>9886.1419013424511</v>
      </c>
      <c r="E23" s="25">
        <f>+GETPIVOTDATA("Suma de Obligación",'[1]CUA2.TD'!$A$10,"Tipo","2Servicio de la Deuda","Cuentas","B-Servicio de la Deuda Pública Interna","Detalle Programas","B-Intereses")/1000000000</f>
        <v>9886.1419013424511</v>
      </c>
      <c r="F23" s="25">
        <f>+GETPIVOTDATA("Suma de Pago",'[1]CUA2.TD'!$A$10,"Tipo","2Servicio de la Deuda","Cuentas","B-Servicio de la Deuda Pública Interna","Detalle Programas","B-Intereses")/1000000000</f>
        <v>9886.1418376809506</v>
      </c>
      <c r="G23" s="26">
        <f>(((+C23-D23)))</f>
        <v>13852.721913884548</v>
      </c>
      <c r="H23" s="23">
        <f>IFERROR(IF(D23&gt;0,+D23/C23*100,0),0)</f>
        <v>41.645387826021853</v>
      </c>
      <c r="I23" s="23">
        <f>IFERROR(IF(E23&gt;0,+E23/C23*100,0),0)</f>
        <v>41.645387826021853</v>
      </c>
      <c r="J23" s="23">
        <f>IFERROR(IF(F23&gt;0,+F23/C23*100,0),0)</f>
        <v>41.645387557847684</v>
      </c>
      <c r="K23" s="23">
        <f t="shared" si="3"/>
        <v>100</v>
      </c>
      <c r="L23" s="23">
        <f t="shared" si="3"/>
        <v>99.999999356053138</v>
      </c>
    </row>
    <row r="24" spans="1:15 16382:16382" ht="11.25" customHeight="1" x14ac:dyDescent="0.2">
      <c r="A24" s="23"/>
      <c r="B24" s="43" t="s">
        <v>40</v>
      </c>
      <c r="C24" s="25">
        <f>+GETPIVOTDATA("Suma de Apropiacion Vigente",'[1]CUA2.TD'!$A$10,"Tipo","2Servicio de la Deuda","Cuentas","B-Servicio de la Deuda Pública Interna","Detalle Programas","C-Comisiones Y Otros Gastos")/1000000000</f>
        <v>286.23618477299999</v>
      </c>
      <c r="D24" s="25">
        <f>+GETPIVOTDATA("Suma de Compromisos",'[1]CUA2.TD'!$A$10,"Tipo","2Servicio de la Deuda","Cuentas","B-Servicio de la Deuda Pública Interna","Detalle Programas","C-Comisiones Y Otros Gastos")/1000000000</f>
        <v>42.216861124879998</v>
      </c>
      <c r="E24" s="25">
        <f>+GETPIVOTDATA("Suma de Obligación",'[1]CUA2.TD'!$A$10,"Tipo","2Servicio de la Deuda","Cuentas","B-Servicio de la Deuda Pública Interna","Detalle Programas","C-Comisiones Y Otros Gastos")/1000000000</f>
        <v>35.068270731800006</v>
      </c>
      <c r="F24" s="25">
        <f>+GETPIVOTDATA("Suma de Pago",'[1]CUA2.TD'!$A$10,"Tipo","2Servicio de la Deuda","Cuentas","B-Servicio de la Deuda Pública Interna","Detalle Programas","C-Comisiones Y Otros Gastos")/1000000000</f>
        <v>35.068270731800006</v>
      </c>
      <c r="G24" s="26">
        <f>(((+C24-D24)))</f>
        <v>244.01932364812001</v>
      </c>
      <c r="H24" s="23">
        <f>IFERROR(IF(D24&gt;0,+D24/C24*100,0),0)</f>
        <v>14.748960254050388</v>
      </c>
      <c r="I24" s="23">
        <f>IFERROR(IF(E24&gt;0,+E24/C24*100,0),0)</f>
        <v>12.251515565584745</v>
      </c>
      <c r="J24" s="23">
        <f>IFERROR(IF(F24&gt;0,+F24/C24*100,0),0)</f>
        <v>12.251515565584745</v>
      </c>
      <c r="K24" s="23">
        <f t="shared" ref="K24:L33" si="5">IFERROR(IF(E24&gt;0,+E24/D24*100,0),0)</f>
        <v>83.066977973719943</v>
      </c>
      <c r="L24" s="23">
        <f t="shared" si="5"/>
        <v>100</v>
      </c>
      <c r="N24" s="28"/>
      <c r="O24" s="22"/>
    </row>
    <row r="25" spans="1:15 16382:16382" ht="11.25" customHeight="1" x14ac:dyDescent="0.2">
      <c r="A25" s="23"/>
      <c r="B25" s="43" t="s">
        <v>42</v>
      </c>
      <c r="C25" s="25">
        <f>+GETPIVOTDATA("Suma de Apropiacion Vigente",'[1]CUA2.TD'!$A$10,"Tipo","2Servicio de la Deuda","Cuentas","B-Servicio de la Deuda Pública Interna","Detalle Programas","D-Fondo de Contingencias")/1000000000</f>
        <v>834.3623</v>
      </c>
      <c r="D25" s="25">
        <f>+GETPIVOTDATA("Suma de Compromisos",'[1]CUA2.TD'!$A$10,"Tipo","2Servicio de la Deuda","Cuentas","B-Servicio de la Deuda Pública Interna","Detalle Programas","D-Fondo de Contingencias")/1000000000</f>
        <v>349.33381158999998</v>
      </c>
      <c r="E25" s="25">
        <f>+GETPIVOTDATA("Suma de Obligación",'[1]CUA2.TD'!$A$10,"Tipo","2Servicio de la Deuda","Cuentas","B-Servicio de la Deuda Pública Interna","Detalle Programas","D-Fondo de Contingencias")/1000000000</f>
        <v>349.33381158999998</v>
      </c>
      <c r="F25" s="25">
        <f>+GETPIVOTDATA("Suma de Pago",'[1]CUA2.TD'!$A$10,"Tipo","2Servicio de la Deuda","Cuentas","B-Servicio de la Deuda Pública Interna","Detalle Programas","D-Fondo de Contingencias")/1000000000</f>
        <v>349.33381158999998</v>
      </c>
      <c r="G25" s="26">
        <f>((+C25-D25))</f>
        <v>485.02848841000002</v>
      </c>
      <c r="H25" s="23">
        <f t="shared" si="0"/>
        <v>41.868360014588383</v>
      </c>
      <c r="I25" s="23">
        <f t="shared" si="1"/>
        <v>41.868360014588383</v>
      </c>
      <c r="J25" s="23">
        <f t="shared" si="2"/>
        <v>41.868360014588383</v>
      </c>
      <c r="K25" s="23">
        <f t="shared" si="5"/>
        <v>100</v>
      </c>
      <c r="L25" s="23">
        <f t="shared" si="5"/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f>+GETPIVOTDATA("Suma de Apropiacion Vigente",'[1]CUA2.TD'!$A$10,"Tipo","3Inversión","Cuentas","A-Inversión")/1000000000</f>
        <v>48478.999869300002</v>
      </c>
      <c r="D26" s="20">
        <f>+GETPIVOTDATA("Suma de Compromisos",'[1]CUA2.TD'!$A$10,"Tipo","3Inversión","Cuentas","A-Inversión")/1000000000</f>
        <v>31098.854181862316</v>
      </c>
      <c r="E26" s="20">
        <f>+GETPIVOTDATA("Suma de Obligación",'[1]CUA2.TD'!$A$10,"Tipo","3Inversión","Cuentas","A-Inversión")/1000000000</f>
        <v>12969.266310126939</v>
      </c>
      <c r="F26" s="20">
        <f>+GETPIVOTDATA("Suma de Pago",'[1]CUA2.TD'!$A$10,"Tipo","3Inversión","Cuentas","A-Inversión")/1000000000</f>
        <v>12512.702031683779</v>
      </c>
      <c r="G26" s="21">
        <f>((+C26-D26))</f>
        <v>17380.145687437685</v>
      </c>
      <c r="H26" s="18">
        <f>IFERROR(IF(D26&gt;0,+D26/C26*100,0),0)</f>
        <v>64.149124911209427</v>
      </c>
      <c r="I26" s="18">
        <f>IFERROR(IF(E26&gt;0,+E26/C26*100,0),0)</f>
        <v>26.752338837625047</v>
      </c>
      <c r="J26" s="18">
        <f>IFERROR(IF(F26&gt;0,+F26/C26*100,0),0)</f>
        <v>25.810561408894948</v>
      </c>
      <c r="K26" s="18">
        <f t="shared" si="5"/>
        <v>41.703357410804422</v>
      </c>
      <c r="L26" s="18">
        <f t="shared" si="5"/>
        <v>96.479644510910717</v>
      </c>
      <c r="XFB26" s="22"/>
    </row>
    <row r="27" spans="1:15 16382:16382" ht="11.25" customHeight="1" x14ac:dyDescent="0.2">
      <c r="A27" s="45" t="s">
        <v>45</v>
      </c>
      <c r="B27" s="45" t="s">
        <v>46</v>
      </c>
      <c r="C27" s="46">
        <f>+C8+C16+C26</f>
        <v>314273.38225363498</v>
      </c>
      <c r="D27" s="47">
        <f>+D8+D16+D26</f>
        <v>158354.53351402853</v>
      </c>
      <c r="E27" s="46">
        <f>+E8+E16+E26</f>
        <v>121586.12406681421</v>
      </c>
      <c r="F27" s="48">
        <f>+F8+F16+F26</f>
        <v>118818.16561188891</v>
      </c>
      <c r="G27" s="49">
        <f>+G8+G16+G26</f>
        <v>155918.84873960644</v>
      </c>
      <c r="H27" s="45">
        <f>IFERROR(IF(D27&gt;0,+D27/C27*100,0),0)</f>
        <v>50.387510510269109</v>
      </c>
      <c r="I27" s="45">
        <f>IFERROR(IF(E27&gt;0,+E27/C27*100,0),0)</f>
        <v>38.688012072459856</v>
      </c>
      <c r="J27" s="45">
        <f>IFERROR(IF(F27&gt;0,+F27/C27*100,0),0)</f>
        <v>37.807263459555877</v>
      </c>
      <c r="K27" s="45">
        <f t="shared" si="5"/>
        <v>76.780955599255378</v>
      </c>
      <c r="L27" s="45">
        <f t="shared" si="5"/>
        <v>97.723458596801521</v>
      </c>
      <c r="N27" s="50"/>
      <c r="O27" s="44"/>
    </row>
    <row r="28" spans="1:15 16382:16382" ht="11.25" customHeight="1" x14ac:dyDescent="0.2">
      <c r="A28" s="51" t="s">
        <v>47</v>
      </c>
      <c r="B28" s="51" t="s">
        <v>48</v>
      </c>
      <c r="C28" s="52">
        <f>+C27-C16</f>
        <v>243754.95084112298</v>
      </c>
      <c r="D28" s="52">
        <f>+D27-D16</f>
        <v>130717.40063048413</v>
      </c>
      <c r="E28" s="52">
        <f>+E27-E16</f>
        <v>94076.18343698472</v>
      </c>
      <c r="F28" s="52">
        <f>+F27-F16</f>
        <v>92759.341991899622</v>
      </c>
      <c r="G28" s="53">
        <f>+G27-G16</f>
        <v>113037.55021063884</v>
      </c>
      <c r="H28" s="51">
        <f>IFERROR(IF(D28&gt;0,+D28/C28*100,0),0)</f>
        <v>53.6265623239318</v>
      </c>
      <c r="I28" s="51">
        <f>IFERROR(IF(E28&gt;0,+E28/C28*100,0),0)</f>
        <v>38.594573407578757</v>
      </c>
      <c r="J28" s="51">
        <f>IFERROR(IF(F28&gt;0,+F28/C28*100,0),0)</f>
        <v>38.054341736164048</v>
      </c>
      <c r="K28" s="51">
        <f t="shared" si="5"/>
        <v>71.969135695194936</v>
      </c>
      <c r="L28" s="51">
        <f t="shared" si="5"/>
        <v>98.600239298645491</v>
      </c>
    </row>
    <row r="29" spans="1:15 16382:16382" x14ac:dyDescent="0.2">
      <c r="A29" s="54" t="s">
        <v>49</v>
      </c>
      <c r="B29" s="55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4"/>
    </row>
    <row r="31" spans="1:15 16382:16382" x14ac:dyDescent="0.2">
      <c r="C31" s="56">
        <f>+C27-[1]CUA5!B8</f>
        <v>0</v>
      </c>
      <c r="D31" s="56">
        <f>+D28+[1]CUA3!D26-[1]CUA1!D28</f>
        <v>0</v>
      </c>
      <c r="E31" s="56">
        <f>+E28+[1]CUA3!E26-[1]CUA1!E28</f>
        <v>0</v>
      </c>
      <c r="F31" s="56">
        <f>+F28+[1]CUA3!F26-[1]CUA1!F28</f>
        <v>0</v>
      </c>
      <c r="G31" s="56">
        <f>+G28+[1]CUA3!G26-[1]CUA1!G28</f>
        <v>0</v>
      </c>
    </row>
    <row r="32" spans="1:15 16382:16382" x14ac:dyDescent="0.2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3:3" x14ac:dyDescent="0.2">
      <c r="C33" s="44"/>
    </row>
    <row r="35" spans="3:3" x14ac:dyDescent="0.2">
      <c r="C35" s="44"/>
    </row>
    <row r="37" spans="3:3" x14ac:dyDescent="0.2">
      <c r="C37" s="44">
        <f>+C8/[1]CUA1!C8</f>
        <v>0.95844711479725064</v>
      </c>
    </row>
    <row r="38" spans="3:3" x14ac:dyDescent="0.2">
      <c r="C38" s="28">
        <f>+C16/[1]CUA1!C16</f>
        <v>0.99998179232584128</v>
      </c>
    </row>
    <row r="40" spans="3:3" x14ac:dyDescent="0.2">
      <c r="C40" s="44">
        <f>+C26/[1]CUA1!C26</f>
        <v>0.8269343514485209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2021-07-13T16:03:10Z</dcterms:created>
  <dcterms:modified xsi:type="dcterms:W3CDTF">2021-07-13T16:04:17Z</dcterms:modified>
</cp:coreProperties>
</file>