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OneDrive\Escritorio\Publicaciones MHCP\INFORME DE EJECUCIÓN PNG\"/>
    </mc:Choice>
  </mc:AlternateContent>
  <xr:revisionPtr revIDLastSave="0" documentId="8_{8B05A50C-D23A-4D1D-A1C6-A7A58FD88AC2}" xr6:coauthVersionLast="44" xr6:coauthVersionMax="44" xr10:uidLastSave="{00000000-0000-0000-0000-000000000000}"/>
  <bookViews>
    <workbookView xWindow="-120" yWindow="-120" windowWidth="20730" windowHeight="11160" xr2:uid="{416DD793-9641-4382-A76F-9BF1432E9496}"/>
  </bookViews>
  <sheets>
    <sheet name="CUA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E26" i="1"/>
  <c r="C19" i="1"/>
  <c r="D26" i="1"/>
  <c r="F25" i="1"/>
  <c r="D22" i="1"/>
  <c r="D18" i="1"/>
  <c r="D14" i="1"/>
  <c r="F13" i="1"/>
  <c r="D10" i="1"/>
  <c r="F9" i="1"/>
  <c r="D25" i="1"/>
  <c r="F20" i="1"/>
  <c r="D13" i="1"/>
  <c r="C23" i="1"/>
  <c r="C11" i="1"/>
  <c r="C26" i="1"/>
  <c r="E25" i="1"/>
  <c r="C22" i="1"/>
  <c r="C18" i="1"/>
  <c r="C14" i="1"/>
  <c r="E13" i="1"/>
  <c r="C10" i="1"/>
  <c r="E9" i="1"/>
  <c r="F24" i="1"/>
  <c r="F12" i="1"/>
  <c r="D9" i="1"/>
  <c r="E22" i="1"/>
  <c r="C25" i="1"/>
  <c r="E24" i="1"/>
  <c r="E20" i="1"/>
  <c r="C13" i="1"/>
  <c r="E12" i="1"/>
  <c r="C9" i="1"/>
  <c r="F14" i="1"/>
  <c r="F10" i="1"/>
  <c r="E18" i="1"/>
  <c r="E14" i="1"/>
  <c r="D24" i="1"/>
  <c r="F23" i="1"/>
  <c r="D20" i="1"/>
  <c r="F19" i="1"/>
  <c r="F15" i="1"/>
  <c r="D12" i="1"/>
  <c r="F11" i="1"/>
  <c r="F26" i="1"/>
  <c r="D23" i="1"/>
  <c r="F18" i="1"/>
  <c r="D15" i="1"/>
  <c r="C24" i="1"/>
  <c r="E23" i="1"/>
  <c r="C20" i="1"/>
  <c r="E19" i="1"/>
  <c r="E15" i="1"/>
  <c r="C12" i="1"/>
  <c r="E11" i="1"/>
  <c r="F22" i="1"/>
  <c r="D19" i="1"/>
  <c r="D11" i="1"/>
  <c r="C15" i="1"/>
  <c r="E10" i="1"/>
  <c r="K10" i="1" l="1"/>
  <c r="I10" i="1"/>
  <c r="G15" i="1"/>
  <c r="H11" i="1"/>
  <c r="H19" i="1"/>
  <c r="L22" i="1"/>
  <c r="F21" i="1"/>
  <c r="J22" i="1"/>
  <c r="I11" i="1"/>
  <c r="K11" i="1"/>
  <c r="G12" i="1"/>
  <c r="I15" i="1"/>
  <c r="K15" i="1"/>
  <c r="I19" i="1"/>
  <c r="K19" i="1"/>
  <c r="G20" i="1"/>
  <c r="K23" i="1"/>
  <c r="I23" i="1"/>
  <c r="G24" i="1"/>
  <c r="H15" i="1"/>
  <c r="L18" i="1"/>
  <c r="F17" i="1"/>
  <c r="J18" i="1"/>
  <c r="H23" i="1"/>
  <c r="L26" i="1"/>
  <c r="J26" i="1"/>
  <c r="J11" i="1"/>
  <c r="L11" i="1"/>
  <c r="H12" i="1"/>
  <c r="J15" i="1"/>
  <c r="L15" i="1"/>
  <c r="J19" i="1"/>
  <c r="L19" i="1"/>
  <c r="H20" i="1"/>
  <c r="J23" i="1"/>
  <c r="L23" i="1"/>
  <c r="H24" i="1"/>
  <c r="K14" i="1"/>
  <c r="I14" i="1"/>
  <c r="K18" i="1"/>
  <c r="E17" i="1"/>
  <c r="I18" i="1"/>
  <c r="L10" i="1"/>
  <c r="J10" i="1"/>
  <c r="L14" i="1"/>
  <c r="J14" i="1"/>
  <c r="G9" i="1"/>
  <c r="C8" i="1"/>
  <c r="I12" i="1"/>
  <c r="K12" i="1"/>
  <c r="G13" i="1"/>
  <c r="I20" i="1"/>
  <c r="K20" i="1"/>
  <c r="K24" i="1"/>
  <c r="I24" i="1"/>
  <c r="G25" i="1"/>
  <c r="K22" i="1"/>
  <c r="E21" i="1"/>
  <c r="I22" i="1"/>
  <c r="D8" i="1"/>
  <c r="H9" i="1"/>
  <c r="L12" i="1"/>
  <c r="J12" i="1"/>
  <c r="L24" i="1"/>
  <c r="J24" i="1"/>
  <c r="K9" i="1"/>
  <c r="E8" i="1"/>
  <c r="I9" i="1"/>
  <c r="G10" i="1"/>
  <c r="K13" i="1"/>
  <c r="I13" i="1"/>
  <c r="G14" i="1"/>
  <c r="C17" i="1"/>
  <c r="G18" i="1"/>
  <c r="C21" i="1"/>
  <c r="G21" i="1" s="1"/>
  <c r="G22" i="1"/>
  <c r="K25" i="1"/>
  <c r="I25" i="1"/>
  <c r="G26" i="1"/>
  <c r="G11" i="1"/>
  <c r="G23" i="1"/>
  <c r="H13" i="1"/>
  <c r="J20" i="1"/>
  <c r="L20" i="1"/>
  <c r="H25" i="1"/>
  <c r="L9" i="1"/>
  <c r="F8" i="1"/>
  <c r="J9" i="1"/>
  <c r="H10" i="1"/>
  <c r="L13" i="1"/>
  <c r="J13" i="1"/>
  <c r="H14" i="1"/>
  <c r="D17" i="1"/>
  <c r="H18" i="1"/>
  <c r="D21" i="1"/>
  <c r="H22" i="1"/>
  <c r="L25" i="1"/>
  <c r="J25" i="1"/>
  <c r="H26" i="1"/>
  <c r="G19" i="1"/>
  <c r="K26" i="1"/>
  <c r="I26" i="1"/>
  <c r="I8" i="1" l="1"/>
  <c r="K8" i="1"/>
  <c r="C16" i="1"/>
  <c r="G17" i="1"/>
  <c r="G16" i="1" s="1"/>
  <c r="K17" i="1"/>
  <c r="E16" i="1"/>
  <c r="I17" i="1"/>
  <c r="C27" i="1"/>
  <c r="C28" i="1" s="1"/>
  <c r="H17" i="1"/>
  <c r="D16" i="1"/>
  <c r="H16" i="1" s="1"/>
  <c r="H21" i="1"/>
  <c r="L8" i="1"/>
  <c r="J8" i="1"/>
  <c r="G8" i="1"/>
  <c r="L21" i="1"/>
  <c r="J21" i="1"/>
  <c r="L17" i="1"/>
  <c r="F16" i="1"/>
  <c r="F27" i="1" s="1"/>
  <c r="J17" i="1"/>
  <c r="H8" i="1"/>
  <c r="K21" i="1"/>
  <c r="I21" i="1"/>
  <c r="J27" i="1" l="1"/>
  <c r="F28" i="1"/>
  <c r="G27" i="1"/>
  <c r="G28" i="1" s="1"/>
  <c r="D27" i="1"/>
  <c r="I16" i="1"/>
  <c r="K16" i="1"/>
  <c r="L16" i="1"/>
  <c r="J16" i="1"/>
  <c r="E27" i="1"/>
  <c r="L27" i="1" s="1"/>
  <c r="H27" i="1" l="1"/>
  <c r="D28" i="1"/>
  <c r="K27" i="1"/>
  <c r="I27" i="1"/>
  <c r="E28" i="1"/>
  <c r="L28" i="1"/>
  <c r="J28" i="1"/>
  <c r="I28" i="1" l="1"/>
  <c r="K28" i="1"/>
  <c r="H28" i="1"/>
</calcChain>
</file>

<file path=xl/sharedStrings.xml><?xml version="1.0" encoding="utf-8"?>
<sst xmlns="http://schemas.openxmlformats.org/spreadsheetml/2006/main" count="53" uniqueCount="50">
  <si>
    <t>Cuadro No. 2</t>
  </si>
  <si>
    <t>Ejecución del presupuesto del Gobierno Central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</si>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</sst>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0.0%"/>
    <numFmt numFmtId="171" formatCode="_-* #,##0.0_-;\-* #,##0.0_-;_-* &quot;-&quot;_-;_-@_-"/>
    <numFmt numFmtId="172" formatCode="[$-240A]d&quot; de &quot;mmmm&quot; de &quot;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9" fillId="0" borderId="0"/>
  </cellStyleXfs>
  <cellXfs count="56">
    <xf numFmtId="0" fontId="0" fillId="0" borderId="0" xfId="0"/>
    <xf numFmtId="164" fontId="2" fillId="0" borderId="0" xfId="1" applyNumberFormat="1" applyFont="1" applyAlignment="1">
      <alignment horizontal="center"/>
    </xf>
    <xf numFmtId="0" fontId="3" fillId="0" borderId="0" xfId="0" applyFont="1"/>
    <xf numFmtId="164" fontId="4" fillId="0" borderId="0" xfId="1" applyNumberFormat="1" applyFont="1" applyAlignment="1">
      <alignment horizont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left" vertical="top" wrapText="1"/>
    </xf>
    <xf numFmtId="166" fontId="6" fillId="2" borderId="0" xfId="4" applyNumberFormat="1" applyFont="1" applyFill="1" applyAlignment="1">
      <alignment horizontal="center" vertical="top" wrapText="1"/>
    </xf>
    <xf numFmtId="166" fontId="6" fillId="2" borderId="1" xfId="5" applyNumberFormat="1" applyFont="1" applyFill="1" applyBorder="1" applyAlignment="1">
      <alignment horizontal="center" vertical="top" wrapText="1"/>
    </xf>
    <xf numFmtId="164" fontId="6" fillId="2" borderId="2" xfId="1" applyNumberFormat="1" applyFont="1" applyFill="1" applyBorder="1" applyAlignment="1">
      <alignment horizontal="center" vertical="top"/>
    </xf>
    <xf numFmtId="168" fontId="6" fillId="2" borderId="0" xfId="6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Continuous"/>
    </xf>
    <xf numFmtId="166" fontId="6" fillId="2" borderId="0" xfId="1" quotePrefix="1" applyNumberFormat="1" applyFont="1" applyFill="1" applyAlignment="1">
      <alignment horizontal="center"/>
    </xf>
    <xf numFmtId="166" fontId="6" fillId="2" borderId="0" xfId="1" quotePrefix="1" applyNumberFormat="1" applyFont="1" applyFill="1" applyAlignment="1">
      <alignment horizontal="center" vertical="center"/>
    </xf>
    <xf numFmtId="166" fontId="6" fillId="2" borderId="0" xfId="1" quotePrefix="1" applyNumberFormat="1" applyFont="1" applyFill="1" applyAlignment="1">
      <alignment horizontal="center" vertical="top"/>
    </xf>
    <xf numFmtId="166" fontId="6" fillId="2" borderId="1" xfId="1" applyNumberFormat="1" applyFont="1" applyFill="1" applyBorder="1" applyAlignment="1">
      <alignment horizontal="center"/>
    </xf>
    <xf numFmtId="168" fontId="6" fillId="2" borderId="0" xfId="6" quotePrefix="1" applyNumberFormat="1" applyFont="1" applyFill="1" applyAlignment="1">
      <alignment horizontal="center"/>
    </xf>
    <xf numFmtId="41" fontId="3" fillId="0" borderId="0" xfId="2" applyFont="1"/>
    <xf numFmtId="169" fontId="3" fillId="0" borderId="0" xfId="0" applyNumberFormat="1" applyFont="1"/>
    <xf numFmtId="164" fontId="2" fillId="3" borderId="2" xfId="1" applyNumberFormat="1" applyFont="1" applyFill="1" applyBorder="1"/>
    <xf numFmtId="164" fontId="2" fillId="3" borderId="2" xfId="7" applyNumberFormat="1" applyFont="1" applyFill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6" fontId="3" fillId="0" borderId="0" xfId="0" applyNumberFormat="1" applyFont="1"/>
    <xf numFmtId="164" fontId="4" fillId="0" borderId="0" xfId="1" applyNumberFormat="1" applyFont="1"/>
    <xf numFmtId="164" fontId="4" fillId="0" borderId="0" xfId="7" applyNumberFormat="1" applyFont="1"/>
    <xf numFmtId="166" fontId="4" fillId="0" borderId="0" xfId="8" applyNumberFormat="1" applyFont="1"/>
    <xf numFmtId="166" fontId="4" fillId="0" borderId="1" xfId="1" applyNumberFormat="1" applyFont="1" applyBorder="1"/>
    <xf numFmtId="10" fontId="3" fillId="0" borderId="0" xfId="3" applyNumberFormat="1" applyFont="1"/>
    <xf numFmtId="9" fontId="3" fillId="0" borderId="0" xfId="3" applyFont="1"/>
    <xf numFmtId="164" fontId="4" fillId="0" borderId="0" xfId="1" applyNumberFormat="1" applyFont="1" applyAlignment="1">
      <alignment vertical="top" wrapText="1"/>
    </xf>
    <xf numFmtId="164" fontId="4" fillId="0" borderId="0" xfId="7" applyNumberFormat="1" applyFont="1" applyAlignment="1">
      <alignment vertical="top" wrapText="1"/>
    </xf>
    <xf numFmtId="166" fontId="4" fillId="0" borderId="0" xfId="8" applyNumberFormat="1" applyFont="1" applyAlignment="1">
      <alignment vertical="top"/>
    </xf>
    <xf numFmtId="166" fontId="4" fillId="0" borderId="0" xfId="8" applyNumberFormat="1" applyFont="1" applyAlignment="1">
      <alignment horizontal="center" vertical="top" wrapText="1"/>
    </xf>
    <xf numFmtId="166" fontId="4" fillId="0" borderId="0" xfId="8" applyNumberFormat="1" applyFont="1" applyAlignment="1">
      <alignment vertical="top" wrapText="1"/>
    </xf>
    <xf numFmtId="166" fontId="4" fillId="0" borderId="1" xfId="1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9" fontId="3" fillId="0" borderId="0" xfId="3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2" fillId="0" borderId="0" xfId="7" applyNumberFormat="1" applyFont="1"/>
    <xf numFmtId="166" fontId="2" fillId="0" borderId="0" xfId="1" applyNumberFormat="1" applyFont="1"/>
    <xf numFmtId="166" fontId="2" fillId="0" borderId="1" xfId="1" applyNumberFormat="1" applyFont="1" applyBorder="1"/>
    <xf numFmtId="164" fontId="2" fillId="0" borderId="0" xfId="1" applyNumberFormat="1" applyFont="1"/>
    <xf numFmtId="164" fontId="4" fillId="0" borderId="0" xfId="7" applyNumberFormat="1" applyFont="1" applyAlignment="1">
      <alignment horizontal="left" indent="1"/>
    </xf>
    <xf numFmtId="170" fontId="3" fillId="0" borderId="0" xfId="3" applyNumberFormat="1" applyFont="1"/>
    <xf numFmtId="164" fontId="6" fillId="2" borderId="2" xfId="1" applyNumberFormat="1" applyFont="1" applyFill="1" applyBorder="1"/>
    <xf numFmtId="166" fontId="6" fillId="2" borderId="2" xfId="1" applyNumberFormat="1" applyFont="1" applyFill="1" applyBorder="1"/>
    <xf numFmtId="166" fontId="6" fillId="2" borderId="2" xfId="1" applyNumberFormat="1" applyFont="1" applyFill="1" applyBorder="1" applyAlignment="1">
      <alignment vertical="center"/>
    </xf>
    <xf numFmtId="166" fontId="6" fillId="2" borderId="2" xfId="1" applyNumberFormat="1" applyFont="1" applyFill="1" applyBorder="1" applyAlignment="1">
      <alignment vertical="top"/>
    </xf>
    <xf numFmtId="166" fontId="6" fillId="2" borderId="3" xfId="1" applyNumberFormat="1" applyFont="1" applyFill="1" applyBorder="1"/>
    <xf numFmtId="171" fontId="3" fillId="0" borderId="0" xfId="2" applyNumberFormat="1" applyFont="1"/>
    <xf numFmtId="164" fontId="6" fillId="2" borderId="0" xfId="1" applyNumberFormat="1" applyFont="1" applyFill="1"/>
    <xf numFmtId="166" fontId="6" fillId="2" borderId="0" xfId="1" applyNumberFormat="1" applyFont="1" applyFill="1"/>
    <xf numFmtId="166" fontId="6" fillId="2" borderId="1" xfId="1" applyNumberFormat="1" applyFont="1" applyFill="1" applyBorder="1"/>
    <xf numFmtId="172" fontId="4" fillId="0" borderId="0" xfId="9" applyFont="1"/>
    <xf numFmtId="43" fontId="3" fillId="0" borderId="0" xfId="1" applyFont="1"/>
    <xf numFmtId="0" fontId="3" fillId="0" borderId="0" xfId="0" applyFont="1" applyAlignment="1">
      <alignment horizontal="center"/>
    </xf>
  </cellXfs>
  <cellStyles count="10">
    <cellStyle name="Millares" xfId="1" builtinId="3"/>
    <cellStyle name="Millares [0]" xfId="2" builtinId="6"/>
    <cellStyle name="Millares 2 4 2" xfId="7" xr:uid="{7875B800-7DF7-40DC-81AC-A2F2584A69C2}"/>
    <cellStyle name="Millares 4 3" xfId="4" xr:uid="{3525DC04-2DC5-40AB-B9A7-3EA93AAB60B2}"/>
    <cellStyle name="Millares 7 2" xfId="5" xr:uid="{9A7EFA0C-6C76-43FD-AF5A-445BDE37D99F}"/>
    <cellStyle name="Millares 9" xfId="8" xr:uid="{37FCED23-B516-4E37-86AA-70766D0D579E}"/>
    <cellStyle name="Millares_CIFRAS PAGINA WEB 1995 - 2003" xfId="9" xr:uid="{67487C07-8E1E-47CC-8F62-42593992400C}"/>
    <cellStyle name="Millares_Plano ejecucion principales programas julio 13 - Despues de consejo de ministros" xfId="6" xr:uid="{90A6C5E5-D720-4929-8890-A21140CC5EA3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>
        <row r="3">
          <cell r="A3" t="str">
            <v>Acumulada a marzo de 2020</v>
          </cell>
        </row>
      </sheetData>
      <sheetData sheetId="4">
        <row r="10">
          <cell r="A10" t="str">
            <v>Etiquetas de fila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273B-7F3C-42D4-AC16-898B510FC4A9}">
  <sheetPr codeName="Hoja5">
    <tabColor theme="0"/>
    <pageSetUpPr fitToPage="1"/>
  </sheetPr>
  <dimension ref="A1:XFD32"/>
  <sheetViews>
    <sheetView showGridLines="0" tabSelected="1" workbookViewId="0">
      <selection activeCell="M8" sqref="M8"/>
    </sheetView>
  </sheetViews>
  <sheetFormatPr baseColWidth="10" defaultColWidth="0" defaultRowHeight="11.25" zeroHeight="1" x14ac:dyDescent="0.2"/>
  <cols>
    <col min="1" max="1" width="3.28515625" style="2" customWidth="1"/>
    <col min="2" max="2" width="33.7109375" style="2" customWidth="1"/>
    <col min="3" max="3" width="13.7109375" style="2" bestFit="1" customWidth="1"/>
    <col min="4" max="4" width="11.85546875" style="2" bestFit="1" customWidth="1"/>
    <col min="5" max="5" width="9.5703125" style="2" bestFit="1" customWidth="1"/>
    <col min="6" max="6" width="8.140625" style="2" customWidth="1"/>
    <col min="7" max="7" width="13.7109375" style="2" bestFit="1" customWidth="1"/>
    <col min="8" max="8" width="11.7109375" style="2" bestFit="1" customWidth="1"/>
    <col min="9" max="9" width="11" style="2" bestFit="1" customWidth="1"/>
    <col min="10" max="10" width="10.42578125" style="2" bestFit="1" customWidth="1"/>
    <col min="11" max="11" width="11.85546875" style="2" bestFit="1" customWidth="1"/>
    <col min="12" max="12" width="10.5703125" style="2" bestFit="1" customWidth="1"/>
    <col min="13" max="13" width="11.42578125" style="2" customWidth="1"/>
    <col min="14" max="16375" width="11.42578125" style="2" hidden="1" customWidth="1"/>
    <col min="16376" max="16376" width="8.140625" style="2" hidden="1" customWidth="1"/>
    <col min="16377" max="16377" width="5.85546875" style="2" hidden="1" customWidth="1"/>
    <col min="16378" max="16378" width="17" style="2" hidden="1" customWidth="1"/>
    <col min="16379" max="16379" width="10.42578125" style="2" hidden="1" customWidth="1"/>
    <col min="16380" max="16380" width="12.140625" style="2" hidden="1" customWidth="1"/>
    <col min="16381" max="16381" width="9.5703125" style="2" hidden="1" customWidth="1"/>
    <col min="16382" max="16382" width="25.7109375" style="2" hidden="1" customWidth="1"/>
    <col min="16383" max="16384" width="22.7109375" style="2" hidden="1" customWidth="1"/>
  </cols>
  <sheetData>
    <row r="1" spans="1:18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ht="9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9.75" customHeight="1" x14ac:dyDescent="0.2">
      <c r="A3" s="1" t="str">
        <f>+[1]CUA1!A3:L3</f>
        <v>Acumulada a marzo de 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9.7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8" ht="11.25" customHeight="1" x14ac:dyDescent="0.2">
      <c r="A5" s="4"/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  <c r="H5" s="8" t="s">
        <v>9</v>
      </c>
      <c r="I5" s="8"/>
      <c r="J5" s="8"/>
      <c r="K5" s="8"/>
      <c r="L5" s="8"/>
    </row>
    <row r="6" spans="1:18" ht="12" customHeight="1" x14ac:dyDescent="0.2">
      <c r="A6" s="4"/>
      <c r="B6" s="5"/>
      <c r="C6" s="6" t="s">
        <v>10</v>
      </c>
      <c r="D6" s="6"/>
      <c r="E6" s="6"/>
      <c r="F6" s="6"/>
      <c r="G6" s="7"/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</row>
    <row r="7" spans="1:18" x14ac:dyDescent="0.2">
      <c r="A7" s="4"/>
      <c r="B7" s="10"/>
      <c r="C7" s="11" t="s">
        <v>16</v>
      </c>
      <c r="D7" s="12" t="s">
        <v>17</v>
      </c>
      <c r="E7" s="11" t="s">
        <v>18</v>
      </c>
      <c r="F7" s="13" t="s">
        <v>19</v>
      </c>
      <c r="G7" s="14" t="s">
        <v>20</v>
      </c>
      <c r="H7" s="15" t="s">
        <v>21</v>
      </c>
      <c r="I7" s="15" t="s">
        <v>22</v>
      </c>
      <c r="J7" s="15" t="s">
        <v>23</v>
      </c>
      <c r="K7" s="15" t="s">
        <v>24</v>
      </c>
      <c r="L7" s="15" t="s">
        <v>25</v>
      </c>
      <c r="N7" s="16"/>
      <c r="O7" s="17"/>
    </row>
    <row r="8" spans="1:18" ht="11.25" customHeight="1" x14ac:dyDescent="0.2">
      <c r="A8" s="18" t="s">
        <v>26</v>
      </c>
      <c r="B8" s="19" t="s">
        <v>27</v>
      </c>
      <c r="C8" s="20">
        <f>SUM(C9:C15)</f>
        <v>162793.89575222795</v>
      </c>
      <c r="D8" s="20">
        <f>SUM(D9:D15)</f>
        <v>47766.932459667674</v>
      </c>
      <c r="E8" s="20">
        <f>SUM(E9:E15)</f>
        <v>32523.930567025007</v>
      </c>
      <c r="F8" s="20">
        <f>SUM(F9:F15)</f>
        <v>31462.988946652014</v>
      </c>
      <c r="G8" s="21">
        <f>SUM(G9:G15)</f>
        <v>115026.96329256032</v>
      </c>
      <c r="H8" s="18">
        <f t="shared" ref="H8:H25" si="0">IFERROR(IF(D8&gt;0,+D8/C8*100,0),0)</f>
        <v>29.341967792434225</v>
      </c>
      <c r="I8" s="18">
        <f t="shared" ref="I8:I25" si="1">IFERROR(IF(E8&gt;0,+E8/C8*100,0),0)</f>
        <v>19.978593433580812</v>
      </c>
      <c r="J8" s="18">
        <f t="shared" ref="J8:J25" si="2">IFERROR(IF(F8&gt;0,+F8/C8*100,0),0)</f>
        <v>19.326884955525994</v>
      </c>
      <c r="K8" s="18">
        <f t="shared" ref="K8:L23" si="3">IFERROR(IF(E8&gt;0,+E8/D8*100,0),0)</f>
        <v>68.088798866217331</v>
      </c>
      <c r="L8" s="18">
        <f t="shared" si="3"/>
        <v>96.737966162525737</v>
      </c>
      <c r="N8" s="22"/>
      <c r="O8" s="17"/>
    </row>
    <row r="9" spans="1:18" ht="11.45" customHeight="1" x14ac:dyDescent="0.2">
      <c r="A9" s="23"/>
      <c r="B9" s="24" t="s">
        <v>28</v>
      </c>
      <c r="C9" s="25">
        <f>+GETPIVOTDATA("Suma de Apropiacion Vigente",'[1]CUA2.TD'!$A$10,"Tipo","1Funcionamiento","Cuentas","A-Gastos de Personal")/1000000000</f>
        <v>31190.793269207999</v>
      </c>
      <c r="D9" s="25">
        <f>+GETPIVOTDATA("Suma de Compromisos",'[1]CUA2.TD'!$A$10,"Tipo","1Funcionamiento","Cuentas","A-Gastos de Personal")/1000000000</f>
        <v>6954.5185723038594</v>
      </c>
      <c r="E9" s="25">
        <f>+GETPIVOTDATA("Suma de Obligación",'[1]CUA2.TD'!$A$10,"Tipo","1Funcionamiento","Cuentas","A-Gastos de Personal")/1000000000</f>
        <v>6428.4295356044195</v>
      </c>
      <c r="F9" s="25">
        <f>+GETPIVOTDATA("Suma de Pago",'[1]CUA2.TD'!$A$10,"Tipo","1Funcionamiento","Cuentas","A-Gastos de Personal")/1000000000</f>
        <v>6416.3086752666295</v>
      </c>
      <c r="G9" s="26">
        <f t="shared" ref="G9:G15" si="4">(((+C9-D9)))</f>
        <v>24236.27469690414</v>
      </c>
      <c r="H9" s="23">
        <f t="shared" si="0"/>
        <v>22.296703108123449</v>
      </c>
      <c r="I9" s="23">
        <f t="shared" si="1"/>
        <v>20.610022579806131</v>
      </c>
      <c r="J9" s="23">
        <f t="shared" si="2"/>
        <v>20.571162201254118</v>
      </c>
      <c r="K9" s="23">
        <f t="shared" si="3"/>
        <v>92.43529180014599</v>
      </c>
      <c r="L9" s="23">
        <f t="shared" si="3"/>
        <v>99.81144912189427</v>
      </c>
      <c r="N9" s="16"/>
      <c r="O9" s="17"/>
    </row>
    <row r="10" spans="1:18" ht="11.45" customHeight="1" x14ac:dyDescent="0.2">
      <c r="A10" s="23"/>
      <c r="B10" s="24" t="s">
        <v>29</v>
      </c>
      <c r="C10" s="25">
        <f>+GETPIVOTDATA("Suma de Apropiacion Vigente",'[1]CUA2.TD'!$A$10,"Tipo","1Funcionamiento","Cuentas","B-Adquisiciones de Bienes y Servicios")/1000000000</f>
        <v>8180.5887223870004</v>
      </c>
      <c r="D10" s="25">
        <f>+GETPIVOTDATA("Suma de Compromisos",'[1]CUA2.TD'!$A$10,"Tipo","1Funcionamiento","Cuentas","B-Adquisiciones de Bienes y Servicios")/1000000000</f>
        <v>4395.9963333423011</v>
      </c>
      <c r="E10" s="25">
        <f>+GETPIVOTDATA("Suma de Obligación",'[1]CUA2.TD'!$A$10,"Tipo","1Funcionamiento","Cuentas","B-Adquisiciones de Bienes y Servicios")/1000000000</f>
        <v>1136.70613738111</v>
      </c>
      <c r="F10" s="25">
        <f>+GETPIVOTDATA("Suma de Pago",'[1]CUA2.TD'!$A$10,"Tipo","1Funcionamiento","Cuentas","B-Adquisiciones de Bienes y Servicios")/1000000000</f>
        <v>1060.8278145161103</v>
      </c>
      <c r="G10" s="26">
        <f t="shared" si="4"/>
        <v>3784.5923890446993</v>
      </c>
      <c r="H10" s="23">
        <f t="shared" si="0"/>
        <v>53.736918973963533</v>
      </c>
      <c r="I10" s="23">
        <f t="shared" si="1"/>
        <v>13.895163000560093</v>
      </c>
      <c r="J10" s="23">
        <f t="shared" si="2"/>
        <v>12.967621897590925</v>
      </c>
      <c r="K10" s="23">
        <f t="shared" si="3"/>
        <v>25.857758996738422</v>
      </c>
      <c r="L10" s="23">
        <f t="shared" si="3"/>
        <v>93.324719523392559</v>
      </c>
    </row>
    <row r="11" spans="1:18" ht="11.45" customHeight="1" x14ac:dyDescent="0.2">
      <c r="A11" s="23"/>
      <c r="B11" s="24" t="s">
        <v>30</v>
      </c>
      <c r="C11" s="25">
        <f>+GETPIVOTDATA("Suma de Apropiacion Vigente",'[1]CUA2.TD'!$A$10,"Tipo","1Funcionamiento","Cuentas","C-Transferencias")/1000000000</f>
        <v>122308.008786935</v>
      </c>
      <c r="D11" s="25">
        <f>+GETPIVOTDATA("Suma de Compromisos",'[1]CUA2.TD'!$A$10,"Tipo","1Funcionamiento","Cuentas","C-Transferencias")/1000000000</f>
        <v>35919.188349027943</v>
      </c>
      <c r="E11" s="25">
        <f>+GETPIVOTDATA("Suma de Obligación",'[1]CUA2.TD'!$A$10,"Tipo","1Funcionamiento","Cuentas","C-Transferencias")/1000000000</f>
        <v>24502.911336551238</v>
      </c>
      <c r="F11" s="25">
        <f>+GETPIVOTDATA("Suma de Pago",'[1]CUA2.TD'!$A$10,"Tipo","1Funcionamiento","Cuentas","C-Transferencias")/1000000000</f>
        <v>23531.384544344772</v>
      </c>
      <c r="G11" s="26">
        <f t="shared" si="4"/>
        <v>86388.820437907052</v>
      </c>
      <c r="H11" s="23">
        <f t="shared" si="0"/>
        <v>29.367813853956591</v>
      </c>
      <c r="I11" s="23">
        <f t="shared" si="1"/>
        <v>20.033775040223411</v>
      </c>
      <c r="J11" s="23">
        <f t="shared" si="2"/>
        <v>19.239447013921467</v>
      </c>
      <c r="K11" s="23">
        <f t="shared" si="3"/>
        <v>68.21677343723816</v>
      </c>
      <c r="L11" s="23">
        <f t="shared" si="3"/>
        <v>96.035055676191305</v>
      </c>
      <c r="N11" s="27"/>
    </row>
    <row r="12" spans="1:18" ht="11.45" customHeight="1" x14ac:dyDescent="0.2">
      <c r="A12" s="23"/>
      <c r="B12" s="24" t="s">
        <v>31</v>
      </c>
      <c r="C12" s="25">
        <f>+GETPIVOTDATA("Suma de Apropiacion Vigente",'[1]CUA2.TD'!$A$10,"Tipo","1Funcionamiento","Cuentas","D-Gastos de Comercialización y Producción")/1000000000</f>
        <v>84.631892171000004</v>
      </c>
      <c r="D12" s="25">
        <f>+GETPIVOTDATA("Suma de Compromisos",'[1]CUA2.TD'!$A$10,"Tipo","1Funcionamiento","Cuentas","D-Gastos de Comercialización y Producción")/1000000000</f>
        <v>41.085719827520002</v>
      </c>
      <c r="E12" s="25">
        <f>+GETPIVOTDATA("Suma de Obligación",'[1]CUA2.TD'!$A$10,"Tipo","1Funcionamiento","Cuentas","D-Gastos de Comercialización y Producción")/1000000000</f>
        <v>4.1580305258000001</v>
      </c>
      <c r="F12" s="25">
        <f>+GETPIVOTDATA("Suma de Pago",'[1]CUA2.TD'!$A$10,"Tipo","1Funcionamiento","Cuentas","D-Gastos de Comercialización y Producción")/1000000000</f>
        <v>4.1429580648000002</v>
      </c>
      <c r="G12" s="26">
        <f t="shared" si="4"/>
        <v>43.546172343480002</v>
      </c>
      <c r="H12" s="23">
        <f t="shared" si="0"/>
        <v>48.546379826301994</v>
      </c>
      <c r="I12" s="23">
        <f t="shared" si="1"/>
        <v>4.9130775871094041</v>
      </c>
      <c r="J12" s="23">
        <f t="shared" si="2"/>
        <v>4.8952681530847633</v>
      </c>
      <c r="K12" s="23">
        <f t="shared" si="3"/>
        <v>10.120378913295495</v>
      </c>
      <c r="L12" s="23">
        <f t="shared" si="3"/>
        <v>99.637509611666459</v>
      </c>
      <c r="N12" s="27"/>
    </row>
    <row r="13" spans="1:18" ht="11.45" customHeight="1" x14ac:dyDescent="0.2">
      <c r="A13" s="23"/>
      <c r="B13" s="24" t="s">
        <v>32</v>
      </c>
      <c r="C13" s="25">
        <f>+GETPIVOTDATA("Suma de Apropiacion Vigente",'[1]CUA2.TD'!$A$10,"Tipo","1Funcionamiento","Cuentas","E-Adquisición de Activos Financieros")/1000000000</f>
        <v>320.00799999999998</v>
      </c>
      <c r="D13" s="25">
        <f>+GETPIVOTDATA("Suma de Compromisos",'[1]CUA2.TD'!$A$10,"Tipo","1Funcionamiento","Cuentas","E-Adquisición de Activos Financieros")/1000000000</f>
        <v>317.96783135999999</v>
      </c>
      <c r="E13" s="25">
        <f>+GETPIVOTDATA("Suma de Obligación",'[1]CUA2.TD'!$A$10,"Tipo","1Funcionamiento","Cuentas","E-Adquisición de Activos Financieros")/1000000000</f>
        <v>317.96783135999999</v>
      </c>
      <c r="F13" s="25">
        <f>+GETPIVOTDATA("Suma de Pago",'[1]CUA2.TD'!$A$10,"Tipo","1Funcionamiento","Cuentas","E-Adquisición de Activos Financieros")/1000000000</f>
        <v>317.96783135999999</v>
      </c>
      <c r="G13" s="26">
        <f t="shared" si="4"/>
        <v>2.0401686399999903</v>
      </c>
      <c r="H13" s="23">
        <f t="shared" si="0"/>
        <v>99.362463238419039</v>
      </c>
      <c r="I13" s="23">
        <f t="shared" si="1"/>
        <v>99.362463238419039</v>
      </c>
      <c r="J13" s="23">
        <f t="shared" si="2"/>
        <v>99.362463238419039</v>
      </c>
      <c r="K13" s="23">
        <f t="shared" si="3"/>
        <v>100</v>
      </c>
      <c r="L13" s="23">
        <f t="shared" si="3"/>
        <v>100</v>
      </c>
      <c r="N13" s="28"/>
    </row>
    <row r="14" spans="1:18" ht="11.45" customHeight="1" x14ac:dyDescent="0.2">
      <c r="A14" s="23"/>
      <c r="B14" s="24" t="s">
        <v>33</v>
      </c>
      <c r="C14" s="25">
        <f>+GETPIVOTDATA("Suma de Apropiacion Vigente",'[1]CUA2.TD'!$A$10,"Tipo","1Funcionamiento","Cuentas","F-Disminución de Pasivos")/1000000000</f>
        <v>230.43158931900001</v>
      </c>
      <c r="D14" s="25">
        <f>+GETPIVOTDATA("Suma de Compromisos",'[1]CUA2.TD'!$A$10,"Tipo","1Funcionamiento","Cuentas","F-Disminución de Pasivos")/1000000000</f>
        <v>40.643801054010005</v>
      </c>
      <c r="E14" s="25">
        <f>+GETPIVOTDATA("Suma de Obligación",'[1]CUA2.TD'!$A$10,"Tipo","1Funcionamiento","Cuentas","F-Disminución de Pasivos")/1000000000</f>
        <v>39.088480189009999</v>
      </c>
      <c r="F14" s="25">
        <f>+GETPIVOTDATA("Suma de Pago",'[1]CUA2.TD'!$A$10,"Tipo","1Funcionamiento","Cuentas","F-Disminución de Pasivos")/1000000000</f>
        <v>37.954416113010005</v>
      </c>
      <c r="G14" s="26">
        <f t="shared" si="4"/>
        <v>189.78778826499001</v>
      </c>
      <c r="H14" s="23">
        <f t="shared" si="0"/>
        <v>17.63812035238988</v>
      </c>
      <c r="I14" s="23">
        <f t="shared" si="1"/>
        <v>16.963160434959946</v>
      </c>
      <c r="J14" s="23">
        <f t="shared" si="2"/>
        <v>16.47101260082335</v>
      </c>
      <c r="K14" s="23">
        <f t="shared" si="3"/>
        <v>96.173288854226016</v>
      </c>
      <c r="L14" s="23">
        <f t="shared" si="3"/>
        <v>97.09872558227822</v>
      </c>
      <c r="N14" s="28"/>
    </row>
    <row r="15" spans="1:18" s="35" customFormat="1" ht="23.25" customHeight="1" x14ac:dyDescent="0.25">
      <c r="A15" s="29"/>
      <c r="B15" s="30" t="s">
        <v>34</v>
      </c>
      <c r="C15" s="31">
        <f>+GETPIVOTDATA("Suma de Apropiacion Vigente",'[1]CUA2.TD'!$A$10,"Tipo","1Funcionamiento","Cuentas","G-Gastos por Tributos, Multas, Sanciones e Intereses de Mora")/1000000000</f>
        <v>479.43349220800002</v>
      </c>
      <c r="D15" s="32">
        <f>+GETPIVOTDATA("Suma de Compromisos",'[1]CUA2.TD'!$A$10,"Tipo","1Funcionamiento","Cuentas","G-Gastos por Tributos, Multas, Sanciones e Intereses de Mora")/1000000000</f>
        <v>97.531852752039995</v>
      </c>
      <c r="E15" s="33">
        <f>+GETPIVOTDATA("Suma de Obligación",'[1]CUA2.TD'!$A$10,"Tipo","1Funcionamiento","Cuentas","G-Gastos por Tributos, Multas, Sanciones e Intereses de Mora")/1000000000</f>
        <v>94.669215413429995</v>
      </c>
      <c r="F15" s="33">
        <f>+GETPIVOTDATA("Suma de Pago",'[1]CUA2.TD'!$A$10,"Tipo","1Funcionamiento","Cuentas","G-Gastos por Tributos, Multas, Sanciones e Intereses de Mora")/1000000000</f>
        <v>94.402706986689992</v>
      </c>
      <c r="G15" s="34">
        <f t="shared" si="4"/>
        <v>381.90163945596004</v>
      </c>
      <c r="H15" s="29">
        <f t="shared" si="0"/>
        <v>20.343145470055365</v>
      </c>
      <c r="I15" s="29">
        <f t="shared" si="1"/>
        <v>19.746057993870441</v>
      </c>
      <c r="J15" s="29">
        <f t="shared" si="2"/>
        <v>19.690469798412373</v>
      </c>
      <c r="K15" s="29">
        <f t="shared" si="3"/>
        <v>97.064920579446152</v>
      </c>
      <c r="L15" s="29">
        <f t="shared" si="3"/>
        <v>99.718484593353679</v>
      </c>
      <c r="N15" s="36"/>
      <c r="P15" s="37"/>
      <c r="Q15" s="37"/>
      <c r="R15" s="37"/>
    </row>
    <row r="16" spans="1:18" ht="11.25" customHeight="1" x14ac:dyDescent="0.2">
      <c r="A16" s="18" t="s">
        <v>35</v>
      </c>
      <c r="B16" s="19" t="s">
        <v>36</v>
      </c>
      <c r="C16" s="20">
        <f>+C17+C21</f>
        <v>53612.535937252003</v>
      </c>
      <c r="D16" s="20">
        <f>+D17+D21</f>
        <v>9563.4447080100981</v>
      </c>
      <c r="E16" s="20">
        <f>+E17+E21</f>
        <v>9519.7614519521812</v>
      </c>
      <c r="F16" s="20">
        <f>+F17+F21</f>
        <v>8781.9133442002803</v>
      </c>
      <c r="G16" s="20">
        <f>+G17+G21</f>
        <v>44049.091229241894</v>
      </c>
      <c r="H16" s="18">
        <f t="shared" si="0"/>
        <v>17.838075630675508</v>
      </c>
      <c r="I16" s="18">
        <f t="shared" si="1"/>
        <v>17.756596075018891</v>
      </c>
      <c r="J16" s="18">
        <f t="shared" si="2"/>
        <v>16.380335663432547</v>
      </c>
      <c r="K16" s="18">
        <f t="shared" si="3"/>
        <v>99.543226761991647</v>
      </c>
      <c r="L16" s="18">
        <f t="shared" si="3"/>
        <v>92.249300452790308</v>
      </c>
      <c r="N16" s="16"/>
    </row>
    <row r="17" spans="1:15 16382:16382" ht="11.25" customHeight="1" x14ac:dyDescent="0.2">
      <c r="A17" s="23"/>
      <c r="B17" s="38" t="s">
        <v>37</v>
      </c>
      <c r="C17" s="39">
        <f>+SUM(C18:C20)</f>
        <v>14284.975928438998</v>
      </c>
      <c r="D17" s="39">
        <f>+SUM(D18:D20)</f>
        <v>5754.1645832990989</v>
      </c>
      <c r="E17" s="39">
        <f>+SUM(E18:E20)</f>
        <v>5714.0985775111803</v>
      </c>
      <c r="F17" s="39">
        <f>+SUM(F18:F20)</f>
        <v>5714.0985775111803</v>
      </c>
      <c r="G17" s="40">
        <f>+C17-D17</f>
        <v>8530.8113451399004</v>
      </c>
      <c r="H17" s="41">
        <f t="shared" si="0"/>
        <v>40.281234019047382</v>
      </c>
      <c r="I17" s="41">
        <f t="shared" si="1"/>
        <v>40.000757482099537</v>
      </c>
      <c r="J17" s="41">
        <f t="shared" si="2"/>
        <v>40.000757482099537</v>
      </c>
      <c r="K17" s="41">
        <f t="shared" si="3"/>
        <v>99.303704209222545</v>
      </c>
      <c r="L17" s="41">
        <f t="shared" si="3"/>
        <v>100</v>
      </c>
      <c r="N17" s="22"/>
    </row>
    <row r="18" spans="1:15 16382:16382" ht="11.25" customHeight="1" x14ac:dyDescent="0.2">
      <c r="A18" s="23"/>
      <c r="B18" s="42" t="s">
        <v>38</v>
      </c>
      <c r="C18" s="25">
        <f>+GETPIVOTDATA("Suma de Apropiacion Vigente",'[1]CUA2.TD'!$A$10,"Tipo","2Servicio de la Deuda","Cuentas","A-Servicio de la Deuda Pública Externa","Detalle Programas","A-Principal")/1000000000</f>
        <v>5643.6139346769996</v>
      </c>
      <c r="D18" s="25">
        <f>+GETPIVOTDATA("Suma de Compromisos",'[1]CUA2.TD'!$A$10,"Tipo","2Servicio de la Deuda","Cuentas","A-Servicio de la Deuda Pública Externa","Detalle Programas","A-Principal")/1000000000</f>
        <v>3255.26039374214</v>
      </c>
      <c r="E18" s="25">
        <f>+GETPIVOTDATA("Suma de Obligación",'[1]CUA2.TD'!$A$10,"Tipo","2Servicio de la Deuda","Cuentas","A-Servicio de la Deuda Pública Externa","Detalle Programas","A-Principal")/1000000000</f>
        <v>3255.1506217015303</v>
      </c>
      <c r="F18" s="25">
        <f>+GETPIVOTDATA("Suma de Pago",'[1]CUA2.TD'!$A$10,"Tipo","2Servicio de la Deuda","Cuentas","A-Servicio de la Deuda Pública Externa","Detalle Programas","A-Principal")/1000000000</f>
        <v>3255.1506217015303</v>
      </c>
      <c r="G18" s="26">
        <f>(((+C18-D18)))</f>
        <v>2388.3535409348597</v>
      </c>
      <c r="H18" s="23">
        <f t="shared" si="0"/>
        <v>57.680423066154475</v>
      </c>
      <c r="I18" s="23">
        <f t="shared" si="1"/>
        <v>57.678477999715128</v>
      </c>
      <c r="J18" s="23">
        <f t="shared" si="2"/>
        <v>57.678477999715128</v>
      </c>
      <c r="K18" s="23">
        <f t="shared" si="3"/>
        <v>99.996627856843006</v>
      </c>
      <c r="L18" s="23">
        <f t="shared" si="3"/>
        <v>100</v>
      </c>
      <c r="N18" s="16"/>
    </row>
    <row r="19" spans="1:15 16382:16382" ht="11.25" customHeight="1" x14ac:dyDescent="0.2">
      <c r="A19" s="23"/>
      <c r="B19" s="42" t="s">
        <v>39</v>
      </c>
      <c r="C19" s="25">
        <f>+GETPIVOTDATA("Suma de Apropiacion Vigente",'[1]CUA2.TD'!$A$10,"Tipo","2Servicio de la Deuda","Cuentas","A-Servicio de la Deuda Pública Externa","Detalle Programas","B-Intereses")/1000000000</f>
        <v>8526.1508022439994</v>
      </c>
      <c r="D19" s="25">
        <f>+GETPIVOTDATA("Suma de Compromisos",'[1]CUA2.TD'!$A$10,"Tipo","2Servicio de la Deuda","Cuentas","A-Servicio de la Deuda Pública Externa","Detalle Programas","B-Intereses")/1000000000</f>
        <v>2435.6607609225698</v>
      </c>
      <c r="E19" s="25">
        <f>+GETPIVOTDATA("Suma de Obligación",'[1]CUA2.TD'!$A$10,"Tipo","2Servicio de la Deuda","Cuentas","A-Servicio de la Deuda Pública Externa","Detalle Programas","B-Intereses")/1000000000</f>
        <v>2401.6898634757199</v>
      </c>
      <c r="F19" s="25">
        <f>+GETPIVOTDATA("Suma de Pago",'[1]CUA2.TD'!$A$10,"Tipo","2Servicio de la Deuda","Cuentas","A-Servicio de la Deuda Pública Externa","Detalle Programas","B-Intereses")/1000000000</f>
        <v>2401.6898634757199</v>
      </c>
      <c r="G19" s="26">
        <f>(((+C19-D19)))</f>
        <v>6090.4900413214291</v>
      </c>
      <c r="H19" s="23">
        <f>IFERROR(IF(D19&gt;0,+D19/C19*100,0),0)</f>
        <v>28.566944420939961</v>
      </c>
      <c r="I19" s="23">
        <f>IFERROR(IF(E19&gt;0,+E19/C19*100,0),0)</f>
        <v>28.16851260528513</v>
      </c>
      <c r="J19" s="23">
        <f>IFERROR(IF(F19&gt;0,+F19/C19*100,0),0)</f>
        <v>28.16851260528513</v>
      </c>
      <c r="K19" s="23">
        <f t="shared" si="3"/>
        <v>98.605269748896291</v>
      </c>
      <c r="L19" s="23">
        <f t="shared" si="3"/>
        <v>100</v>
      </c>
      <c r="N19" s="43"/>
    </row>
    <row r="20" spans="1:15 16382:16382" ht="11.25" customHeight="1" x14ac:dyDescent="0.2">
      <c r="A20" s="23"/>
      <c r="B20" s="42" t="s">
        <v>40</v>
      </c>
      <c r="C20" s="25">
        <f>+GETPIVOTDATA("Suma de Apropiacion Vigente",'[1]CUA2.TD'!$A$10,"Tipo","2Servicio de la Deuda","Cuentas","A-Servicio de la Deuda Pública Externa","Detalle Programas","C-Comisiones Y Otros Gastos")/1000000000</f>
        <v>115.21119151800001</v>
      </c>
      <c r="D20" s="25">
        <f>+GETPIVOTDATA("Suma de Compromisos",'[1]CUA2.TD'!$A$10,"Tipo","2Servicio de la Deuda","Cuentas","A-Servicio de la Deuda Pública Externa","Detalle Programas","C-Comisiones Y Otros Gastos")/1000000000</f>
        <v>63.24342863439</v>
      </c>
      <c r="E20" s="25">
        <f>+GETPIVOTDATA("Suma de Obligación",'[1]CUA2.TD'!$A$10,"Tipo","2Servicio de la Deuda","Cuentas","A-Servicio de la Deuda Pública Externa","Detalle Programas","C-Comisiones Y Otros Gastos")/1000000000</f>
        <v>57.258092333929994</v>
      </c>
      <c r="F20" s="25">
        <f>+GETPIVOTDATA("Suma de Pago",'[1]CUA2.TD'!$A$10,"Tipo","2Servicio de la Deuda","Cuentas","A-Servicio de la Deuda Pública Externa","Detalle Programas","C-Comisiones Y Otros Gastos")/1000000000</f>
        <v>57.258092333929994</v>
      </c>
      <c r="G20" s="26">
        <f>(((+C20-D20)))</f>
        <v>51.967762883610007</v>
      </c>
      <c r="H20" s="23">
        <f t="shared" si="0"/>
        <v>54.893476754390804</v>
      </c>
      <c r="I20" s="23">
        <f t="shared" si="1"/>
        <v>49.698377023541404</v>
      </c>
      <c r="J20" s="23">
        <f t="shared" si="2"/>
        <v>49.698377023541404</v>
      </c>
      <c r="K20" s="23">
        <f t="shared" si="3"/>
        <v>90.53603444705503</v>
      </c>
      <c r="L20" s="23">
        <f t="shared" si="3"/>
        <v>100</v>
      </c>
      <c r="N20" s="43"/>
    </row>
    <row r="21" spans="1:15 16382:16382" ht="11.25" customHeight="1" x14ac:dyDescent="0.2">
      <c r="A21" s="23"/>
      <c r="B21" s="38" t="s">
        <v>41</v>
      </c>
      <c r="C21" s="39">
        <f>SUM(C22:C25)</f>
        <v>39327.560008813001</v>
      </c>
      <c r="D21" s="39">
        <f>SUM(D22:D25)</f>
        <v>3809.2801247110001</v>
      </c>
      <c r="E21" s="39">
        <f>SUM(E22:E25)</f>
        <v>3805.6628744410004</v>
      </c>
      <c r="F21" s="39">
        <f>SUM(F22:F25)</f>
        <v>3067.8147666891005</v>
      </c>
      <c r="G21" s="40">
        <f>((+C21-D21))</f>
        <v>35518.279884101998</v>
      </c>
      <c r="H21" s="23">
        <f t="shared" si="0"/>
        <v>9.6860321969056056</v>
      </c>
      <c r="I21" s="23">
        <f t="shared" si="1"/>
        <v>9.6768344478736559</v>
      </c>
      <c r="J21" s="23">
        <f t="shared" si="2"/>
        <v>7.8006740463980648</v>
      </c>
      <c r="K21" s="23">
        <f t="shared" si="3"/>
        <v>99.905041106151941</v>
      </c>
      <c r="L21" s="23">
        <f t="shared" si="3"/>
        <v>80.611837356710694</v>
      </c>
    </row>
    <row r="22" spans="1:15 16382:16382" ht="11.25" customHeight="1" x14ac:dyDescent="0.2">
      <c r="A22" s="23"/>
      <c r="B22" s="42" t="s">
        <v>38</v>
      </c>
      <c r="C22" s="25">
        <f>+GETPIVOTDATA("Suma de Apropiacion Vigente",'[1]CUA2.TD'!$A$10,"Tipo","2Servicio de la Deuda","Cuentas","B-Servicio de la Deuda Pública Interna","Detalle Programas","A-Principal")/1000000000</f>
        <v>17027.834008812999</v>
      </c>
      <c r="D22" s="25">
        <f>+GETPIVOTDATA("Suma de Compromisos",'[1]CUA2.TD'!$A$10,"Tipo","2Servicio de la Deuda","Cuentas","B-Servicio de la Deuda Pública Interna","Detalle Programas","A-Principal")/1000000000</f>
        <v>12.455973299</v>
      </c>
      <c r="E22" s="25">
        <f>+GETPIVOTDATA("Suma de Obligación",'[1]CUA2.TD'!$A$10,"Tipo","2Servicio de la Deuda","Cuentas","B-Servicio de la Deuda Pública Interna","Detalle Programas","A-Principal")/1000000000</f>
        <v>12.455973299</v>
      </c>
      <c r="F22" s="25">
        <f>+GETPIVOTDATA("Suma de Pago",'[1]CUA2.TD'!$A$10,"Tipo","2Servicio de la Deuda","Cuentas","B-Servicio de la Deuda Pública Interna","Detalle Programas","A-Principal")/1000000000</f>
        <v>12.417879299000001</v>
      </c>
      <c r="G22" s="26">
        <f>((+C22-D22))</f>
        <v>17015.378035514001</v>
      </c>
      <c r="H22" s="23">
        <f t="shared" si="0"/>
        <v>7.3150661984097531E-2</v>
      </c>
      <c r="I22" s="23">
        <f t="shared" si="1"/>
        <v>7.3150661984097531E-2</v>
      </c>
      <c r="J22" s="23">
        <f t="shared" si="2"/>
        <v>7.2926945920267661E-2</v>
      </c>
      <c r="K22" s="23">
        <f t="shared" si="3"/>
        <v>100</v>
      </c>
      <c r="L22" s="23">
        <f t="shared" si="3"/>
        <v>99.694170828039134</v>
      </c>
    </row>
    <row r="23" spans="1:15 16382:16382" ht="11.25" customHeight="1" x14ac:dyDescent="0.2">
      <c r="A23" s="23"/>
      <c r="B23" s="42" t="s">
        <v>39</v>
      </c>
      <c r="C23" s="25">
        <f>+GETPIVOTDATA("Suma de Apropiacion Vigente",'[1]CUA2.TD'!$A$10,"Tipo","2Servicio de la Deuda","Cuentas","B-Servicio de la Deuda Pública Interna","Detalle Programas","B-Intereses")/1000000000</f>
        <v>21380.367667267001</v>
      </c>
      <c r="D23" s="25">
        <f>+GETPIVOTDATA("Suma de Compromisos",'[1]CUA2.TD'!$A$10,"Tipo","2Servicio de la Deuda","Cuentas","B-Servicio de la Deuda Pública Interna","Detalle Programas","B-Intereses")/1000000000</f>
        <v>3787.4160419640002</v>
      </c>
      <c r="E23" s="25">
        <f>+GETPIVOTDATA("Suma de Obligación",'[1]CUA2.TD'!$A$10,"Tipo","2Servicio de la Deuda","Cuentas","B-Servicio de la Deuda Pública Interna","Detalle Programas","B-Intereses")/1000000000</f>
        <v>3787.4160419640002</v>
      </c>
      <c r="F23" s="25">
        <f>+GETPIVOTDATA("Suma de Pago",'[1]CUA2.TD'!$A$10,"Tipo","2Servicio de la Deuda","Cuentas","B-Servicio de la Deuda Pública Interna","Detalle Programas","B-Intereses")/1000000000</f>
        <v>3049.6286527961001</v>
      </c>
      <c r="G23" s="26">
        <f>(((+C23-D23)))</f>
        <v>17592.951625303001</v>
      </c>
      <c r="H23" s="23">
        <f>IFERROR(IF(D23&gt;0,+D23/C23*100,0),0)</f>
        <v>17.714457023872761</v>
      </c>
      <c r="I23" s="23">
        <f>IFERROR(IF(E23&gt;0,+E23/C23*100,0),0)</f>
        <v>17.714457023872761</v>
      </c>
      <c r="J23" s="23">
        <f>IFERROR(IF(F23&gt;0,+F23/C23*100,0),0)</f>
        <v>14.263686669266368</v>
      </c>
      <c r="K23" s="23">
        <f t="shared" si="3"/>
        <v>100</v>
      </c>
      <c r="L23" s="23">
        <f t="shared" si="3"/>
        <v>80.5200331573472</v>
      </c>
    </row>
    <row r="24" spans="1:15 16382:16382" ht="11.25" customHeight="1" x14ac:dyDescent="0.2">
      <c r="A24" s="23"/>
      <c r="B24" s="42" t="s">
        <v>40</v>
      </c>
      <c r="C24" s="25">
        <f>+GETPIVOTDATA("Suma de Apropiacion Vigente",'[1]CUA2.TD'!$A$10,"Tipo","2Servicio de la Deuda","Cuentas","B-Servicio de la Deuda Pública Interna","Detalle Programas","C-Comisiones Y Otros Gastos")/1000000000</f>
        <v>146.358332733</v>
      </c>
      <c r="D24" s="25">
        <f>+GETPIVOTDATA("Suma de Compromisos",'[1]CUA2.TD'!$A$10,"Tipo","2Servicio de la Deuda","Cuentas","B-Servicio de la Deuda Pública Interna","Detalle Programas","C-Comisiones Y Otros Gastos")/1000000000</f>
        <v>3.6172499999999999</v>
      </c>
      <c r="E24" s="25">
        <f>+GETPIVOTDATA("Suma de Obligación",'[1]CUA2.TD'!$A$10,"Tipo","2Servicio de la Deuda","Cuentas","B-Servicio de la Deuda Pública Interna","Detalle Programas","C-Comisiones Y Otros Gastos")/1000000000</f>
        <v>0</v>
      </c>
      <c r="F24" s="25">
        <f>+GETPIVOTDATA("Suma de Pago",'[1]CUA2.TD'!$A$10,"Tipo","2Servicio de la Deuda","Cuentas","B-Servicio de la Deuda Pública Interna","Detalle Programas","C-Comisiones Y Otros Gastos")/1000000000</f>
        <v>0</v>
      </c>
      <c r="G24" s="26">
        <f>(((+C24-D24)))</f>
        <v>142.74108273299998</v>
      </c>
      <c r="H24" s="23">
        <f>IFERROR(IF(D24&gt;0,+D24/C24*100,0),0)</f>
        <v>2.4715026008111969</v>
      </c>
      <c r="I24" s="23">
        <f>IFERROR(IF(E24&gt;0,+E24/C24*100,0),0)</f>
        <v>0</v>
      </c>
      <c r="J24" s="23">
        <f>IFERROR(IF(F24&gt;0,+F24/C24*100,0),0)</f>
        <v>0</v>
      </c>
      <c r="K24" s="23">
        <f t="shared" ref="K24:L33" si="5">IFERROR(IF(E24&gt;0,+E24/D24*100,0),0)</f>
        <v>0</v>
      </c>
      <c r="L24" s="23">
        <f t="shared" si="5"/>
        <v>0</v>
      </c>
      <c r="N24" s="28"/>
      <c r="O24" s="22"/>
    </row>
    <row r="25" spans="1:15 16382:16382" ht="11.25" customHeight="1" x14ac:dyDescent="0.2">
      <c r="A25" s="23"/>
      <c r="B25" s="42" t="s">
        <v>42</v>
      </c>
      <c r="C25" s="25">
        <f>+GETPIVOTDATA("Suma de Apropiacion Vigente",'[1]CUA2.TD'!$A$10,"Tipo","2Servicio de la Deuda","Cuentas","B-Servicio de la Deuda Pública Interna","Detalle Programas","D-Fondo de Contingencias")/1000000000</f>
        <v>773</v>
      </c>
      <c r="D25" s="25">
        <f>+GETPIVOTDATA("Suma de Compromisos",'[1]CUA2.TD'!$A$10,"Tipo","2Servicio de la Deuda","Cuentas","B-Servicio de la Deuda Pública Interna","Detalle Programas","D-Fondo de Contingencias")/1000000000</f>
        <v>5.790859448</v>
      </c>
      <c r="E25" s="25">
        <f>+GETPIVOTDATA("Suma de Obligación",'[1]CUA2.TD'!$A$10,"Tipo","2Servicio de la Deuda","Cuentas","B-Servicio de la Deuda Pública Interna","Detalle Programas","D-Fondo de Contingencias")/1000000000</f>
        <v>5.7908591779999998</v>
      </c>
      <c r="F25" s="25">
        <f>+GETPIVOTDATA("Suma de Pago",'[1]CUA2.TD'!$A$10,"Tipo","2Servicio de la Deuda","Cuentas","B-Servicio de la Deuda Pública Interna","Detalle Programas","D-Fondo de Contingencias")/1000000000</f>
        <v>5.7682345939999999</v>
      </c>
      <c r="G25" s="26">
        <f>((+C25-D25))</f>
        <v>767.20914055200001</v>
      </c>
      <c r="H25" s="23">
        <f t="shared" si="0"/>
        <v>0.74914093764553691</v>
      </c>
      <c r="I25" s="23">
        <f t="shared" si="1"/>
        <v>0.74914090271668821</v>
      </c>
      <c r="J25" s="23">
        <f t="shared" si="2"/>
        <v>0.74621404838292371</v>
      </c>
      <c r="K25" s="23">
        <f t="shared" si="5"/>
        <v>99.999995337479646</v>
      </c>
      <c r="L25" s="23">
        <f t="shared" si="5"/>
        <v>99.609305229076313</v>
      </c>
    </row>
    <row r="26" spans="1:15 16382:16382" ht="11.25" customHeight="1" x14ac:dyDescent="0.2">
      <c r="A26" s="18" t="s">
        <v>43</v>
      </c>
      <c r="B26" s="18" t="s">
        <v>44</v>
      </c>
      <c r="C26" s="20">
        <f>+GETPIVOTDATA("Suma de Apropiacion Vigente",'[1]CUA2.TD'!$A$10,"Tipo","3Inversión","Cuentas","A-Inversión")/1000000000</f>
        <v>38835.247336489003</v>
      </c>
      <c r="D26" s="20">
        <f>+GETPIVOTDATA("Suma de Compromisos",'[1]CUA2.TD'!$A$10,"Tipo","3Inversión","Cuentas","A-Inversión")/1000000000</f>
        <v>21490.154132086165</v>
      </c>
      <c r="E26" s="20">
        <f>+GETPIVOTDATA("Suma de Obligación",'[1]CUA2.TD'!$A$10,"Tipo","3Inversión","Cuentas","A-Inversión")/1000000000</f>
        <v>4699.613639540541</v>
      </c>
      <c r="F26" s="20">
        <f>+GETPIVOTDATA("Suma de Pago",'[1]CUA2.TD'!$A$10,"Tipo","3Inversión","Cuentas","A-Inversión")/1000000000</f>
        <v>4600.14642483431</v>
      </c>
      <c r="G26" s="21">
        <f>((+C26-D26))</f>
        <v>17345.093204402838</v>
      </c>
      <c r="H26" s="18">
        <f>IFERROR(IF(D26&gt;0,+D26/C26*100,0),0)</f>
        <v>55.336725284338137</v>
      </c>
      <c r="I26" s="18">
        <f>IFERROR(IF(E26&gt;0,+E26/C26*100,0),0)</f>
        <v>12.1014129221854</v>
      </c>
      <c r="J26" s="18">
        <f>IFERROR(IF(F26&gt;0,+F26/C26*100,0),0)</f>
        <v>11.845286795719936</v>
      </c>
      <c r="K26" s="18">
        <f t="shared" si="5"/>
        <v>21.868682796107635</v>
      </c>
      <c r="L26" s="18">
        <f t="shared" si="5"/>
        <v>97.88350229752173</v>
      </c>
      <c r="XFB26" s="22"/>
    </row>
    <row r="27" spans="1:15 16382:16382" ht="11.25" customHeight="1" x14ac:dyDescent="0.2">
      <c r="A27" s="44" t="s">
        <v>45</v>
      </c>
      <c r="B27" s="44" t="s">
        <v>46</v>
      </c>
      <c r="C27" s="45">
        <f>+C8+C16+C26</f>
        <v>255241.67902596897</v>
      </c>
      <c r="D27" s="46">
        <f>+D8+D16+D26</f>
        <v>78820.531299763941</v>
      </c>
      <c r="E27" s="45">
        <f>+E8+E16+E26</f>
        <v>46743.305658517733</v>
      </c>
      <c r="F27" s="47">
        <f>+F8+F16+F26</f>
        <v>44845.048715686607</v>
      </c>
      <c r="G27" s="48">
        <f>+G8+G16+G26</f>
        <v>176421.14772620506</v>
      </c>
      <c r="H27" s="44">
        <f>IFERROR(IF(D27&gt;0,+D27/C27*100,0),0)</f>
        <v>30.880744712443509</v>
      </c>
      <c r="I27" s="44">
        <f>IFERROR(IF(E27&gt;0,+E27/C27*100,0),0)</f>
        <v>18.313351423206218</v>
      </c>
      <c r="J27" s="44">
        <f>IFERROR(IF(F27&gt;0,+F27/C27*100,0),0)</f>
        <v>17.569641794717999</v>
      </c>
      <c r="K27" s="44">
        <f t="shared" si="5"/>
        <v>59.303464322953282</v>
      </c>
      <c r="L27" s="44">
        <f t="shared" si="5"/>
        <v>95.938975825332506</v>
      </c>
      <c r="N27" s="49"/>
      <c r="O27" s="43"/>
    </row>
    <row r="28" spans="1:15 16382:16382" ht="11.25" customHeight="1" x14ac:dyDescent="0.2">
      <c r="A28" s="50" t="s">
        <v>47</v>
      </c>
      <c r="B28" s="50" t="s">
        <v>48</v>
      </c>
      <c r="C28" s="51">
        <f>+C27-C16</f>
        <v>201629.14308871696</v>
      </c>
      <c r="D28" s="51">
        <f>+D27-D16</f>
        <v>69257.086591753847</v>
      </c>
      <c r="E28" s="51">
        <f>+E27-E16</f>
        <v>37223.544206565552</v>
      </c>
      <c r="F28" s="51">
        <f>+F27-F16</f>
        <v>36063.135371486329</v>
      </c>
      <c r="G28" s="52">
        <f>+G27-G16</f>
        <v>132372.05649696317</v>
      </c>
      <c r="H28" s="50">
        <f>IFERROR(IF(D28&gt;0,+D28/C28*100,0),0)</f>
        <v>34.34874816746143</v>
      </c>
      <c r="I28" s="50">
        <f>IFERROR(IF(E28&gt;0,+E28/C28*100,0),0)</f>
        <v>18.461390866590733</v>
      </c>
      <c r="J28" s="50">
        <f>IFERROR(IF(F28&gt;0,+F28/C28*100,0),0)</f>
        <v>17.885874442078308</v>
      </c>
      <c r="K28" s="50">
        <f t="shared" si="5"/>
        <v>53.746910299570125</v>
      </c>
      <c r="L28" s="50">
        <f t="shared" si="5"/>
        <v>96.882594444420079</v>
      </c>
    </row>
    <row r="29" spans="1:15 16382:16382" x14ac:dyDescent="0.2">
      <c r="A29" s="53" t="s">
        <v>49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N29" s="22"/>
      <c r="XFB29" s="28"/>
    </row>
    <row r="30" spans="1:15 16382:16382" x14ac:dyDescent="0.2">
      <c r="C30" s="43"/>
    </row>
    <row r="31" spans="1:15 16382:16382" hidden="1" x14ac:dyDescent="0.2">
      <c r="C31" s="54"/>
      <c r="D31" s="54"/>
      <c r="E31" s="54"/>
      <c r="F31" s="54"/>
      <c r="G31" s="54"/>
    </row>
    <row r="32" spans="1:15 16382:16382" hidden="1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</row>
  </sheetData>
  <mergeCells count="13">
    <mergeCell ref="H5:L5"/>
    <mergeCell ref="P15:R15"/>
    <mergeCell ref="A32:L32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Romero</dc:creator>
  <cp:lastModifiedBy>Daniel Romero</cp:lastModifiedBy>
  <dcterms:created xsi:type="dcterms:W3CDTF">2020-04-24T17:32:15Z</dcterms:created>
  <dcterms:modified xsi:type="dcterms:W3CDTF">2020-04-24T17:33:20Z</dcterms:modified>
</cp:coreProperties>
</file>