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9DE0AF0E-43BE-48FE-A11F-B8775A88F0A8}" xr6:coauthVersionLast="44" xr6:coauthVersionMax="44" xr10:uidLastSave="{00000000-0000-0000-0000-000000000000}"/>
  <bookViews>
    <workbookView xWindow="-120" yWindow="-120" windowWidth="20730" windowHeight="11160" xr2:uid="{D3B344E2-F2C8-436F-AE6F-572926FF87AE}"/>
  </bookViews>
  <sheets>
    <sheet name="CU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5" i="1"/>
  <c r="C26" i="1"/>
  <c r="E25" i="1"/>
  <c r="C22" i="1"/>
  <c r="C18" i="1"/>
  <c r="C10" i="1"/>
  <c r="C9" i="1"/>
  <c r="D25" i="1"/>
  <c r="F24" i="1"/>
  <c r="F20" i="1"/>
  <c r="D13" i="1"/>
  <c r="C25" i="1"/>
  <c r="E12" i="1"/>
  <c r="D24" i="1"/>
  <c r="F23" i="1"/>
  <c r="C24" i="1"/>
  <c r="E23" i="1"/>
  <c r="C20" i="1"/>
  <c r="E19" i="1"/>
  <c r="E15" i="1"/>
  <c r="C12" i="1"/>
  <c r="E11" i="1"/>
  <c r="C23" i="1"/>
  <c r="E18" i="1"/>
  <c r="C15" i="1"/>
  <c r="C11" i="1"/>
  <c r="D26" i="1"/>
  <c r="F13" i="1"/>
  <c r="D10" i="1"/>
  <c r="E13" i="1"/>
  <c r="E9" i="1"/>
  <c r="D9" i="1"/>
  <c r="E24" i="1"/>
  <c r="C13" i="1"/>
  <c r="F19" i="1"/>
  <c r="F11" i="1"/>
  <c r="F26" i="1"/>
  <c r="D23" i="1"/>
  <c r="F22" i="1"/>
  <c r="D19" i="1"/>
  <c r="F18" i="1"/>
  <c r="D15" i="1"/>
  <c r="F14" i="1"/>
  <c r="D11" i="1"/>
  <c r="F10" i="1"/>
  <c r="E26" i="1"/>
  <c r="E22" i="1"/>
  <c r="C19" i="1"/>
  <c r="E14" i="1"/>
  <c r="E10" i="1"/>
  <c r="F25" i="1"/>
  <c r="D22" i="1"/>
  <c r="D18" i="1"/>
  <c r="D14" i="1"/>
  <c r="F9" i="1"/>
  <c r="C14" i="1"/>
  <c r="E20" i="1"/>
  <c r="D20" i="1"/>
  <c r="D12" i="1"/>
  <c r="H12" i="1" l="1"/>
  <c r="H20" i="1"/>
  <c r="K20" i="1"/>
  <c r="I20" i="1"/>
  <c r="G14" i="1"/>
  <c r="F8" i="1"/>
  <c r="J9" i="1"/>
  <c r="L9" i="1"/>
  <c r="H14" i="1"/>
  <c r="H18" i="1"/>
  <c r="D17" i="1"/>
  <c r="D21" i="1"/>
  <c r="H22" i="1"/>
  <c r="L25" i="1"/>
  <c r="J25" i="1"/>
  <c r="I10" i="1"/>
  <c r="K10" i="1"/>
  <c r="K14" i="1"/>
  <c r="I14" i="1"/>
  <c r="G19" i="1"/>
  <c r="K22" i="1"/>
  <c r="E21" i="1"/>
  <c r="I22" i="1"/>
  <c r="K26" i="1"/>
  <c r="I26" i="1"/>
  <c r="J10" i="1"/>
  <c r="L10" i="1"/>
  <c r="H11" i="1"/>
  <c r="J14" i="1"/>
  <c r="L14" i="1"/>
  <c r="H15" i="1"/>
  <c r="J18" i="1"/>
  <c r="L18" i="1"/>
  <c r="F17" i="1"/>
  <c r="H19" i="1"/>
  <c r="J22" i="1"/>
  <c r="L22" i="1"/>
  <c r="F21" i="1"/>
  <c r="H23" i="1"/>
  <c r="J26" i="1"/>
  <c r="L26" i="1"/>
  <c r="L11" i="1"/>
  <c r="J11" i="1"/>
  <c r="L19" i="1"/>
  <c r="J19" i="1"/>
  <c r="G13" i="1"/>
  <c r="K24" i="1"/>
  <c r="I24" i="1"/>
  <c r="D8" i="1"/>
  <c r="H9" i="1"/>
  <c r="E8" i="1"/>
  <c r="I9" i="1"/>
  <c r="K9" i="1"/>
  <c r="K13" i="1"/>
  <c r="I13" i="1"/>
  <c r="H10" i="1"/>
  <c r="L13" i="1"/>
  <c r="J13" i="1"/>
  <c r="H26" i="1"/>
  <c r="G11" i="1"/>
  <c r="G15" i="1"/>
  <c r="K18" i="1"/>
  <c r="I18" i="1"/>
  <c r="E17" i="1"/>
  <c r="G23" i="1"/>
  <c r="I11" i="1"/>
  <c r="K11" i="1"/>
  <c r="G12" i="1"/>
  <c r="I15" i="1"/>
  <c r="K15" i="1"/>
  <c r="I19" i="1"/>
  <c r="K19" i="1"/>
  <c r="G20" i="1"/>
  <c r="I23" i="1"/>
  <c r="K23" i="1"/>
  <c r="G24" i="1"/>
  <c r="J23" i="1"/>
  <c r="L23" i="1"/>
  <c r="H24" i="1"/>
  <c r="K12" i="1"/>
  <c r="I12" i="1"/>
  <c r="G25" i="1"/>
  <c r="H13" i="1"/>
  <c r="L20" i="1"/>
  <c r="J20" i="1"/>
  <c r="L24" i="1"/>
  <c r="J24" i="1"/>
  <c r="H25" i="1"/>
  <c r="C8" i="1"/>
  <c r="G9" i="1"/>
  <c r="G10" i="1"/>
  <c r="G18" i="1"/>
  <c r="G17" i="1" s="1"/>
  <c r="C17" i="1"/>
  <c r="C16" i="1" s="1"/>
  <c r="C21" i="1"/>
  <c r="G21" i="1" s="1"/>
  <c r="G22" i="1"/>
  <c r="K25" i="1"/>
  <c r="I25" i="1"/>
  <c r="G26" i="1"/>
  <c r="L15" i="1"/>
  <c r="J15" i="1"/>
  <c r="L12" i="1"/>
  <c r="J12" i="1"/>
  <c r="K17" i="1" l="1"/>
  <c r="E16" i="1"/>
  <c r="I17" i="1"/>
  <c r="L21" i="1"/>
  <c r="J21" i="1"/>
  <c r="I21" i="1"/>
  <c r="K21" i="1"/>
  <c r="L8" i="1"/>
  <c r="J8" i="1"/>
  <c r="G16" i="1"/>
  <c r="H21" i="1"/>
  <c r="E27" i="1"/>
  <c r="K8" i="1"/>
  <c r="I8" i="1"/>
  <c r="D16" i="1"/>
  <c r="H16" i="1" s="1"/>
  <c r="H17" i="1"/>
  <c r="G8" i="1"/>
  <c r="L17" i="1"/>
  <c r="F16" i="1"/>
  <c r="J17" i="1"/>
  <c r="C27" i="1"/>
  <c r="D27" i="1"/>
  <c r="H8" i="1"/>
  <c r="H27" i="1" l="1"/>
  <c r="D28" i="1"/>
  <c r="C28" i="1"/>
  <c r="I27" i="1"/>
  <c r="K27" i="1"/>
  <c r="E28" i="1"/>
  <c r="L16" i="1"/>
  <c r="J16" i="1"/>
  <c r="G27" i="1"/>
  <c r="K16" i="1"/>
  <c r="I16" i="1"/>
  <c r="F27" i="1"/>
  <c r="F28" i="1" l="1"/>
  <c r="J27" i="1"/>
  <c r="L27" i="1"/>
  <c r="G28" i="1"/>
  <c r="H28" i="1"/>
  <c r="K28" i="1"/>
  <c r="I28" i="1"/>
  <c r="L28" i="1" l="1"/>
  <c r="J28" i="1"/>
</calcChain>
</file>

<file path=xl/sharedStrings.xml><?xml version="1.0" encoding="utf-8"?>
<sst xmlns="http://schemas.openxmlformats.org/spreadsheetml/2006/main" count="54" uniqueCount="51">
  <si>
    <t>Cuadro No. 1</t>
  </si>
  <si>
    <t xml:space="preserve">Ejecución del Presupuesto General de la Nación </t>
  </si>
  <si>
    <t>Acumulada a marzo de 2020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</si>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</sst>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</cellStyleXfs>
  <cellXfs count="60">
    <xf numFmtId="0" fontId="0" fillId="0" borderId="0" xfId="0"/>
    <xf numFmtId="165" fontId="2" fillId="0" borderId="0" xfId="4" applyNumberFormat="1" applyFont="1" applyAlignment="1">
      <alignment horizontal="center"/>
    </xf>
    <xf numFmtId="0" fontId="3" fillId="0" borderId="0" xfId="0" applyFont="1"/>
    <xf numFmtId="165" fontId="4" fillId="0" borderId="0" xfId="4" applyNumberFormat="1" applyFont="1" applyAlignment="1">
      <alignment horizontal="center"/>
    </xf>
    <xf numFmtId="165" fontId="5" fillId="2" borderId="0" xfId="1" applyNumberFormat="1" applyFont="1" applyFill="1"/>
    <xf numFmtId="165" fontId="6" fillId="2" borderId="0" xfId="1" applyNumberFormat="1" applyFont="1" applyFill="1" applyAlignment="1">
      <alignment horizontal="left" vertical="top" wrapText="1"/>
    </xf>
    <xf numFmtId="166" fontId="6" fillId="2" borderId="0" xfId="5" applyNumberFormat="1" applyFont="1" applyFill="1" applyAlignment="1">
      <alignment horizontal="center" vertical="top" wrapText="1"/>
    </xf>
    <xf numFmtId="166" fontId="6" fillId="2" borderId="1" xfId="6" applyNumberFormat="1" applyFont="1" applyFill="1" applyBorder="1" applyAlignment="1">
      <alignment horizontal="center" vertical="top" wrapText="1"/>
    </xf>
    <xf numFmtId="165" fontId="6" fillId="2" borderId="2" xfId="1" applyNumberFormat="1" applyFont="1" applyFill="1" applyBorder="1" applyAlignment="1">
      <alignment horizontal="center" vertical="top"/>
    </xf>
    <xf numFmtId="168" fontId="6" fillId="2" borderId="0" xfId="7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centerContinuous"/>
    </xf>
    <xf numFmtId="166" fontId="6" fillId="2" borderId="0" xfId="1" quotePrefix="1" applyNumberFormat="1" applyFont="1" applyFill="1" applyAlignment="1">
      <alignment horizontal="center"/>
    </xf>
    <xf numFmtId="166" fontId="6" fillId="2" borderId="0" xfId="1" quotePrefix="1" applyNumberFormat="1" applyFont="1" applyFill="1" applyAlignment="1">
      <alignment horizontal="center" vertical="center"/>
    </xf>
    <xf numFmtId="166" fontId="6" fillId="2" borderId="0" xfId="1" quotePrefix="1" applyNumberFormat="1" applyFont="1" applyFill="1" applyAlignment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7" quotePrefix="1" applyNumberFormat="1" applyFont="1" applyFill="1" applyAlignment="1">
      <alignment horizontal="center"/>
    </xf>
    <xf numFmtId="165" fontId="2" fillId="3" borderId="2" xfId="1" applyNumberFormat="1" applyFont="1" applyFill="1" applyBorder="1"/>
    <xf numFmtId="165" fontId="2" fillId="3" borderId="2" xfId="8" applyNumberFormat="1" applyFont="1" applyFill="1" applyBorder="1"/>
    <xf numFmtId="166" fontId="2" fillId="3" borderId="2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5" fontId="4" fillId="0" borderId="0" xfId="1" applyNumberFormat="1" applyFont="1"/>
    <xf numFmtId="165" fontId="4" fillId="0" borderId="0" xfId="8" applyNumberFormat="1" applyFont="1"/>
    <xf numFmtId="166" fontId="4" fillId="0" borderId="0" xfId="4" applyNumberFormat="1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Alignment="1">
      <alignment vertical="top" wrapText="1"/>
    </xf>
    <xf numFmtId="165" fontId="4" fillId="0" borderId="0" xfId="8" applyNumberFormat="1" applyFont="1" applyAlignment="1">
      <alignment vertical="top" wrapText="1"/>
    </xf>
    <xf numFmtId="166" fontId="4" fillId="0" borderId="0" xfId="4" applyNumberFormat="1" applyFont="1" applyAlignment="1">
      <alignment horizontal="center" vertical="top"/>
    </xf>
    <xf numFmtId="166" fontId="4" fillId="0" borderId="0" xfId="4" applyNumberFormat="1" applyFont="1" applyAlignment="1">
      <alignment horizontal="center" vertical="top" wrapText="1"/>
    </xf>
    <xf numFmtId="166" fontId="4" fillId="0" borderId="1" xfId="1" applyNumberFormat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165" fontId="2" fillId="0" borderId="0" xfId="1" applyNumberFormat="1" applyFont="1"/>
    <xf numFmtId="165" fontId="2" fillId="0" borderId="0" xfId="8" applyNumberFormat="1" applyFont="1"/>
    <xf numFmtId="166" fontId="2" fillId="0" borderId="0" xfId="1" applyNumberFormat="1" applyFont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5" fontId="4" fillId="0" borderId="0" xfId="8" applyNumberFormat="1" applyFont="1" applyAlignment="1">
      <alignment horizontal="left" indent="1"/>
    </xf>
    <xf numFmtId="166" fontId="4" fillId="0" borderId="0" xfId="4" applyNumberFormat="1" applyFont="1"/>
    <xf numFmtId="166" fontId="4" fillId="0" borderId="1" xfId="1" applyNumberFormat="1" applyFont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5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5" fontId="6" fillId="2" borderId="0" xfId="1" applyNumberFormat="1" applyFont="1" applyFill="1"/>
    <xf numFmtId="166" fontId="6" fillId="2" borderId="0" xfId="1" applyNumberFormat="1" applyFont="1" applyFill="1"/>
    <xf numFmtId="166" fontId="6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>
      <alignment vertical="top"/>
    </xf>
    <xf numFmtId="166" fontId="6" fillId="2" borderId="1" xfId="1" applyNumberFormat="1" applyFont="1" applyFill="1" applyBorder="1"/>
    <xf numFmtId="170" fontId="4" fillId="0" borderId="0" xfId="9" applyFont="1" applyAlignment="1">
      <alignment horizontal="left" wrapText="1"/>
    </xf>
    <xf numFmtId="165" fontId="4" fillId="0" borderId="0" xfId="4" applyNumberFormat="1" applyFont="1"/>
    <xf numFmtId="170" fontId="4" fillId="0" borderId="0" xfId="9" applyFont="1" applyAlignment="1">
      <alignment horizontal="left" wrapText="1"/>
    </xf>
    <xf numFmtId="171" fontId="4" fillId="0" borderId="0" xfId="3" applyNumberFormat="1" applyFont="1"/>
    <xf numFmtId="166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3" fillId="0" borderId="0" xfId="2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10">
    <cellStyle name="Millares" xfId="1" builtinId="3"/>
    <cellStyle name="Millares [0]" xfId="2" builtinId="6"/>
    <cellStyle name="Millares 2 4 2" xfId="8" xr:uid="{CAF9BB1D-9908-4DE7-B902-D1C5D6553ACB}"/>
    <cellStyle name="Millares 4 3" xfId="5" xr:uid="{05102A89-799D-414B-AAB4-BAD3DC925A25}"/>
    <cellStyle name="Millares 7 2" xfId="6" xr:uid="{D8663C08-E9C4-4BA4-9A4A-5FCFEA51AC11}"/>
    <cellStyle name="Millares 9" xfId="4" xr:uid="{164535F5-FA08-4144-81A2-FDE824956886}"/>
    <cellStyle name="Millares_CIFRAS PAGINA WEB 1995 - 2003" xfId="9" xr:uid="{736D9DFF-96BF-433B-8194-963892F180B9}"/>
    <cellStyle name="Millares_Plano ejecucion principales programas julio 13 - Despues de consejo de ministros" xfId="7" xr:uid="{E99E10C5-0122-404A-9220-5352B1F496E9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9">
          <cell r="A9" t="str">
            <v>Etiquetas de fila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9C92-FB67-47A4-A9A3-5D7CBBAD4868}">
  <sheetPr codeName="Hoja3">
    <tabColor theme="0"/>
    <pageSetUpPr fitToPage="1"/>
  </sheetPr>
  <dimension ref="A1:M33"/>
  <sheetViews>
    <sheetView showGridLines="0" tabSelected="1" workbookViewId="0">
      <selection activeCell="A31" sqref="A31:XFD1048576"/>
    </sheetView>
  </sheetViews>
  <sheetFormatPr baseColWidth="10" defaultColWidth="50.28515625" defaultRowHeight="11.45" customHeight="1" zeroHeight="1" x14ac:dyDescent="0.2"/>
  <cols>
    <col min="1" max="1" width="2.5703125" style="2" customWidth="1"/>
    <col min="2" max="2" width="30.140625" style="2" customWidth="1"/>
    <col min="3" max="3" width="13.7109375" style="2" bestFit="1" customWidth="1"/>
    <col min="4" max="4" width="11.85546875" style="58" bestFit="1" customWidth="1"/>
    <col min="5" max="5" width="9.5703125" style="2" bestFit="1" customWidth="1"/>
    <col min="6" max="6" width="6.85546875" style="59" bestFit="1" customWidth="1"/>
    <col min="7" max="7" width="13.7109375" style="2" bestFit="1" customWidth="1"/>
    <col min="8" max="8" width="12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1.140625" style="2" customWidth="1"/>
    <col min="13" max="13" width="11.42578125" style="2" customWidth="1"/>
    <col min="14" max="14" width="13.85546875" style="2" customWidth="1"/>
    <col min="15" max="15" width="10.85546875" style="2" bestFit="1" customWidth="1"/>
    <col min="16" max="16" width="11.85546875" style="2" bestFit="1" customWidth="1"/>
    <col min="17" max="17" width="9.5703125" style="2" bestFit="1" customWidth="1"/>
    <col min="18" max="18" width="5.28515625" style="2" bestFit="1" customWidth="1"/>
    <col min="19" max="19" width="13.7109375" style="2" bestFit="1" customWidth="1"/>
    <col min="20" max="16375" width="11.42578125" style="2" customWidth="1"/>
    <col min="16376" max="16376" width="9.7109375" style="2" customWidth="1"/>
    <col min="16377" max="16377" width="12.85546875" style="2" customWidth="1"/>
    <col min="16378" max="16378" width="8.140625" style="2" customWidth="1"/>
    <col min="16379" max="16380" width="9.7109375" style="2" customWidth="1"/>
    <col min="16381" max="16381" width="13.28515625" style="2" customWidth="1"/>
    <col min="16382" max="16382" width="19" style="2" customWidth="1"/>
    <col min="16383" max="16384" width="50.28515625" style="2"/>
  </cols>
  <sheetData>
    <row r="1" spans="1:13" ht="11.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1.4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1.4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1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1.45" customHeight="1" x14ac:dyDescent="0.2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8"/>
      <c r="J5" s="8"/>
      <c r="K5" s="8"/>
      <c r="L5" s="8"/>
    </row>
    <row r="6" spans="1:13" ht="11.45" customHeight="1" x14ac:dyDescent="0.2">
      <c r="A6" s="4"/>
      <c r="B6" s="5"/>
      <c r="C6" s="6" t="s">
        <v>11</v>
      </c>
      <c r="D6" s="6"/>
      <c r="E6" s="6"/>
      <c r="F6" s="6"/>
      <c r="G6" s="7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</row>
    <row r="7" spans="1:13" ht="11.45" customHeight="1" x14ac:dyDescent="0.2">
      <c r="A7" s="4"/>
      <c r="B7" s="10"/>
      <c r="C7" s="11" t="s">
        <v>17</v>
      </c>
      <c r="D7" s="12" t="s">
        <v>18</v>
      </c>
      <c r="E7" s="11" t="s">
        <v>19</v>
      </c>
      <c r="F7" s="13" t="s">
        <v>20</v>
      </c>
      <c r="G7" s="14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</row>
    <row r="8" spans="1:13" ht="11.45" customHeight="1" x14ac:dyDescent="0.2">
      <c r="A8" s="16" t="s">
        <v>27</v>
      </c>
      <c r="B8" s="17" t="s">
        <v>28</v>
      </c>
      <c r="C8" s="18">
        <f>SUM(C9:C15)</f>
        <v>170171.38852490005</v>
      </c>
      <c r="D8" s="18">
        <f>SUM(D9:D15)</f>
        <v>50582.667718530356</v>
      </c>
      <c r="E8" s="18">
        <f>SUM(E9:E15)</f>
        <v>34356.633594669693</v>
      </c>
      <c r="F8" s="18">
        <f>SUM(F9:F15)</f>
        <v>33241.159490773396</v>
      </c>
      <c r="G8" s="19">
        <f>SUM(G9:G15)</f>
        <v>119588.72080636965</v>
      </c>
      <c r="H8" s="16">
        <f t="shared" ref="H8:H25" si="0">IFERROR(IF(D8&gt;0,+D8/C8*100,0),0)</f>
        <v>29.724543095638506</v>
      </c>
      <c r="I8" s="16">
        <f t="shared" ref="I8:I25" si="1">IFERROR(IF(E8&gt;0,+E8/C8*100,0),0)</f>
        <v>20.18943013422172</v>
      </c>
      <c r="J8" s="16">
        <f t="shared" ref="J8:J25" si="2">IFERROR(IF(F8&gt;0,+F8/C8*100,0),0)</f>
        <v>19.533929751010664</v>
      </c>
      <c r="K8" s="16">
        <f>IFERROR(IF(E8&gt;0,+E8/D8*100,0),0)</f>
        <v>67.921750955977259</v>
      </c>
      <c r="L8" s="16">
        <f>IFERROR(IF(F8&gt;0,+F8/E8*100,0),0)</f>
        <v>96.753249701189119</v>
      </c>
    </row>
    <row r="9" spans="1:13" ht="11.45" customHeight="1" x14ac:dyDescent="0.2">
      <c r="A9" s="20"/>
      <c r="B9" s="21" t="s">
        <v>29</v>
      </c>
      <c r="C9" s="22">
        <f>+GETPIVOTDATA("Suma de Apropiacion Vigente",'[1]CUA1.TD'!$A$9,"Tipo","1Funcionamiento","Cuentas","A-Gastos de Personal")/1000000000</f>
        <v>33177.674629198002</v>
      </c>
      <c r="D9" s="22">
        <f>+GETPIVOTDATA("Suma de Compromisos",'[1]CUA1.TD'!$A$9,"Tipo","1Funcionamiento","Cuentas","A-Gastos de Personal")/1000000000</f>
        <v>7358.8549227913581</v>
      </c>
      <c r="E9" s="22">
        <f>+GETPIVOTDATA("Suma de Obligación",'[1]CUA1.TD'!$A$9,"Tipo","1Funcionamiento","Cuentas","A-Gastos de Personal")/1000000000</f>
        <v>6809.0446079339899</v>
      </c>
      <c r="F9" s="22">
        <f>+GETPIVOTDATA("Suma de Pago",'[1]CUA1.TD'!$A$9,"Tipo","1Funcionamiento","Cuentas","A-Gastos de Personal")/1000000000</f>
        <v>6793.3850767871991</v>
      </c>
      <c r="G9" s="23">
        <f>+C9-D9</f>
        <v>25818.819706406644</v>
      </c>
      <c r="H9" s="20">
        <f t="shared" si="0"/>
        <v>22.180140727268451</v>
      </c>
      <c r="I9" s="20">
        <f t="shared" si="1"/>
        <v>20.522971196847209</v>
      </c>
      <c r="J9" s="20">
        <f t="shared" si="2"/>
        <v>20.475772195344526</v>
      </c>
      <c r="K9" s="20">
        <f t="shared" ref="K9:L15" si="3">IFERROR(IF(E9&gt;0,+E9/D9*100,0),0)</f>
        <v>92.528588746130438</v>
      </c>
      <c r="L9" s="20">
        <f t="shared" si="3"/>
        <v>99.770018672978821</v>
      </c>
    </row>
    <row r="10" spans="1:13" ht="11.45" customHeight="1" x14ac:dyDescent="0.2">
      <c r="A10" s="20"/>
      <c r="B10" s="21" t="s">
        <v>30</v>
      </c>
      <c r="C10" s="22">
        <f>+GETPIVOTDATA("Suma de Apropiacion Vigente",'[1]CUA1.TD'!$A$9,"Tipo","1Funcionamiento","Cuentas","B-Adquisiciones de Bienes y Servicios")/1000000000</f>
        <v>9025.1627459730007</v>
      </c>
      <c r="D10" s="22">
        <f>+GETPIVOTDATA("Suma de Compromisos",'[1]CUA1.TD'!$A$9,"Tipo","1Funcionamiento","Cuentas","B-Adquisiciones de Bienes y Servicios")/1000000000</f>
        <v>4904.934347355641</v>
      </c>
      <c r="E10" s="22">
        <f>+GETPIVOTDATA("Suma de Obligación",'[1]CUA1.TD'!$A$9,"Tipo","1Funcionamiento","Cuentas","B-Adquisiciones de Bienes y Servicios")/1000000000</f>
        <v>1272.6763944317902</v>
      </c>
      <c r="F10" s="22">
        <f>+GETPIVOTDATA("Suma de Pago",'[1]CUA1.TD'!$A$9,"Tipo","1Funcionamiento","Cuentas","B-Adquisiciones de Bienes y Servicios")/1000000000</f>
        <v>1193.8398464402401</v>
      </c>
      <c r="G10" s="23">
        <f t="shared" ref="G10:G15" si="4">+C10-D10</f>
        <v>4120.2283986173597</v>
      </c>
      <c r="H10" s="20">
        <f t="shared" si="0"/>
        <v>54.347322983668157</v>
      </c>
      <c r="I10" s="20">
        <f t="shared" si="1"/>
        <v>14.101423212558181</v>
      </c>
      <c r="J10" s="20">
        <f t="shared" si="2"/>
        <v>13.227903806753266</v>
      </c>
      <c r="K10" s="20">
        <f t="shared" si="3"/>
        <v>25.946858903787739</v>
      </c>
      <c r="L10" s="20">
        <f t="shared" si="3"/>
        <v>93.805452168636464</v>
      </c>
    </row>
    <row r="11" spans="1:13" ht="11.45" customHeight="1" x14ac:dyDescent="0.2">
      <c r="A11" s="20"/>
      <c r="B11" s="21" t="s">
        <v>31</v>
      </c>
      <c r="C11" s="22">
        <f>+GETPIVOTDATA("Suma de Apropiacion Vigente",'[1]CUA1.TD'!$A$9,"Tipo","1Funcionamiento","Cuentas","C-Transferencias")/1000000000</f>
        <v>125392.93101990101</v>
      </c>
      <c r="D11" s="22">
        <f>+GETPIVOTDATA("Suma de Compromisos",'[1]CUA1.TD'!$A$9,"Tipo","1Funcionamiento","Cuentas","C-Transferencias")/1000000000</f>
        <v>37104.577514110395</v>
      </c>
      <c r="E11" s="22">
        <f>+GETPIVOTDATA("Suma de Obligación",'[1]CUA1.TD'!$A$9,"Tipo","1Funcionamiento","Cuentas","C-Transferencias")/1000000000</f>
        <v>25620.822028645565</v>
      </c>
      <c r="F11" s="22">
        <f>+GETPIVOTDATA("Suma de Pago",'[1]CUA1.TD'!$A$9,"Tipo","1Funcionamiento","Cuentas","C-Transferencias")/1000000000</f>
        <v>24645.088681892539</v>
      </c>
      <c r="G11" s="23">
        <f t="shared" si="4"/>
        <v>88288.353505790612</v>
      </c>
      <c r="H11" s="20">
        <f t="shared" si="0"/>
        <v>29.590645351627963</v>
      </c>
      <c r="I11" s="20">
        <f t="shared" si="1"/>
        <v>20.432429340517853</v>
      </c>
      <c r="J11" s="20">
        <f t="shared" si="2"/>
        <v>19.654288707854782</v>
      </c>
      <c r="K11" s="20">
        <f t="shared" si="3"/>
        <v>69.050299842121348</v>
      </c>
      <c r="L11" s="20">
        <f>IFERROR(IF(F11&gt;0,+F11/E11*100,0),0)</f>
        <v>96.19163918448011</v>
      </c>
      <c r="M11" s="24"/>
    </row>
    <row r="12" spans="1:13" ht="11.45" customHeight="1" x14ac:dyDescent="0.2">
      <c r="A12" s="20"/>
      <c r="B12" s="21" t="s">
        <v>32</v>
      </c>
      <c r="C12" s="22">
        <f>+GETPIVOTDATA("Suma de Apropiacion Vigente",'[1]CUA1.TD'!$A$9,"Tipo","1Funcionamiento","Cuentas","D-Gastos de Comercialización y Producción")/1000000000</f>
        <v>1360.358802104</v>
      </c>
      <c r="D12" s="22">
        <f>+GETPIVOTDATA("Suma de Compromisos",'[1]CUA1.TD'!$A$9,"Tipo","1Funcionamiento","Cuentas","D-Gastos de Comercialización y Producción")/1000000000</f>
        <v>715.12617975909995</v>
      </c>
      <c r="E12" s="22">
        <f>+GETPIVOTDATA("Suma de Obligación",'[1]CUA1.TD'!$A$9,"Tipo","1Funcionamiento","Cuentas","D-Gastos de Comercialización y Producción")/1000000000</f>
        <v>159.48862730870002</v>
      </c>
      <c r="F12" s="22">
        <f>+GETPIVOTDATA("Suma de Pago",'[1]CUA1.TD'!$A$9,"Tipo","1Funcionamiento","Cuentas","D-Gastos de Comercialización y Producción")/1000000000</f>
        <v>117.25212954852</v>
      </c>
      <c r="G12" s="23">
        <f t="shared" si="4"/>
        <v>645.23262234490005</v>
      </c>
      <c r="H12" s="20">
        <f t="shared" si="0"/>
        <v>52.56893833105277</v>
      </c>
      <c r="I12" s="20">
        <f t="shared" si="1"/>
        <v>11.72401186084339</v>
      </c>
      <c r="J12" s="20">
        <f t="shared" si="2"/>
        <v>8.6192061511398244</v>
      </c>
      <c r="K12" s="20">
        <f t="shared" si="3"/>
        <v>22.302165942578963</v>
      </c>
      <c r="L12" s="20">
        <f t="shared" si="3"/>
        <v>73.517548885521052</v>
      </c>
    </row>
    <row r="13" spans="1:13" ht="11.45" customHeight="1" x14ac:dyDescent="0.2">
      <c r="A13" s="20"/>
      <c r="B13" s="21" t="s">
        <v>33</v>
      </c>
      <c r="C13" s="22">
        <f>+GETPIVOTDATA("Suma de Apropiacion Vigente",'[1]CUA1.TD'!$A$9,"Tipo","1Funcionamiento","Cuentas","E-Adquisición de Activos Financieros")/1000000000</f>
        <v>392.36884800000001</v>
      </c>
      <c r="D13" s="22">
        <f>+GETPIVOTDATA("Suma de Compromisos",'[1]CUA1.TD'!$A$9,"Tipo","1Funcionamiento","Cuentas","E-Adquisición de Activos Financieros")/1000000000</f>
        <v>331.14314864198997</v>
      </c>
      <c r="E13" s="22">
        <f>+GETPIVOTDATA("Suma de Obligación",'[1]CUA1.TD'!$A$9,"Tipo","1Funcionamiento","Cuentas","E-Adquisición de Activos Financieros")/1000000000</f>
        <v>331.07899359299</v>
      </c>
      <c r="F13" s="22">
        <f>+GETPIVOTDATA("Suma de Pago",'[1]CUA1.TD'!$A$9,"Tipo","1Funcionamiento","Cuentas","E-Adquisición de Activos Financieros")/1000000000</f>
        <v>331.07899359299</v>
      </c>
      <c r="G13" s="23">
        <f t="shared" si="4"/>
        <v>61.225699358010047</v>
      </c>
      <c r="H13" s="20">
        <f t="shared" si="0"/>
        <v>84.395881663365373</v>
      </c>
      <c r="I13" s="20">
        <f t="shared" si="1"/>
        <v>84.379530964443433</v>
      </c>
      <c r="J13" s="20">
        <f t="shared" si="2"/>
        <v>84.379530964443433</v>
      </c>
      <c r="K13" s="20">
        <f t="shared" si="3"/>
        <v>99.980626188624754</v>
      </c>
      <c r="L13" s="20">
        <f t="shared" si="3"/>
        <v>100</v>
      </c>
    </row>
    <row r="14" spans="1:13" ht="11.45" customHeight="1" x14ac:dyDescent="0.2">
      <c r="A14" s="20"/>
      <c r="B14" s="21" t="s">
        <v>34</v>
      </c>
      <c r="C14" s="22">
        <f>+GETPIVOTDATA("Suma de Apropiacion Vigente",'[1]CUA1.TD'!$A$9,"Tipo","1Funcionamiento","Cuentas","F-Disminución de Pasivos")/1000000000</f>
        <v>240.36258931899999</v>
      </c>
      <c r="D14" s="22">
        <f>+GETPIVOTDATA("Suma de Compromisos",'[1]CUA1.TD'!$A$9,"Tipo","1Funcionamiento","Cuentas","F-Disminución de Pasivos")/1000000000</f>
        <v>41.576595501010004</v>
      </c>
      <c r="E14" s="22">
        <f>+GETPIVOTDATA("Suma de Obligación",'[1]CUA1.TD'!$A$9,"Tipo","1Funcionamiento","Cuentas","F-Disminución de Pasivos")/1000000000</f>
        <v>40.021274636010006</v>
      </c>
      <c r="F14" s="22">
        <f>+GETPIVOTDATA("Suma de Pago",'[1]CUA1.TD'!$A$9,"Tipo","1Funcionamiento","Cuentas","F-Disminución de Pasivos")/1000000000</f>
        <v>38.887210560010004</v>
      </c>
      <c r="G14" s="23">
        <f t="shared" si="4"/>
        <v>198.78599381799</v>
      </c>
      <c r="H14" s="20">
        <f t="shared" si="0"/>
        <v>17.297448666535683</v>
      </c>
      <c r="I14" s="20">
        <f t="shared" si="1"/>
        <v>16.650375896431751</v>
      </c>
      <c r="J14" s="20">
        <f t="shared" si="2"/>
        <v>16.178562009248616</v>
      </c>
      <c r="K14" s="20">
        <f t="shared" si="3"/>
        <v>96.259143284201286</v>
      </c>
      <c r="L14" s="20">
        <f t="shared" si="3"/>
        <v>97.166346933439243</v>
      </c>
      <c r="M14" s="25"/>
    </row>
    <row r="15" spans="1:13" s="31" customFormat="1" ht="22.5" customHeight="1" x14ac:dyDescent="0.25">
      <c r="A15" s="26"/>
      <c r="B15" s="27" t="s">
        <v>35</v>
      </c>
      <c r="C15" s="28">
        <f>+GETPIVOTDATA("Suma de Apropiacion Vigente",'[1]CUA1.TD'!$A$9,"Tipo","1Funcionamiento","Cuentas","G-Gastos por Tributos, Multas, Sanciones e Intereses de Mora")/1000000000</f>
        <v>582.52989040499995</v>
      </c>
      <c r="D15" s="29">
        <f>+GETPIVOTDATA("Suma de Compromisos",'[1]CUA1.TD'!$A$9,"Tipo","1Funcionamiento","Cuentas","G-Gastos por Tributos, Multas, Sanciones e Intereses de Mora")/1000000000</f>
        <v>126.45501037087003</v>
      </c>
      <c r="E15" s="29">
        <f>+GETPIVOTDATA("Suma de Obligación",'[1]CUA1.TD'!$A$9,"Tipo","1Funcionamiento","Cuentas","G-Gastos por Tributos, Multas, Sanciones e Intereses de Mora")/1000000000</f>
        <v>123.50166812064002</v>
      </c>
      <c r="F15" s="29">
        <f>+GETPIVOTDATA("Suma de Pago",'[1]CUA1.TD'!$A$9,"Tipo","1Funcionamiento","Cuentas","G-Gastos por Tributos, Multas, Sanciones e Intereses de Mora")/1000000000</f>
        <v>121.6275519519</v>
      </c>
      <c r="G15" s="30">
        <f t="shared" si="4"/>
        <v>456.07488003412993</v>
      </c>
      <c r="H15" s="26">
        <f t="shared" si="0"/>
        <v>21.707900736724952</v>
      </c>
      <c r="I15" s="26">
        <f t="shared" si="1"/>
        <v>21.200915207076555</v>
      </c>
      <c r="J15" s="26">
        <f t="shared" si="2"/>
        <v>20.879195034496732</v>
      </c>
      <c r="K15" s="26">
        <f t="shared" si="3"/>
        <v>97.664511479957667</v>
      </c>
      <c r="L15" s="26">
        <f t="shared" si="3"/>
        <v>98.482517526071533</v>
      </c>
    </row>
    <row r="16" spans="1:13" ht="11.45" customHeight="1" x14ac:dyDescent="0.2">
      <c r="A16" s="16" t="s">
        <v>36</v>
      </c>
      <c r="B16" s="17" t="s">
        <v>37</v>
      </c>
      <c r="C16" s="18">
        <f>+C17+C21</f>
        <v>53613.700937251997</v>
      </c>
      <c r="D16" s="18">
        <f>+D17+D21</f>
        <v>9563.4447080100981</v>
      </c>
      <c r="E16" s="18">
        <f>+E17+E21</f>
        <v>9519.7614519521812</v>
      </c>
      <c r="F16" s="18">
        <f>+F17+F21</f>
        <v>8781.9133442002803</v>
      </c>
      <c r="G16" s="18">
        <f t="shared" ref="G16:G25" si="5">(+C16-D16)</f>
        <v>44050.256229241902</v>
      </c>
      <c r="H16" s="16">
        <f t="shared" si="0"/>
        <v>17.837688017849938</v>
      </c>
      <c r="I16" s="16">
        <f t="shared" si="1"/>
        <v>17.756210232704973</v>
      </c>
      <c r="J16" s="16">
        <f t="shared" si="2"/>
        <v>16.379979726597107</v>
      </c>
      <c r="K16" s="16">
        <f>IFERROR(IF(E16&gt;0,+E16/D16*100,0),0)</f>
        <v>99.543226761991647</v>
      </c>
      <c r="L16" s="16">
        <f>IFERROR(IF(F16&gt;0,+F16/E16*100,0),0)</f>
        <v>92.249300452790308</v>
      </c>
      <c r="M16" s="25"/>
    </row>
    <row r="17" spans="1:12" ht="11.45" customHeight="1" x14ac:dyDescent="0.2">
      <c r="A17" s="32"/>
      <c r="B17" s="33" t="s">
        <v>38</v>
      </c>
      <c r="C17" s="34">
        <f>SUM(C18:C20)</f>
        <v>14284.975928438998</v>
      </c>
      <c r="D17" s="34">
        <f>SUM(D18:D20)</f>
        <v>5754.1645832990989</v>
      </c>
      <c r="E17" s="34">
        <f>SUM(E18:E20)</f>
        <v>5714.0985775111803</v>
      </c>
      <c r="F17" s="34">
        <f>SUM(F18:F20)</f>
        <v>5714.0985775111803</v>
      </c>
      <c r="G17" s="35">
        <f>+G18+G20</f>
        <v>2440.3213038184695</v>
      </c>
      <c r="H17" s="32">
        <f t="shared" si="0"/>
        <v>40.281234019047382</v>
      </c>
      <c r="I17" s="32">
        <f t="shared" si="1"/>
        <v>40.000757482099537</v>
      </c>
      <c r="J17" s="32">
        <f t="shared" si="2"/>
        <v>40.000757482099537</v>
      </c>
      <c r="K17" s="32">
        <f t="shared" ref="K17:L28" si="6">IFERROR(IF(E17&gt;0,+E17/D17*100,0),0)</f>
        <v>99.303704209222545</v>
      </c>
      <c r="L17" s="32">
        <f t="shared" si="6"/>
        <v>100</v>
      </c>
    </row>
    <row r="18" spans="1:12" ht="11.45" customHeight="1" x14ac:dyDescent="0.2">
      <c r="A18" s="20"/>
      <c r="B18" s="36" t="s">
        <v>39</v>
      </c>
      <c r="C18" s="22">
        <f>+GETPIVOTDATA("Suma de Apropiacion Vigente",'[1]CUA1.TD'!$A$9,"Tipo","2Servicio de la Deuda","Cuentas","A-Servicio de la Deuda Pública Externa","Detalle Programas","A-Principal")/1000000000</f>
        <v>5643.6139346769996</v>
      </c>
      <c r="D18" s="22">
        <f>+GETPIVOTDATA("Suma de Compromisos",'[1]CUA1.TD'!$A$9,"Tipo","2Servicio de la Deuda","Cuentas","A-Servicio de la Deuda Pública Externa","Detalle Programas","A-Principal")/1000000000</f>
        <v>3255.26039374214</v>
      </c>
      <c r="E18" s="22">
        <f>+GETPIVOTDATA("Suma de Obligación",'[1]CUA1.TD'!$A$9,"Tipo","2Servicio de la Deuda","Cuentas","A-Servicio de la Deuda Pública Externa","Detalle Programas","A-Principal")/1000000000</f>
        <v>3255.1506217015303</v>
      </c>
      <c r="F18" s="22">
        <f>+GETPIVOTDATA("Suma de Pago",'[1]CUA1.TD'!$A$9,"Tipo","2Servicio de la Deuda","Cuentas","A-Servicio de la Deuda Pública Externa","Detalle Programas","A-Principal")/1000000000</f>
        <v>3255.1506217015303</v>
      </c>
      <c r="G18" s="23">
        <f>(+C18-D18)</f>
        <v>2388.3535409348597</v>
      </c>
      <c r="H18" s="20">
        <f t="shared" si="0"/>
        <v>57.680423066154475</v>
      </c>
      <c r="I18" s="20">
        <f t="shared" si="1"/>
        <v>57.678477999715128</v>
      </c>
      <c r="J18" s="20">
        <f t="shared" si="2"/>
        <v>57.678477999715128</v>
      </c>
      <c r="K18" s="20">
        <f t="shared" si="6"/>
        <v>99.996627856843006</v>
      </c>
      <c r="L18" s="20">
        <f t="shared" si="6"/>
        <v>100</v>
      </c>
    </row>
    <row r="19" spans="1:12" ht="11.45" customHeight="1" x14ac:dyDescent="0.2">
      <c r="A19" s="20"/>
      <c r="B19" s="36" t="s">
        <v>40</v>
      </c>
      <c r="C19" s="22">
        <f>+GETPIVOTDATA("Suma de Apropiacion Vigente",'[1]CUA1.TD'!$A$9,"Tipo","2Servicio de la Deuda","Cuentas","A-Servicio de la Deuda Pública Externa","Detalle Programas","B-Intereses")/1000000000</f>
        <v>8526.1508022439994</v>
      </c>
      <c r="D19" s="22">
        <f>+GETPIVOTDATA("Suma de Compromisos",'[1]CUA1.TD'!$A$9,"Tipo","2Servicio de la Deuda","Cuentas","A-Servicio de la Deuda Pública Externa","Detalle Programas","B-Intereses")/1000000000</f>
        <v>2435.6607609225698</v>
      </c>
      <c r="E19" s="22">
        <f>+GETPIVOTDATA("Suma de Obligación",'[1]CUA1.TD'!$A$9,"Tipo","2Servicio de la Deuda","Cuentas","A-Servicio de la Deuda Pública Externa","Detalle Programas","B-Intereses")/1000000000</f>
        <v>2401.6898634757199</v>
      </c>
      <c r="F19" s="22">
        <f>+GETPIVOTDATA("Suma de Pago",'[1]CUA1.TD'!$A$9,"Tipo","2Servicio de la Deuda","Cuentas","A-Servicio de la Deuda Pública Externa","Detalle Programas","B-Intereses")/1000000000</f>
        <v>2401.6898634757199</v>
      </c>
      <c r="G19" s="23">
        <f>(+C19-D19)</f>
        <v>6090.4900413214291</v>
      </c>
      <c r="H19" s="20">
        <f t="shared" si="0"/>
        <v>28.566944420939961</v>
      </c>
      <c r="I19" s="20">
        <f t="shared" si="1"/>
        <v>28.16851260528513</v>
      </c>
      <c r="J19" s="20">
        <f t="shared" si="2"/>
        <v>28.16851260528513</v>
      </c>
      <c r="K19" s="20">
        <f t="shared" si="6"/>
        <v>98.605269748896291</v>
      </c>
      <c r="L19" s="20">
        <f t="shared" si="6"/>
        <v>100</v>
      </c>
    </row>
    <row r="20" spans="1:12" ht="11.45" customHeight="1" x14ac:dyDescent="0.2">
      <c r="A20" s="20"/>
      <c r="B20" s="36" t="s">
        <v>41</v>
      </c>
      <c r="C20" s="22">
        <f>+GETPIVOTDATA("Suma de Apropiacion Vigente",'[1]CUA1.TD'!$A$9,"Tipo","2Servicio de la Deuda","Cuentas","A-Servicio de la Deuda Pública Externa","Detalle Programas","C-Comisiones Y Otros Gastos")/1000000000</f>
        <v>115.21119151800001</v>
      </c>
      <c r="D20" s="22">
        <f>+GETPIVOTDATA("Suma de Compromisos",'[1]CUA1.TD'!$A$9,"Tipo","2Servicio de la Deuda","Cuentas","A-Servicio de la Deuda Pública Externa","Detalle Programas","C-Comisiones Y Otros Gastos")/1000000000</f>
        <v>63.24342863439</v>
      </c>
      <c r="E20" s="22">
        <f>+GETPIVOTDATA("Suma de Obligación",'[1]CUA1.TD'!$A$9,"Tipo","2Servicio de la Deuda","Cuentas","A-Servicio de la Deuda Pública Externa","Detalle Programas","C-Comisiones Y Otros Gastos")/1000000000</f>
        <v>57.258092333929994</v>
      </c>
      <c r="F20" s="22">
        <f>+GETPIVOTDATA("Suma de Pago",'[1]CUA1.TD'!$A$9,"Tipo","2Servicio de la Deuda","Cuentas","A-Servicio de la Deuda Pública Externa","Detalle Programas","C-Comisiones Y Otros Gastos")/1000000000</f>
        <v>57.258092333929994</v>
      </c>
      <c r="G20" s="23">
        <f>(+C20-D20)</f>
        <v>51.967762883610007</v>
      </c>
      <c r="H20" s="20">
        <f t="shared" si="0"/>
        <v>54.893476754390804</v>
      </c>
      <c r="I20" s="20">
        <f t="shared" si="1"/>
        <v>49.698377023541404</v>
      </c>
      <c r="J20" s="20">
        <f t="shared" si="2"/>
        <v>49.698377023541404</v>
      </c>
      <c r="K20" s="20">
        <f t="shared" si="6"/>
        <v>90.53603444705503</v>
      </c>
      <c r="L20" s="20">
        <f t="shared" si="6"/>
        <v>100</v>
      </c>
    </row>
    <row r="21" spans="1:12" ht="11.45" customHeight="1" x14ac:dyDescent="0.2">
      <c r="A21" s="32"/>
      <c r="B21" s="33" t="s">
        <v>42</v>
      </c>
      <c r="C21" s="34">
        <f>SUM(C22:C25)</f>
        <v>39328.725008812995</v>
      </c>
      <c r="D21" s="34">
        <f>SUM(D22:D25)</f>
        <v>3809.2801247110001</v>
      </c>
      <c r="E21" s="34">
        <f>SUM(E22:E25)</f>
        <v>3805.6628744410004</v>
      </c>
      <c r="F21" s="34">
        <f>SUM(F22:F25)</f>
        <v>3067.8147666891005</v>
      </c>
      <c r="G21" s="35">
        <f t="shared" si="5"/>
        <v>35519.444884101991</v>
      </c>
      <c r="H21" s="32">
        <f t="shared" si="0"/>
        <v>9.6857452761496745</v>
      </c>
      <c r="I21" s="32">
        <f t="shared" si="1"/>
        <v>9.676547799574502</v>
      </c>
      <c r="J21" s="32">
        <f t="shared" si="2"/>
        <v>7.8004429739373649</v>
      </c>
      <c r="K21" s="32">
        <f t="shared" si="6"/>
        <v>99.905041106151941</v>
      </c>
      <c r="L21" s="32">
        <f t="shared" si="6"/>
        <v>80.611837356710694</v>
      </c>
    </row>
    <row r="22" spans="1:12" ht="11.45" customHeight="1" x14ac:dyDescent="0.2">
      <c r="A22" s="20"/>
      <c r="B22" s="36" t="s">
        <v>39</v>
      </c>
      <c r="C22" s="22">
        <f>+GETPIVOTDATA("Suma de Apropiacion Vigente",'[1]CUA1.TD'!$A$9,"Tipo","2Servicio de la Deuda","Cuentas","B-Servicio de la Deuda Pública Interna","Detalle Programas","A-Principal")/1000000000</f>
        <v>17028.933008813001</v>
      </c>
      <c r="D22" s="22">
        <f>+GETPIVOTDATA("Suma de Compromisos",'[1]CUA1.TD'!$A$9,"Tipo","2Servicio de la Deuda","Cuentas","B-Servicio de la Deuda Pública Interna","Detalle Programas","A-Principal")/1000000000</f>
        <v>12.455973299</v>
      </c>
      <c r="E22" s="22">
        <f>+GETPIVOTDATA("Suma de Obligación",'[1]CUA1.TD'!$A$9,"Tipo","2Servicio de la Deuda","Cuentas","B-Servicio de la Deuda Pública Interna","Detalle Programas","A-Principal")/1000000000</f>
        <v>12.455973299</v>
      </c>
      <c r="F22" s="22">
        <f>+GETPIVOTDATA("Suma de Pago",'[1]CUA1.TD'!$A$9,"Tipo","2Servicio de la Deuda","Cuentas","B-Servicio de la Deuda Pública Interna","Detalle Programas","A-Principal")/1000000000</f>
        <v>12.417879299000001</v>
      </c>
      <c r="G22" s="23">
        <f t="shared" si="5"/>
        <v>17016.477035514003</v>
      </c>
      <c r="H22" s="20">
        <f t="shared" si="0"/>
        <v>7.3145941043714524E-2</v>
      </c>
      <c r="I22" s="20">
        <f t="shared" si="1"/>
        <v>7.3145941043714524E-2</v>
      </c>
      <c r="J22" s="20">
        <f t="shared" si="2"/>
        <v>7.292223941789755E-2</v>
      </c>
      <c r="K22" s="20">
        <f t="shared" si="6"/>
        <v>100</v>
      </c>
      <c r="L22" s="20">
        <f t="shared" si="6"/>
        <v>99.694170828039134</v>
      </c>
    </row>
    <row r="23" spans="1:12" ht="11.45" customHeight="1" x14ac:dyDescent="0.2">
      <c r="A23" s="20"/>
      <c r="B23" s="36" t="s">
        <v>40</v>
      </c>
      <c r="C23" s="22">
        <f>+GETPIVOTDATA("Suma de Apropiacion Vigente",'[1]CUA1.TD'!$A$9,"Tipo","2Servicio de la Deuda","Cuentas","B-Servicio de la Deuda Pública Interna","Detalle Programas","B-Intereses")/1000000000</f>
        <v>21380.433667267</v>
      </c>
      <c r="D23" s="22">
        <f>+GETPIVOTDATA("Suma de Compromisos",'[1]CUA1.TD'!$A$9,"Tipo","2Servicio de la Deuda","Cuentas","B-Servicio de la Deuda Pública Interna","Detalle Programas","B-Intereses")/1000000000</f>
        <v>3787.4160419640002</v>
      </c>
      <c r="E23" s="22">
        <f>+GETPIVOTDATA("Suma de Obligación",'[1]CUA1.TD'!$A$9,"Tipo","2Servicio de la Deuda","Cuentas","B-Servicio de la Deuda Pública Interna","Detalle Programas","B-Intereses")/1000000000</f>
        <v>3787.4160419640002</v>
      </c>
      <c r="F23" s="22">
        <f>+GETPIVOTDATA("Suma de Pago",'[1]CUA1.TD'!$A$9,"Tipo","2Servicio de la Deuda","Cuentas","B-Servicio de la Deuda Pública Interna","Detalle Programas","B-Intereses")/1000000000</f>
        <v>3049.6286527961001</v>
      </c>
      <c r="G23" s="23">
        <f t="shared" si="5"/>
        <v>17593.017625303</v>
      </c>
      <c r="H23" s="20">
        <f t="shared" si="0"/>
        <v>17.714402340502829</v>
      </c>
      <c r="I23" s="20">
        <f t="shared" si="1"/>
        <v>17.714402340502829</v>
      </c>
      <c r="J23" s="20">
        <f t="shared" si="2"/>
        <v>14.263642638198768</v>
      </c>
      <c r="K23" s="20">
        <f t="shared" si="6"/>
        <v>100</v>
      </c>
      <c r="L23" s="20">
        <f t="shared" si="6"/>
        <v>80.5200331573472</v>
      </c>
    </row>
    <row r="24" spans="1:12" ht="11.45" customHeight="1" x14ac:dyDescent="0.2">
      <c r="A24" s="20"/>
      <c r="B24" s="36" t="s">
        <v>41</v>
      </c>
      <c r="C24" s="22">
        <f>+GETPIVOTDATA("Suma de Apropiacion Vigente",'[1]CUA1.TD'!$A$9,"Tipo","2Servicio de la Deuda","Cuentas","B-Servicio de la Deuda Pública Interna","Detalle Programas","C-Comisiones Y Otros Gastos")/1000000000</f>
        <v>146.358332733</v>
      </c>
      <c r="D24" s="22">
        <f>+GETPIVOTDATA("Suma de Compromisos",'[1]CUA1.TD'!$A$9,"Tipo","2Servicio de la Deuda","Cuentas","B-Servicio de la Deuda Pública Interna","Detalle Programas","C-Comisiones Y Otros Gastos")/1000000000</f>
        <v>3.6172499999999999</v>
      </c>
      <c r="E24" s="22">
        <f>+GETPIVOTDATA("Suma de Obligación",'[1]CUA1.TD'!$A$9,"Tipo","2Servicio de la Deuda","Cuentas","B-Servicio de la Deuda Pública Interna","Detalle Programas","C-Comisiones Y Otros Gastos")/1000000000</f>
        <v>0</v>
      </c>
      <c r="F24" s="22">
        <f>+GETPIVOTDATA("Suma de Pago",'[1]CUA1.TD'!$A$9,"Tipo","2Servicio de la Deuda","Cuentas","B-Servicio de la Deuda Pública Interna","Detalle Programas","C-Comisiones Y Otros Gastos")/1000000000</f>
        <v>0</v>
      </c>
      <c r="G24" s="23">
        <f t="shared" si="5"/>
        <v>142.74108273299998</v>
      </c>
      <c r="H24" s="20">
        <f t="shared" si="0"/>
        <v>2.4715026008111969</v>
      </c>
      <c r="I24" s="20">
        <f t="shared" si="1"/>
        <v>0</v>
      </c>
      <c r="J24" s="20">
        <f t="shared" si="2"/>
        <v>0</v>
      </c>
      <c r="K24" s="20">
        <f t="shared" si="6"/>
        <v>0</v>
      </c>
      <c r="L24" s="20">
        <f t="shared" si="6"/>
        <v>0</v>
      </c>
    </row>
    <row r="25" spans="1:12" ht="11.45" customHeight="1" x14ac:dyDescent="0.2">
      <c r="A25" s="20"/>
      <c r="B25" s="36" t="s">
        <v>43</v>
      </c>
      <c r="C25" s="37">
        <f>+GETPIVOTDATA("Suma de Apropiacion Vigente",'[1]CUA1.TD'!$A$9,"Tipo","2Servicio de la Deuda","Cuentas","B-Servicio de la Deuda Pública Interna","Detalle Programas","D-Fondo de Contingencias")/1000000000</f>
        <v>773</v>
      </c>
      <c r="D25" s="37">
        <f>+GETPIVOTDATA("Suma de Compromisos",'[1]CUA1.TD'!$A$9,"Tipo","2Servicio de la Deuda","Cuentas","B-Servicio de la Deuda Pública Interna","Detalle Programas","D-Fondo de Contingencias")/1000000000</f>
        <v>5.790859448</v>
      </c>
      <c r="E25" s="37">
        <f>+GETPIVOTDATA("Suma de Obligación",'[1]CUA1.TD'!$A$9,"Tipo","2Servicio de la Deuda","Cuentas","B-Servicio de la Deuda Pública Interna","Detalle Programas","D-Fondo de Contingencias")/1000000000</f>
        <v>5.7908591779999998</v>
      </c>
      <c r="F25" s="37">
        <f>+GETPIVOTDATA("Suma de Pago",'[1]CUA1.TD'!$A$9,"Tipo","2Servicio de la Deuda","Cuentas","B-Servicio de la Deuda Pública Interna","Detalle Programas","D-Fondo de Contingencias")/1000000000</f>
        <v>5.7682345939999999</v>
      </c>
      <c r="G25" s="38">
        <f t="shared" si="5"/>
        <v>767.20914055200001</v>
      </c>
      <c r="H25" s="20">
        <f t="shared" si="0"/>
        <v>0.74914093764553691</v>
      </c>
      <c r="I25" s="20">
        <f t="shared" si="1"/>
        <v>0.74914090271668821</v>
      </c>
      <c r="J25" s="20">
        <f t="shared" si="2"/>
        <v>0.74621404838292371</v>
      </c>
      <c r="K25" s="20">
        <f t="shared" si="6"/>
        <v>99.999995337479646</v>
      </c>
      <c r="L25" s="20">
        <f t="shared" si="6"/>
        <v>99.609305229076313</v>
      </c>
    </row>
    <row r="26" spans="1:12" ht="11.45" customHeight="1" x14ac:dyDescent="0.2">
      <c r="A26" s="16" t="s">
        <v>44</v>
      </c>
      <c r="B26" s="16" t="s">
        <v>45</v>
      </c>
      <c r="C26" s="39">
        <f>+GETPIVOTDATA("Suma de Apropiacion Vigente",'[1]CUA1.TD'!$A$9,"Tipo","3Inversión","Cuentas","A-Inversión")/1000000000</f>
        <v>47963.105249589004</v>
      </c>
      <c r="D26" s="39">
        <f>+GETPIVOTDATA("Suma de Compromisos",'[1]CUA1.TD'!$A$9,"Tipo","3Inversión","Cuentas","A-Inversión")/1000000000</f>
        <v>25717.145225295404</v>
      </c>
      <c r="E26" s="39">
        <f>+GETPIVOTDATA("Suma de Obligación",'[1]CUA1.TD'!$A$9,"Tipo","3Inversión","Cuentas","A-Inversión")/1000000000</f>
        <v>5512.4956936620383</v>
      </c>
      <c r="F26" s="39">
        <f>+GETPIVOTDATA("Suma de Pago",'[1]CUA1.TD'!$A$9,"Tipo","3Inversión","Cuentas","A-Inversión")/1000000000</f>
        <v>5405.938544414219</v>
      </c>
      <c r="G26" s="40">
        <f>(+C26-D26)</f>
        <v>22245.960024293599</v>
      </c>
      <c r="H26" s="16">
        <f>IFERROR(IF(D26&gt;0,+D26/C26*100,0),0)</f>
        <v>53.618599320184288</v>
      </c>
      <c r="I26" s="16">
        <f>IFERROR(IF(E26&gt;0,+E26/C26*100,0),0)</f>
        <v>11.493200169122234</v>
      </c>
      <c r="J26" s="16">
        <f>IFERROR(IF(F26&gt;0,+F26/C26*100,0),0)</f>
        <v>11.271035343276784</v>
      </c>
      <c r="K26" s="16">
        <f t="shared" si="6"/>
        <v>21.435099601335001</v>
      </c>
      <c r="L26" s="16">
        <f t="shared" si="6"/>
        <v>98.066988979776752</v>
      </c>
    </row>
    <row r="27" spans="1:12" ht="11.45" customHeight="1" x14ac:dyDescent="0.2">
      <c r="A27" s="41" t="s">
        <v>46</v>
      </c>
      <c r="B27" s="41" t="s">
        <v>47</v>
      </c>
      <c r="C27" s="42">
        <f>+C8+C16+C26</f>
        <v>271748.19471174106</v>
      </c>
      <c r="D27" s="43">
        <f>+D8+D16+D26</f>
        <v>85863.257651835855</v>
      </c>
      <c r="E27" s="42">
        <f>+E8+E16+E26</f>
        <v>49388.89074028391</v>
      </c>
      <c r="F27" s="44">
        <f>+F8+F16+F26</f>
        <v>47429.011379387892</v>
      </c>
      <c r="G27" s="45">
        <f>+G8+G16+G26</f>
        <v>185884.93705990515</v>
      </c>
      <c r="H27" s="41">
        <f>IFERROR(IF(D27&gt;0,+D27/C27*100,0),0)</f>
        <v>31.596624861819578</v>
      </c>
      <c r="I27" s="41">
        <f>IFERROR(IF(E27&gt;0,+E27/C27*100,0),0)</f>
        <v>18.174505553817401</v>
      </c>
      <c r="J27" s="41">
        <f>IFERROR(IF(F27&gt;0,+F27/C27*100,0),0)</f>
        <v>17.453294006128935</v>
      </c>
      <c r="K27" s="41">
        <f t="shared" si="6"/>
        <v>57.520401730562476</v>
      </c>
      <c r="L27" s="41">
        <f t="shared" si="6"/>
        <v>96.031740475399161</v>
      </c>
    </row>
    <row r="28" spans="1:12" ht="11.45" customHeight="1" x14ac:dyDescent="0.2">
      <c r="A28" s="46" t="s">
        <v>48</v>
      </c>
      <c r="B28" s="46" t="s">
        <v>49</v>
      </c>
      <c r="C28" s="47">
        <f>+C27-C16</f>
        <v>218134.49377448906</v>
      </c>
      <c r="D28" s="48">
        <f>+D27-D16</f>
        <v>76299.81294382576</v>
      </c>
      <c r="E28" s="47">
        <f>+E27-E16</f>
        <v>39869.129288331729</v>
      </c>
      <c r="F28" s="49">
        <f>+F27-F16</f>
        <v>38647.098035187613</v>
      </c>
      <c r="G28" s="50">
        <f>+G27-G16</f>
        <v>141834.68083066324</v>
      </c>
      <c r="H28" s="46">
        <f>IFERROR(IF(D28&gt;0,+D28/C28*100,0),0)</f>
        <v>34.978334523610798</v>
      </c>
      <c r="I28" s="46">
        <f>IFERROR(IF(E28&gt;0,+E28/C28*100,0),0)</f>
        <v>18.277315338100113</v>
      </c>
      <c r="J28" s="46">
        <f>IFERROR(IF(F28&gt;0,+F28/C28*100,0),0)</f>
        <v>17.717096166891242</v>
      </c>
      <c r="K28" s="46">
        <f t="shared" si="6"/>
        <v>52.253246436769899</v>
      </c>
      <c r="L28" s="46">
        <f t="shared" si="6"/>
        <v>96.934893550580341</v>
      </c>
    </row>
    <row r="29" spans="1:12" ht="11.45" customHeight="1" x14ac:dyDescent="0.2">
      <c r="A29" s="51" t="s">
        <v>50</v>
      </c>
      <c r="B29" s="51"/>
      <c r="C29" s="51"/>
      <c r="D29" s="51"/>
      <c r="E29" s="51"/>
      <c r="F29" s="51"/>
      <c r="G29" s="51"/>
      <c r="H29" s="51"/>
      <c r="I29" s="51"/>
      <c r="J29" s="52"/>
      <c r="K29" s="52"/>
      <c r="L29" s="52"/>
    </row>
    <row r="30" spans="1:12" ht="11.4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2"/>
      <c r="K30" s="54"/>
      <c r="L30" s="52"/>
    </row>
    <row r="31" spans="1:12" ht="11.45" hidden="1" customHeight="1" x14ac:dyDescent="0.2">
      <c r="C31" s="55"/>
      <c r="D31" s="55"/>
      <c r="E31" s="55"/>
      <c r="F31" s="55"/>
    </row>
    <row r="32" spans="1:12" ht="11.45" hidden="1" customHeight="1" x14ac:dyDescent="0.2">
      <c r="C32" s="56"/>
      <c r="D32" s="56"/>
      <c r="E32" s="56"/>
      <c r="F32" s="56"/>
      <c r="G32" s="56"/>
    </row>
    <row r="33" spans="5:6" ht="11.45" hidden="1" customHeight="1" x14ac:dyDescent="0.2">
      <c r="E33" s="57"/>
      <c r="F33" s="57"/>
    </row>
  </sheetData>
  <mergeCells count="12">
    <mergeCell ref="H5:L5"/>
    <mergeCell ref="A29:I29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2020-04-24T17:30:44Z</dcterms:created>
  <dcterms:modified xsi:type="dcterms:W3CDTF">2020-04-24T17:31:42Z</dcterms:modified>
</cp:coreProperties>
</file>